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Т-гор.вода'!$T$58</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Т-гор.вода'!$OQ$37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<sst xmlns="http://schemas.openxmlformats.org/spreadsheetml/2006/main" count="17492" uniqueCount="4269">
  <si>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</si>
  <si>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</si>
  <si>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</si>
  <si>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</si>
  <si>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</si>
  <si>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</si>
  <si>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</si>
  <si>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</si>
  <si>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</si>
  <si>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</si>
  <si>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</si>
  <si>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</si>
  <si>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</si>
  <si>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</si>
  <si>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</si>
  <si>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</si>
  <si>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</si>
  <si>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</si>
  <si>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</si>
  <si>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</si>
  <si>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</si>
  <si>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</si>
  <si>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</si>
  <si>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</si>
  <si>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</si>
  <si>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</si>
  <si>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</si>
  <si>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</si>
  <si>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</si>
  <si>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</si>
  <si>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</si>
  <si>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</si>
  <si>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</si>
  <si>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</si>
  <si>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</si>
  <si>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</si>
  <si>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</si>
  <si>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66/4</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</si>
  <si>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</si>
  <si>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</si>
  <si>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</si>
  <si>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 Номер опубликования: 2501202312150007 Дата опубликования: 15.12.2023</t>
  </si>
  <si>
    <t>Открывается, если Тип отчёта "изменения в раскрытой ранее информации"</t>
  </si>
  <si>
    <t>72/1</t>
  </si>
  <si>
    <t>Наименование органа регулирования, принявшего решение об изменении тарифов</t>
  </si>
  <si>
    <t>http://pravo.gov.ru Номер опубликования: 2501202312270032 Дата опубликования: 27.12.2023</t>
  </si>
  <si>
    <t>ООО "Новая Энергетика"</t>
  </si>
  <si>
    <t>Наименование (описание) обособленного подразделения</t>
  </si>
  <si>
    <t>ИНН</t>
  </si>
  <si>
    <t>2543168948</t>
  </si>
  <si>
    <t>КПП</t>
  </si>
  <si>
    <t>254301001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</si>
  <si>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</si>
  <si>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</si>
  <si>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</si>
  <si>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</si>
  <si>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</si>
  <si>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</si>
  <si>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</si>
  <si>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</si>
  <si>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</si>
  <si>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</si>
  <si>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</si>
  <si>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</si>
  <si>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</si>
  <si>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</si>
  <si>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</si>
  <si>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</si>
  <si>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</si>
  <si>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</si>
  <si>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</si>
  <si>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</si>
  <si>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 xml:space="preserve">Чуханов Артем Викторович </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</si>
  <si>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</si>
  <si>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</si>
  <si>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</si>
  <si>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</si>
  <si>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</si>
  <si>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</si>
  <si>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</si>
  <si>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</si>
  <si>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</si>
  <si>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</si>
  <si>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</si>
  <si>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</si>
  <si>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</si>
  <si>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</si>
  <si>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</si>
  <si>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</si>
  <si>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</si>
  <si>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</si>
  <si>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</si>
  <si>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</si>
  <si>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</si>
  <si>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</si>
  <si>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</si>
  <si>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</si>
  <si>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</si>
  <si>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196</t>
  </si>
  <si>
    <t>городской округ Большой Камень</t>
  </si>
  <si>
    <t>05706000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</si>
  <si>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</si>
  <si>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</si>
  <si>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</si>
  <si>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</si>
  <si>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</si>
  <si>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</si>
  <si>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</si>
  <si>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</si>
  <si>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</si>
  <si>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</si>
  <si>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</si>
  <si>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</si>
  <si>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</si>
  <si>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</si>
  <si>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</si>
  <si>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</si>
  <si>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</si>
  <si>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</si>
  <si>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</si>
  <si>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</si>
  <si>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</si>
  <si>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</si>
  <si>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</si>
  <si>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</si>
  <si>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</si>
  <si>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</si>
  <si>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</si>
  <si>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</si>
  <si>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</si>
  <si>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</si>
  <si>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</si>
  <si>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</si>
  <si>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</si>
  <si>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</si>
  <si>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</si>
  <si>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</si>
  <si>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</si>
  <si>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</si>
  <si>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</si>
  <si>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</si>
  <si>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</si>
  <si>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</si>
  <si>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</si>
  <si>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</si>
  <si>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</si>
  <si>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</si>
  <si>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</si>
  <si>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</si>
  <si>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</si>
  <si>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</si>
  <si>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</si>
  <si>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</si>
  <si>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</si>
  <si>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</si>
  <si>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</si>
  <si>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</si>
  <si>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</si>
  <si>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</si>
  <si>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</si>
  <si>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</si>
  <si>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</si>
  <si>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</si>
  <si>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</si>
  <si>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</si>
  <si>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</si>
  <si>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</si>
  <si>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</si>
  <si>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</si>
  <si>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</si>
  <si>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</si>
  <si>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</si>
  <si>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</si>
  <si>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</si>
  <si>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</si>
  <si>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</si>
  <si>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</si>
  <si>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</si>
  <si>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</si>
  <si>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</si>
  <si>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</si>
  <si>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</si>
  <si>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</si>
  <si>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</si>
  <si>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</si>
  <si>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</si>
  <si>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</si>
  <si>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</si>
  <si>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</si>
  <si>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</si>
  <si>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</si>
  <si>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</si>
  <si>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</si>
  <si>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</si>
  <si>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</si>
  <si>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</si>
  <si>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</si>
  <si>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</si>
  <si>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</si>
  <si>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</si>
  <si>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</si>
  <si>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</si>
  <si>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</si>
  <si>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</si>
  <si>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</si>
  <si>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</si>
  <si>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</si>
  <si>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</si>
  <si>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</si>
  <si>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</si>
  <si>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</si>
  <si>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</si>
  <si>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</si>
  <si>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</si>
  <si>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</si>
  <si>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</si>
  <si>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</si>
  <si>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</si>
  <si>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</si>
  <si>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</si>
  <si>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</si>
  <si>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</si>
  <si>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</si>
  <si>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</si>
  <si>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</si>
  <si>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</si>
  <si>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</si>
  <si>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</si>
  <si>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</si>
  <si>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</si>
  <si>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</si>
  <si>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</si>
  <si>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</si>
  <si>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</si>
  <si>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</si>
  <si>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</si>
  <si>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</si>
  <si>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</si>
  <si>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</si>
  <si>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</si>
  <si>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</si>
  <si>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</si>
  <si>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</si>
  <si>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</si>
  <si>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</si>
  <si>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</si>
  <si>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</si>
  <si>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</si>
  <si>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</si>
  <si>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</si>
  <si>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</si>
  <si>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</si>
  <si>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</si>
  <si>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</si>
  <si>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</si>
  <si>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</si>
  <si>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</si>
  <si>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</si>
  <si>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</si>
  <si>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</si>
  <si>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</si>
  <si>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</si>
  <si>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</si>
  <si>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</si>
  <si>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</si>
  <si>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</si>
  <si>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</si>
  <si>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</si>
  <si>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</si>
  <si>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</si>
  <si>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</si>
  <si>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</si>
  <si>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</si>
  <si>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</si>
  <si>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</si>
  <si>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</si>
  <si>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</si>
  <si>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</si>
  <si>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</si>
  <si>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</si>
  <si>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</si>
  <si>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</si>
  <si>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</si>
  <si>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</si>
  <si>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</si>
  <si>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</si>
  <si>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</si>
  <si>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</si>
  <si>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</si>
  <si>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</si>
  <si>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</si>
  <si>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</si>
  <si>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</si>
  <si>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</si>
  <si>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</si>
  <si>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</si>
  <si>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</si>
  <si>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</si>
  <si>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</si>
  <si>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</si>
  <si>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</si>
  <si>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</si>
  <si>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</si>
  <si>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</si>
  <si>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</si>
  <si>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</si>
  <si>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</si>
  <si>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</si>
  <si>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</si>
  <si>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</si>
  <si>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</si>
  <si>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</si>
  <si>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</si>
  <si>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</si>
  <si>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</si>
  <si>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</si>
  <si>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</si>
  <si>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</si>
  <si>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</si>
  <si>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</si>
  <si>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</si>
  <si>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</si>
  <si>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</si>
  <si>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</si>
  <si>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</si>
  <si>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</si>
  <si>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</si>
  <si>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</si>
  <si>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</si>
  <si>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</si>
  <si>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</si>
  <si>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</si>
  <si>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</si>
  <si>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</si>
  <si>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</si>
  <si>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</si>
  <si>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</si>
  <si>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</si>
  <si>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</si>
  <si>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</si>
  <si>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</si>
  <si>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</si>
  <si>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</si>
  <si>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</si>
  <si>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</si>
  <si>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</si>
  <si>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</si>
  <si>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</si>
  <si>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</si>
  <si>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</si>
  <si>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</si>
  <si>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</si>
  <si>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</si>
  <si>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</si>
  <si>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</si>
  <si>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</si>
  <si>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</si>
  <si>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</si>
  <si>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</si>
  <si>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</si>
  <si>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</si>
  <si>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</si>
  <si>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</si>
  <si>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</si>
  <si>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</si>
  <si>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</si>
  <si>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</si>
  <si>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</si>
  <si>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</si>
  <si>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</si>
  <si>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</si>
  <si>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</si>
  <si>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</si>
  <si>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</si>
  <si>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</si>
  <si>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</si>
  <si>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</si>
  <si>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</si>
  <si>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</si>
  <si>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</si>
  <si>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</si>
  <si>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</si>
  <si>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</si>
  <si>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</si>
  <si>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</si>
  <si>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</si>
  <si>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</si>
  <si>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</si>
  <si>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</si>
  <si>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</si>
  <si>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</si>
  <si>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</si>
  <si>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</si>
  <si>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</si>
  <si>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</si>
  <si>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</si>
  <si>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</si>
  <si>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</si>
  <si>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</si>
  <si>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</si>
  <si>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</si>
  <si>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</si>
  <si>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</si>
  <si>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</si>
  <si>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</si>
  <si>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</si>
  <si>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</si>
  <si>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</si>
  <si>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</si>
  <si>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</si>
  <si>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</si>
  <si>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</si>
  <si>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</si>
  <si>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</si>
  <si>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</si>
  <si>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</si>
  <si>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</si>
  <si>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</si>
  <si>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</si>
  <si>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</si>
  <si>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</si>
  <si>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</si>
  <si>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</si>
  <si>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</si>
  <si>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</si>
  <si>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</si>
  <si>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</si>
  <si>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</si>
  <si>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</si>
  <si>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</si>
  <si>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</si>
  <si>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</si>
  <si>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</si>
  <si>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</si>
  <si>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</si>
  <si>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</si>
  <si>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</si>
  <si>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</si>
  <si>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</si>
  <si>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</si>
  <si>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</si>
  <si>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</si>
  <si>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</si>
  <si>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</si>
  <si>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</si>
  <si>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</si>
  <si>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</si>
  <si>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</si>
  <si>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</si>
  <si>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</si>
  <si>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</si>
  <si>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</si>
  <si>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</si>
  <si>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</si>
  <si>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</si>
  <si>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</si>
  <si>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</si>
  <si>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</si>
  <si>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</si>
  <si>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</si>
  <si>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</si>
  <si>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</si>
  <si>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</si>
  <si>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</si>
  <si>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</si>
  <si>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</si>
  <si>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</si>
  <si>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</si>
  <si>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</si>
  <si>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</si>
  <si>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</si>
  <si>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</si>
  <si>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</si>
  <si>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</si>
  <si>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</si>
  <si>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</si>
  <si>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</si>
  <si>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</si>
  <si>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</si>
  <si>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</si>
  <si>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</si>
  <si>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</si>
  <si>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</si>
  <si>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</si>
  <si>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</si>
  <si>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</si>
  <si>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</si>
  <si>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</si>
  <si>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</si>
  <si>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</si>
  <si>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</si>
  <si>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</si>
  <si>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</si>
  <si>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</si>
  <si>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</si>
  <si>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</si>
  <si>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</si>
  <si>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</si>
  <si>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</si>
  <si>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</si>
  <si>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</si>
  <si>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</si>
  <si>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</si>
  <si>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</si>
  <si>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</si>
  <si>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</si>
  <si>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</si>
  <si>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</si>
  <si>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</si>
  <si>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</si>
  <si>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</si>
  <si>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</si>
  <si>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</si>
  <si>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</si>
  <si>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</si>
  <si>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</si>
  <si>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</si>
  <si>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</si>
  <si>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</si>
  <si>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</si>
  <si>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</si>
  <si>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</si>
  <si>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</si>
  <si>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</si>
  <si>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</si>
  <si>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</si>
  <si>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</si>
  <si>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</si>
  <si>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</si>
  <si>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</si>
  <si>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</si>
  <si>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</si>
  <si>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</si>
  <si>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</si>
  <si>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</si>
  <si>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</si>
  <si>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</si>
  <si>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</si>
  <si>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</si>
  <si>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</si>
  <si>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</si>
  <si>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</si>
  <si>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</si>
  <si>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</si>
  <si>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население</t>
  </si>
  <si>
    <t>Без НДС</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</si>
  <si>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</si>
  <si>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</si>
  <si>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</si>
  <si>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</si>
  <si>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</si>
  <si>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</si>
  <si>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</si>
  <si>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</si>
  <si>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</si>
  <si>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</si>
  <si>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</si>
  <si>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</si>
  <si>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</si>
  <si>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</si>
  <si>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</si>
  <si>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</si>
  <si>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</si>
  <si>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</si>
  <si>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</si>
  <si>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</si>
  <si>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</si>
  <si>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</si>
  <si>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</si>
  <si>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</si>
  <si>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</si>
  <si>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</si>
  <si>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</si>
  <si>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</si>
  <si>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</si>
  <si>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</si>
  <si>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</si>
  <si>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</si>
  <si>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</si>
  <si>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</si>
  <si>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</si>
  <si>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</si>
  <si>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</si>
  <si>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</si>
  <si>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</si>
  <si>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</si>
  <si>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</si>
  <si>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</si>
  <si>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</si>
  <si>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</si>
  <si>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</si>
  <si>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</si>
  <si>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</si>
  <si>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</si>
  <si>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</si>
  <si>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</si>
  <si>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</si>
  <si>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</si>
  <si>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</si>
  <si>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</si>
  <si>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</si>
  <si>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</si>
  <si>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</si>
  <si>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</si>
  <si>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</si>
  <si>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</si>
  <si>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</si>
  <si>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</si>
  <si>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</si>
  <si>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</si>
  <si>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</si>
  <si>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</si>
  <si>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</si>
  <si>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</si>
  <si>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</si>
  <si>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</si>
  <si>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</si>
  <si>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</si>
  <si>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</si>
  <si>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</si>
  <si>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</si>
  <si>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</si>
  <si>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</si>
  <si>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</si>
  <si>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</si>
  <si>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</si>
  <si>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</si>
  <si>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</si>
  <si>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</si>
  <si>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</si>
  <si>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</si>
  <si>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</si>
  <si>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</si>
  <si>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</si>
  <si>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</si>
  <si>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</si>
  <si>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</si>
  <si>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</si>
  <si>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</si>
  <si>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</si>
  <si>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</si>
  <si>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</si>
  <si>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</si>
  <si>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</si>
  <si>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</si>
  <si>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</si>
  <si>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</si>
  <si>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</si>
  <si>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</si>
  <si>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</si>
  <si>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</si>
  <si>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</si>
  <si>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</si>
  <si>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</si>
  <si>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</si>
  <si>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</si>
  <si>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</si>
  <si>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</si>
  <si>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</si>
  <si>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</si>
  <si>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</si>
  <si>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</si>
  <si>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</si>
  <si>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</si>
  <si>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</si>
  <si>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</si>
  <si>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</si>
  <si>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</si>
  <si>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</si>
  <si>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</si>
  <si>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</si>
  <si>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</si>
  <si>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</si>
  <si>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</si>
  <si>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</si>
  <si>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</si>
  <si>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</si>
  <si>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</si>
  <si>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</si>
  <si>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</si>
  <si>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</si>
  <si>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</si>
  <si>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</si>
  <si>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</si>
  <si>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</si>
  <si>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</si>
  <si>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</si>
  <si>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</si>
  <si>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</si>
  <si>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</si>
  <si>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</si>
  <si>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</si>
  <si>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</si>
  <si>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</si>
  <si>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</si>
  <si>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</si>
  <si>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</si>
  <si>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</si>
  <si>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</si>
  <si>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</si>
  <si>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</si>
  <si>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</si>
  <si>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</si>
  <si>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</si>
  <si>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</si>
  <si>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</si>
  <si>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</si>
  <si>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</si>
  <si>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</si>
  <si>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</si>
  <si>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</si>
  <si>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</si>
  <si>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</si>
  <si>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</si>
  <si>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</si>
  <si>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</si>
  <si>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</si>
  <si>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</si>
  <si>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</si>
  <si>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</si>
  <si>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</si>
  <si>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</si>
  <si>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</si>
  <si>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</si>
  <si>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</si>
  <si>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</si>
  <si>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</si>
  <si>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</si>
  <si>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</si>
  <si>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</si>
  <si>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</si>
  <si>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</si>
  <si>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</si>
  <si>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</si>
  <si>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</si>
  <si>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</si>
  <si>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</si>
  <si>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</si>
  <si>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</si>
  <si>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</si>
  <si>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</si>
  <si>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</si>
  <si>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</si>
  <si>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</si>
  <si>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</si>
  <si>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</si>
  <si>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</si>
  <si>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</si>
  <si>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</si>
  <si>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</si>
  <si>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</si>
  <si>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</si>
  <si>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</si>
  <si>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</si>
  <si>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</si>
  <si>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</si>
  <si>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</si>
  <si>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</si>
  <si>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</si>
  <si>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</si>
  <si>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</si>
  <si>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</si>
  <si>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</si>
  <si>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</si>
  <si>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</si>
  <si>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</si>
  <si>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</si>
  <si>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</si>
  <si>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</si>
  <si>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</si>
  <si>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</si>
  <si>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</si>
  <si>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</si>
  <si>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</si>
  <si>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</si>
  <si>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</si>
  <si>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</si>
  <si>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</si>
  <si>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</si>
  <si>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</si>
  <si>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</si>
  <si>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</si>
  <si>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</si>
  <si>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</si>
  <si>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</si>
  <si>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</si>
  <si>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</si>
  <si>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</si>
  <si>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</si>
  <si>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</si>
  <si>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</si>
  <si>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</si>
  <si>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</si>
  <si>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</si>
  <si>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</si>
  <si>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</si>
  <si>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</si>
  <si>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</si>
  <si>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</si>
  <si>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</si>
  <si>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</si>
  <si>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</si>
  <si>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</si>
  <si>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</si>
  <si>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</si>
  <si>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</si>
  <si>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</si>
  <si>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</si>
  <si>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</si>
  <si>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</si>
  <si>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</si>
  <si>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</si>
  <si>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</si>
  <si>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</si>
  <si>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</si>
  <si>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</si>
  <si>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</si>
  <si>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</si>
  <si>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</si>
  <si>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</si>
  <si>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</si>
  <si>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</si>
  <si>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</si>
  <si>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</si>
  <si>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</si>
  <si>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</si>
  <si>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</si>
  <si>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</si>
  <si>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</si>
  <si>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</si>
  <si>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</si>
  <si>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</si>
  <si>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</si>
  <si>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</si>
  <si>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</si>
  <si>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</si>
  <si>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</si>
  <si>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</si>
  <si>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</si>
  <si>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</si>
  <si>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</si>
  <si>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</si>
  <si>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</si>
  <si>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</si>
  <si>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</si>
  <si>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</si>
  <si>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</si>
  <si>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</si>
  <si>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</si>
  <si>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</si>
  <si>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</si>
  <si>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</si>
  <si>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</si>
  <si>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</si>
  <si>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</si>
  <si>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</si>
  <si>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</si>
  <si>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</si>
  <si>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</si>
  <si>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</si>
  <si>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</si>
  <si>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</si>
  <si>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</si>
  <si>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</si>
  <si>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</si>
  <si>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</si>
  <si>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</si>
  <si>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</si>
  <si>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</si>
  <si>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</si>
  <si>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</si>
  <si>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</si>
  <si>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</si>
  <si>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</si>
  <si>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</si>
  <si>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</si>
  <si>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</si>
  <si>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</si>
  <si>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</si>
  <si>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</si>
  <si>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</si>
  <si>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</si>
  <si>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</si>
  <si>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</si>
  <si>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</si>
  <si>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</si>
  <si>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</si>
  <si>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</si>
  <si>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</si>
  <si>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</si>
  <si>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</si>
  <si>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</si>
  <si>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</si>
  <si>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</si>
  <si>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</si>
  <si>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</si>
  <si>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</si>
  <si>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</si>
  <si>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</si>
  <si>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</si>
  <si>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</si>
  <si>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</si>
  <si>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</si>
  <si>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</si>
  <si>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</si>
  <si>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</si>
  <si>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</si>
  <si>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</si>
  <si>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</si>
  <si>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</si>
  <si>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</si>
  <si>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</si>
  <si>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</si>
  <si>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</si>
  <si>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</si>
  <si>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</si>
  <si>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</si>
  <si>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</si>
  <si>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</si>
  <si>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</si>
  <si>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</si>
  <si>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</si>
  <si>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</si>
  <si>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</si>
  <si>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</si>
  <si>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</si>
  <si>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</si>
  <si>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</si>
  <si>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</si>
  <si>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</si>
  <si>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</si>
  <si>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</si>
  <si>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</si>
  <si>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</si>
  <si>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</si>
  <si>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</si>
  <si>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</si>
  <si>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</si>
  <si>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</si>
  <si>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</si>
  <si>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</si>
  <si>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</si>
  <si>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</si>
  <si>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</si>
  <si>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</si>
  <si>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</si>
  <si>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</si>
  <si>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</si>
  <si>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</si>
  <si>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</si>
  <si>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</si>
  <si>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</si>
  <si>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</si>
  <si>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</si>
  <si>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</si>
  <si>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</si>
  <si>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</si>
  <si>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</si>
  <si>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</si>
  <si>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</si>
  <si>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</si>
  <si>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</si>
  <si>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</si>
  <si>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</si>
  <si>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</si>
  <si>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</si>
  <si>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</si>
  <si>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</si>
  <si>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</si>
  <si>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</si>
  <si>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</si>
  <si>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</si>
  <si>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</si>
  <si>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</si>
  <si>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</si>
  <si>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</si>
  <si>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</si>
  <si>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</si>
  <si>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</si>
  <si>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</si>
  <si>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</si>
  <si>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</si>
  <si>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</si>
  <si>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</si>
  <si>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</si>
  <si>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</si>
  <si>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</si>
  <si>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</si>
  <si>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</si>
  <si>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</si>
  <si>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</si>
  <si>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</si>
  <si>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</si>
  <si>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</si>
  <si>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</si>
  <si>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</si>
  <si>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</si>
  <si>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</si>
  <si>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</si>
  <si>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</si>
  <si>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</si>
  <si>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</si>
  <si>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</si>
  <si>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</si>
  <si>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</si>
  <si>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</si>
  <si>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</si>
  <si>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</si>
  <si>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</si>
  <si>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</si>
  <si>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</si>
  <si>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</si>
  <si>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</si>
  <si>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</si>
  <si>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</si>
  <si>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</si>
  <si>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</si>
  <si>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</si>
  <si>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</si>
  <si>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</si>
  <si>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</si>
  <si>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</si>
  <si>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</si>
  <si>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</si>
  <si>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</si>
  <si>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</si>
  <si>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</si>
  <si>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</si>
  <si>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</si>
  <si>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</si>
  <si>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</si>
  <si>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</si>
  <si>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</si>
  <si>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</si>
  <si>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</si>
  <si>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</si>
  <si>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</si>
  <si>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</si>
  <si>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</si>
  <si>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</si>
  <si>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</si>
  <si>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</si>
  <si>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</si>
  <si>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</si>
  <si>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</si>
  <si>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</si>
  <si>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</si>
  <si>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</si>
  <si>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</si>
  <si>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</si>
  <si>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</si>
  <si>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</si>
  <si>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</si>
  <si>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</si>
  <si>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</si>
  <si>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</si>
  <si>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</si>
  <si>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</si>
  <si>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</si>
  <si>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</si>
  <si>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</si>
  <si>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</si>
  <si>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</si>
  <si>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</si>
  <si>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</si>
  <si>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</si>
  <si>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</si>
  <si>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</si>
  <si>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</si>
  <si>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</si>
  <si>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</si>
  <si>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</si>
  <si>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</si>
  <si>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</si>
  <si>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</si>
  <si>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</si>
  <si>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</si>
  <si>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</si>
  <si>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</si>
  <si>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</si>
  <si>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</si>
  <si>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</si>
  <si>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</si>
  <si>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</si>
  <si>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</si>
  <si>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</si>
  <si>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</si>
  <si>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</si>
  <si>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</si>
  <si>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</si>
  <si>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</si>
  <si>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</si>
  <si>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</si>
  <si>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</si>
  <si>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</si>
  <si>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</si>
  <si>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</si>
  <si>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</si>
  <si>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</si>
  <si>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</si>
  <si>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</si>
  <si>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</si>
  <si>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</si>
  <si>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</si>
  <si>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</si>
  <si>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</si>
  <si>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</si>
  <si>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</si>
  <si>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</si>
  <si>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</si>
  <si>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</si>
  <si>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</si>
  <si>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</si>
  <si>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</si>
  <si>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</si>
  <si>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</si>
  <si>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</si>
  <si>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</si>
  <si>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</si>
  <si>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</si>
  <si>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</si>
  <si>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</si>
  <si>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</si>
  <si>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</si>
  <si>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</si>
  <si>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</si>
  <si>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</si>
  <si>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</si>
  <si>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</si>
  <si>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</si>
  <si>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</si>
  <si>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</si>
  <si>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</si>
  <si>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</si>
  <si>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</si>
  <si>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</si>
  <si>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</si>
  <si>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</si>
  <si>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</si>
  <si>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</si>
  <si>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</si>
  <si>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</si>
  <si>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</si>
  <si>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</si>
  <si>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</si>
  <si>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</si>
  <si>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</si>
  <si>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</si>
  <si>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</si>
  <si>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</si>
  <si>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</si>
  <si>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</si>
  <si>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</si>
  <si>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</si>
  <si>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</si>
  <si>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</si>
  <si>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</si>
  <si>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</si>
  <si>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</si>
  <si>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</si>
  <si>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</si>
  <si>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</si>
  <si>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</si>
  <si>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</si>
  <si>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</si>
  <si>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</si>
  <si>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</si>
  <si>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</si>
  <si>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</si>
  <si>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</si>
  <si>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</si>
  <si>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</si>
  <si>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</si>
  <si>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</si>
  <si>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</si>
  <si>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</si>
  <si>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</si>
  <si>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</si>
  <si>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</si>
  <si>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</si>
  <si>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</si>
  <si>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</si>
  <si>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</si>
  <si>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</si>
  <si>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</si>
  <si>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</si>
  <si>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</si>
  <si>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</si>
  <si>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</si>
  <si>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</si>
  <si>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</si>
  <si>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</si>
  <si>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</si>
  <si>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</si>
  <si>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</si>
  <si>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</si>
  <si>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</si>
  <si>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</si>
  <si>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</si>
  <si>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</si>
  <si>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</si>
  <si>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</si>
  <si>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</si>
  <si>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</si>
  <si>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</si>
  <si>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</si>
  <si>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</si>
  <si>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</si>
  <si>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</si>
  <si>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</si>
  <si>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</si>
  <si>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</si>
  <si>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</si>
  <si>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</si>
  <si>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</si>
  <si>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</si>
  <si>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</si>
  <si>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</si>
  <si>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</si>
  <si>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</si>
  <si>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</si>
  <si>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</si>
  <si>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</si>
  <si>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</si>
  <si>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</si>
  <si>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</si>
  <si>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</si>
  <si>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</si>
  <si>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</si>
  <si>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</si>
  <si>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</si>
  <si>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</si>
  <si>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</si>
  <si>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</si>
  <si>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</si>
  <si>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</si>
  <si>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</si>
  <si>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</si>
  <si>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</si>
  <si>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</si>
  <si>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</si>
  <si>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</si>
  <si>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</si>
  <si>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</si>
  <si>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</si>
  <si>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</si>
  <si>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</si>
  <si>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</si>
  <si>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</si>
  <si>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</si>
  <si>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</si>
  <si>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</si>
  <si>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</si>
  <si>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</si>
  <si>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</si>
  <si>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</si>
  <si>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</si>
  <si>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</si>
  <si>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</si>
  <si>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</si>
  <si>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</si>
  <si>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</si>
  <si>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</si>
  <si>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</si>
  <si>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</si>
  <si>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</si>
  <si>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</si>
  <si>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</si>
  <si>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</si>
  <si>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</si>
  <si>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</si>
  <si>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</si>
  <si>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</si>
  <si>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</si>
  <si>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</si>
  <si>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</si>
  <si>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</si>
  <si>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</si>
  <si>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</si>
  <si>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</si>
  <si>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</si>
  <si>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</si>
  <si>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</si>
  <si>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</si>
  <si>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</si>
  <si>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</si>
  <si>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</si>
  <si>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</si>
  <si>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</si>
  <si>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</si>
  <si>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</si>
  <si>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</si>
  <si>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</si>
  <si>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</si>
  <si>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</si>
  <si>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</si>
  <si>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</si>
  <si>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</si>
  <si>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</si>
  <si>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</si>
  <si>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</si>
  <si>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</si>
  <si>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</si>
  <si>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</si>
  <si>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</si>
  <si>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</si>
  <si>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</si>
  <si>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</si>
  <si>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</si>
  <si>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</si>
  <si>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</si>
  <si>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</si>
  <si>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</si>
  <si>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</si>
  <si>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</si>
  <si>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</si>
  <si>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</si>
  <si>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</si>
  <si>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</si>
  <si>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</si>
  <si>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</si>
  <si>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</si>
  <si>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</si>
  <si>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</si>
  <si>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</si>
  <si>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</si>
  <si>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</si>
  <si>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</si>
  <si>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</si>
  <si>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</si>
  <si>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</si>
  <si>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</si>
  <si>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</si>
  <si>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</si>
  <si>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</si>
  <si>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</si>
  <si>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</si>
  <si>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</si>
  <si>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</si>
  <si>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</si>
  <si>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</si>
  <si>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</si>
  <si>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</si>
  <si>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</si>
  <si>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</si>
  <si>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</si>
  <si>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</si>
  <si>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</si>
  <si>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</si>
  <si>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</si>
  <si>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</si>
  <si>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</si>
  <si>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</si>
  <si>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</si>
  <si>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</si>
  <si>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</si>
  <si>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</si>
  <si>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</si>
  <si>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</si>
  <si>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</si>
  <si>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</si>
  <si>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</si>
  <si>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</si>
  <si>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</si>
  <si>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</si>
  <si>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</si>
  <si>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</si>
  <si>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</si>
  <si>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</si>
  <si>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</si>
  <si>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</si>
  <si>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</si>
  <si>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</si>
  <si>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</si>
  <si>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</si>
  <si>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</si>
  <si>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</si>
  <si>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</si>
  <si>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</si>
  <si>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</si>
  <si>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</si>
  <si>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</si>
  <si>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</si>
  <si>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</si>
  <si>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</si>
  <si>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</si>
  <si>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</si>
  <si>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</si>
  <si>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</si>
  <si>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</si>
  <si>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</si>
  <si>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</si>
  <si>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</si>
  <si>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</si>
  <si>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</si>
  <si>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</si>
  <si>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</si>
  <si>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</si>
  <si>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</si>
  <si>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</si>
  <si>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</si>
  <si>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</si>
  <si>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</si>
  <si>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</si>
  <si>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</si>
  <si>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</si>
  <si>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</si>
  <si>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</si>
  <si>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</si>
  <si>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</si>
  <si>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</si>
  <si>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</si>
  <si>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</si>
  <si>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</si>
  <si>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</si>
  <si>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</si>
  <si>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</si>
  <si>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</si>
  <si>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</si>
  <si>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</si>
  <si>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</si>
  <si>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</si>
  <si>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</si>
  <si>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</si>
  <si>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</si>
  <si>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</si>
  <si>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</si>
  <si>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</si>
  <si>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</si>
  <si>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</si>
  <si>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</si>
  <si>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</si>
  <si>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</si>
  <si>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</si>
  <si>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</si>
  <si>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</si>
  <si>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</si>
  <si>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</si>
  <si>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</si>
  <si>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</si>
  <si>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</si>
  <si>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</si>
  <si>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</si>
  <si>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</si>
  <si>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</si>
  <si>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</si>
  <si>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</si>
  <si>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</si>
  <si>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</si>
  <si>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</si>
  <si>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</si>
  <si>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</si>
  <si>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</si>
  <si>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</si>
  <si>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</si>
  <si>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</si>
  <si>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</si>
  <si>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</si>
  <si>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</si>
  <si>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</si>
  <si>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</si>
  <si>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</si>
  <si>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</si>
  <si>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</si>
  <si>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</si>
  <si>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</si>
  <si>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</si>
  <si>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</si>
  <si>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</si>
  <si>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</si>
  <si>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</si>
  <si>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</si>
  <si>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</si>
  <si>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</si>
  <si>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</si>
  <si>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</si>
  <si>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</si>
  <si>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</si>
  <si>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</si>
  <si>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</si>
  <si>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</si>
  <si>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</si>
  <si>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</si>
  <si>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</si>
  <si>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</si>
  <si>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</si>
  <si>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</si>
  <si>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</si>
  <si>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</si>
  <si>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</si>
  <si>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</si>
  <si>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</si>
  <si>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</si>
  <si>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</si>
  <si>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</si>
  <si>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</si>
  <si>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</si>
  <si>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</si>
  <si>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</si>
  <si>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</si>
  <si>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</si>
  <si>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</si>
  <si>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</si>
  <si>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</si>
  <si>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</si>
  <si>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</si>
  <si>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</si>
  <si>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</si>
  <si>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</si>
  <si>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</si>
  <si>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</si>
  <si>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</si>
  <si>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</si>
  <si>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</si>
  <si>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</si>
  <si>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</si>
  <si>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</si>
  <si>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</si>
  <si>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</si>
  <si>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</si>
  <si>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</si>
  <si>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</si>
  <si>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</si>
  <si>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</si>
  <si>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</si>
  <si>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</si>
  <si>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</si>
  <si>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</si>
  <si>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</si>
  <si>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</si>
  <si>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</si>
  <si>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</si>
  <si>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</si>
  <si>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</si>
  <si>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</si>
  <si>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</si>
  <si>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</si>
  <si>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</si>
  <si>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</si>
  <si>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</si>
  <si>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</si>
  <si>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</si>
  <si>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</si>
  <si>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</si>
  <si>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</si>
  <si>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</si>
  <si>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</si>
  <si>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</si>
  <si>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</si>
  <si>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</si>
  <si>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</si>
  <si>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</si>
  <si>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</si>
  <si>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</si>
  <si>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</si>
  <si>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</si>
  <si>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</si>
  <si>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</si>
  <si>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</si>
  <si>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</si>
  <si>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</si>
  <si>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</si>
  <si>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</si>
  <si>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</si>
  <si>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</si>
  <si>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</si>
  <si>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</si>
  <si>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</si>
  <si>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</si>
  <si>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</si>
  <si>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</si>
  <si>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</si>
  <si>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</si>
  <si>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</si>
  <si>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</si>
  <si>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</si>
  <si>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</si>
  <si>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</si>
  <si>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</si>
  <si>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</si>
  <si>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</si>
  <si>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</si>
  <si>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</si>
  <si>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</si>
  <si>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</si>
  <si>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</si>
  <si>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</si>
  <si>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</si>
  <si>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</si>
  <si>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</si>
  <si>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</si>
  <si>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</si>
  <si>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</si>
  <si>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</si>
  <si>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</si>
  <si>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</si>
  <si>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</si>
  <si>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</si>
  <si>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</si>
  <si>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</si>
  <si>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</si>
  <si>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</si>
  <si>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</si>
  <si>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</si>
  <si>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</si>
  <si>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</si>
  <si>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</si>
  <si>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</si>
  <si>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</si>
  <si>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</si>
  <si>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</si>
  <si>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</si>
  <si>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</si>
  <si>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</si>
  <si>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</si>
  <si>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</si>
  <si>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</si>
  <si>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</si>
  <si>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</si>
  <si>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</si>
  <si>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</si>
  <si>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</si>
  <si>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</si>
  <si>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</si>
  <si>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</si>
  <si>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</si>
  <si>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</si>
  <si>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</si>
  <si>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</si>
  <si>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</si>
  <si>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</si>
  <si>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</si>
  <si>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</si>
  <si>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</si>
  <si>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</si>
  <si>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</si>
  <si>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</si>
  <si>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</si>
  <si>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</si>
  <si>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</si>
  <si>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</si>
  <si>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</si>
  <si>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</si>
  <si>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</si>
  <si>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</si>
  <si>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</si>
  <si>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</si>
  <si>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</si>
  <si>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</si>
  <si>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</si>
  <si>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</si>
  <si>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</si>
  <si>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</si>
  <si>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</si>
  <si>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</si>
  <si>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</si>
  <si>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</si>
  <si>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</si>
  <si>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</si>
  <si>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</si>
  <si>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</si>
  <si>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</si>
  <si>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</si>
  <si>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</si>
  <si>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</si>
  <si>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</si>
  <si>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</si>
  <si>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</si>
  <si>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</si>
  <si>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</si>
  <si>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</si>
  <si>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</si>
  <si>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</si>
  <si>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</si>
  <si>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</si>
  <si>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</si>
  <si>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</si>
  <si>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</si>
  <si>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</si>
  <si>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</si>
  <si>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</si>
  <si>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</si>
  <si>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</si>
  <si>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</si>
  <si>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</si>
  <si>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</si>
  <si>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</si>
  <si>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</si>
  <si>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</si>
  <si>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</si>
  <si>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</si>
  <si>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</si>
  <si>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</si>
  <si>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</si>
  <si>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</si>
  <si>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</si>
  <si>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</si>
  <si>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</si>
  <si>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</si>
  <si>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</si>
  <si>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</si>
  <si>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</si>
  <si>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</si>
  <si>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</si>
  <si>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</si>
  <si>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</si>
  <si>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</si>
  <si>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</si>
  <si>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</si>
  <si>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</si>
  <si>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</si>
  <si>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</si>
  <si>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</si>
  <si>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</si>
  <si>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</si>
  <si>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</si>
  <si>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</si>
  <si>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</si>
  <si>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</si>
  <si>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</si>
  <si>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</si>
  <si>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</si>
  <si>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</si>
  <si>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</si>
  <si>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</si>
  <si>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</si>
  <si>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</si>
  <si>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</si>
  <si>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</si>
  <si>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</si>
  <si>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</si>
  <si>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</si>
  <si>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</si>
  <si>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</si>
  <si>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</si>
  <si>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</si>
  <si>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</si>
  <si>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</si>
  <si>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</si>
  <si>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</si>
  <si>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</si>
  <si>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</si>
  <si>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</si>
  <si>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</si>
  <si>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</si>
  <si>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</si>
  <si>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</si>
  <si>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</si>
  <si>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</si>
  <si>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</si>
  <si>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</si>
  <si>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</si>
  <si>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</si>
  <si>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</si>
  <si>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</si>
  <si>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</si>
  <si>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</si>
  <si>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</si>
  <si>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</si>
  <si>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</si>
  <si>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</si>
  <si>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</si>
  <si>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</si>
  <si>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</si>
  <si>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</si>
  <si>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</si>
  <si>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</si>
  <si>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</si>
  <si>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</si>
  <si>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</si>
  <si>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</si>
  <si>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</si>
  <si>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</si>
  <si>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</si>
  <si>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</si>
  <si>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</si>
  <si>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</si>
  <si>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</si>
  <si>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</si>
  <si>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</si>
  <si>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</si>
  <si>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</si>
  <si>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</si>
  <si>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</si>
  <si>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</si>
  <si>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</si>
  <si>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</si>
  <si>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</si>
  <si>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</si>
  <si>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</si>
  <si>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</si>
  <si>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</si>
  <si>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</si>
  <si>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</si>
  <si>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</si>
  <si>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</si>
  <si>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</si>
  <si>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</si>
  <si>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</si>
  <si>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</si>
  <si>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</si>
  <si>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</si>
  <si>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</si>
  <si>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</si>
  <si>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</si>
  <si>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</si>
  <si>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</si>
  <si>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</si>
  <si>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</si>
  <si>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</si>
  <si>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</si>
  <si>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</si>
  <si>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</si>
  <si>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Постановлением от  21.12.2023 №72/1 внесено изменение в приложение №1 постановления от 08.12.2023 №66/4 : в столбце «2023» строки 3.2 раздела 5 «Плановые значения показателей надежности, качества, энергетической эффективности объектов централизованных систем водоснабжения» число «0,055» (удельное количество тепловой энергии, расходуемое на подогрев горячей воды, Гкал/куб.м) заменено на число «0,046454»</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</si>
  <si>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</si>
  <si>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</si>
  <si>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</si>
  <si>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</si>
  <si>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</si>
  <si>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</si>
  <si>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</si>
  <si>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</si>
  <si>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</si>
  <si>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</si>
  <si>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</si>
  <si>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</si>
  <si>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</si>
  <si>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</si>
  <si>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</si>
  <si>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</si>
  <si>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</si>
  <si>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</si>
  <si>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</si>
  <si>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</si>
  <si>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</si>
  <si>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</si>
  <si>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</si>
  <si>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</si>
  <si>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</si>
  <si>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</si>
  <si>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</si>
  <si>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</si>
  <si>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</si>
  <si>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</si>
  <si>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</si>
  <si>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</si>
  <si>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</si>
  <si>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</si>
  <si>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</si>
  <si>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</si>
  <si>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</si>
  <si>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</si>
  <si>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</si>
  <si>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</si>
  <si>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</si>
  <si>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</si>
  <si>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</si>
  <si>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</si>
  <si>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</si>
  <si>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</si>
  <si>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</si>
  <si>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</si>
  <si>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</si>
  <si>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</si>
  <si>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</si>
  <si>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</si>
  <si>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</si>
  <si>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</si>
  <si>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</si>
  <si>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</si>
  <si>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</si>
  <si>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</si>
  <si>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</si>
  <si>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</si>
  <si>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</si>
  <si>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</si>
  <si>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</si>
  <si>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</si>
  <si>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</si>
  <si>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</si>
  <si>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</si>
  <si>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</si>
  <si>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</si>
  <si>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</si>
  <si>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</si>
  <si>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</si>
  <si>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</si>
  <si>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</si>
  <si>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</si>
  <si>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</si>
  <si>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</si>
  <si>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</si>
  <si>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</si>
  <si>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</si>
  <si>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</si>
  <si>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</si>
  <si>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</si>
  <si>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</si>
  <si>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</si>
  <si>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</si>
  <si>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</si>
  <si>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</si>
  <si>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</si>
  <si>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</si>
  <si>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</si>
  <si>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</si>
  <si>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</si>
  <si>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</si>
  <si>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</si>
  <si>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</si>
  <si>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</si>
  <si>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</si>
  <si>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</si>
  <si>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</si>
  <si>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</si>
  <si>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</si>
  <si>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</si>
  <si>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</si>
  <si>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</si>
  <si>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</si>
  <si>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</si>
  <si>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</si>
  <si>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</si>
  <si>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</si>
  <si>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</si>
  <si>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</si>
  <si>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</si>
  <si>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</si>
  <si>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</si>
  <si>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</si>
  <si>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</si>
  <si>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</si>
  <si>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</si>
  <si>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</si>
  <si>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</si>
  <si>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</si>
  <si>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</si>
  <si>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</si>
  <si>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</si>
  <si>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</si>
  <si>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</si>
  <si>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</si>
  <si>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</si>
  <si>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</si>
  <si>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</si>
  <si>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</si>
  <si>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</si>
  <si>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</si>
  <si>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</si>
  <si>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</si>
  <si>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</si>
  <si>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</si>
  <si>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</si>
  <si>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</si>
  <si>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</si>
  <si>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</si>
  <si>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</si>
  <si>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</si>
  <si>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</si>
  <si>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</si>
  <si>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</si>
  <si>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</si>
  <si>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</si>
  <si>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</si>
  <si>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</si>
  <si>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</si>
  <si>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</si>
  <si>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</si>
  <si>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</si>
  <si>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</si>
  <si>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</si>
  <si>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</si>
  <si>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</si>
  <si>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</si>
  <si>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</si>
  <si>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</si>
  <si>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</si>
  <si>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</si>
  <si>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</si>
  <si>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</si>
  <si>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</si>
  <si>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</si>
  <si>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</si>
  <si>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</si>
  <si>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</si>
  <si>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</si>
  <si>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</si>
  <si>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</si>
  <si>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</si>
  <si>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</si>
  <si>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</si>
  <si>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</si>
  <si>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</si>
  <si>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</si>
  <si>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</si>
  <si>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</si>
  <si>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</si>
  <si>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</si>
  <si>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</si>
  <si>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</si>
  <si>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</si>
  <si>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</si>
  <si>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</si>
  <si>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</si>
  <si>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</si>
  <si>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</si>
  <si>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</si>
  <si>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</si>
  <si>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</si>
  <si>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</si>
  <si>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</si>
  <si>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</si>
  <si>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</si>
  <si>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</si>
  <si>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</si>
  <si>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</si>
  <si>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</si>
  <si>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</si>
  <si>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</si>
  <si>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</si>
  <si>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</si>
  <si>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</si>
  <si>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</si>
  <si>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</si>
  <si>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</si>
  <si>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</si>
  <si>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</si>
  <si>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</si>
  <si>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</si>
  <si>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</si>
  <si>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</si>
  <si>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</si>
  <si>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</si>
  <si>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</si>
  <si>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</si>
  <si>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</si>
  <si>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</si>
  <si>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</si>
  <si>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</si>
  <si>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</si>
  <si>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</si>
  <si>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</si>
  <si>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</si>
  <si>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</si>
  <si>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</si>
  <si>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</si>
  <si>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</si>
  <si>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</si>
  <si>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</si>
  <si>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</si>
  <si>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</si>
  <si>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</si>
  <si>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</si>
  <si>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</si>
  <si>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</si>
  <si>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</si>
  <si>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</si>
  <si>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</si>
  <si>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</si>
  <si>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</si>
  <si>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</si>
  <si>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</si>
  <si>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</si>
  <si>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</si>
  <si>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</si>
  <si>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</si>
  <si>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</si>
  <si>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</si>
  <si>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</si>
  <si>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</si>
  <si>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</si>
  <si>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</si>
  <si>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</si>
  <si>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</si>
  <si>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</si>
  <si>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</si>
  <si>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</si>
  <si>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</si>
  <si>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</si>
  <si>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</si>
  <si>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</si>
  <si>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</si>
  <si>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</si>
  <si>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</si>
  <si>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</si>
  <si>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</si>
  <si>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</si>
  <si>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</si>
  <si>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</si>
  <si>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</si>
  <si>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</si>
  <si>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</si>
  <si>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</si>
  <si>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</si>
  <si>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</si>
  <si>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</si>
  <si>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</si>
  <si>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</si>
  <si>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</si>
  <si>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</si>
  <si>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</si>
  <si>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</si>
  <si>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</si>
  <si>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</si>
  <si>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</si>
  <si>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</si>
  <si>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</si>
  <si>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</si>
  <si>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</si>
  <si>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</si>
  <si>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</si>
  <si>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</si>
  <si>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</si>
  <si>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</si>
  <si>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</si>
  <si>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</si>
  <si>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</si>
  <si>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</si>
  <si>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</si>
  <si>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</si>
  <si>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</si>
  <si>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</si>
  <si>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</si>
  <si>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</si>
  <si>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</si>
  <si>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</si>
  <si>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</si>
  <si>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</si>
  <si>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</si>
  <si>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</si>
  <si>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</si>
  <si>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</si>
  <si>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</si>
  <si>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</si>
  <si>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</si>
  <si>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</si>
  <si>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</si>
  <si>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</si>
  <si>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</si>
  <si>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</si>
  <si>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</si>
  <si>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</si>
  <si>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</si>
  <si>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</si>
  <si>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</si>
  <si>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</si>
  <si>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</si>
  <si>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</si>
  <si>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</si>
  <si>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</si>
  <si>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</si>
  <si>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</si>
  <si>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</si>
  <si>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</si>
  <si>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</si>
  <si>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</si>
  <si>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</si>
  <si>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</si>
  <si>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</si>
  <si>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</si>
  <si>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</si>
  <si>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</si>
  <si>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</si>
  <si>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</si>
  <si>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</si>
  <si>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</si>
  <si>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</si>
  <si>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</si>
  <si>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</si>
  <si>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</si>
  <si>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</si>
  <si>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</si>
  <si>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</si>
  <si>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</si>
  <si>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26470128</t>
  </si>
  <si>
    <t>1983 ОМИС МО РФ п.Штыково</t>
  </si>
  <si>
    <t>2503006757</t>
  </si>
  <si>
    <t>250301001</t>
  </si>
  <si>
    <t>31-12-2010 00:00:00</t>
  </si>
  <si>
    <t>АГЕНТСТВО ПО ТАРИФАМ ПРИМОРСКОГО КРАЯ</t>
  </si>
  <si>
    <t>2540069025</t>
  </si>
  <si>
    <t>254001001</t>
  </si>
  <si>
    <t>30856890</t>
  </si>
  <si>
    <t>АНО "Приморский консультационный центр предпринимательства"</t>
  </si>
  <si>
    <t>2536105400</t>
  </si>
  <si>
    <t>253601001</t>
  </si>
  <si>
    <t>27-12-2017 00:00:00</t>
  </si>
  <si>
    <t>26470028</t>
  </si>
  <si>
    <t>АО " Находкинский морской торговый порт"</t>
  </si>
  <si>
    <t>2508001449</t>
  </si>
  <si>
    <t>250801001</t>
  </si>
  <si>
    <t>26565199</t>
  </si>
  <si>
    <t>АО "Артемовская экспедиция"</t>
  </si>
  <si>
    <t>2502016255</t>
  </si>
  <si>
    <t>250201001</t>
  </si>
  <si>
    <t>30363792</t>
  </si>
  <si>
    <t>АО "ГУ ЖКХ"</t>
  </si>
  <si>
    <t>5116000922</t>
  </si>
  <si>
    <t>770401002</t>
  </si>
  <si>
    <t>01-01-2018 00:00:00</t>
  </si>
  <si>
    <t>26320262</t>
  </si>
  <si>
    <t>АО "Горно-химическая компания Бор"</t>
  </si>
  <si>
    <t>2505009506</t>
  </si>
  <si>
    <t>770601001</t>
  </si>
  <si>
    <t>05-11-2004 00:00:00</t>
  </si>
  <si>
    <t>20-12-2020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</si>
  <si>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</si>
  <si>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</si>
  <si>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</si>
  <si>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</si>
  <si>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</si>
  <si>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</si>
  <si>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</si>
  <si>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</si>
  <si>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</si>
  <si>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</si>
  <si>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</si>
  <si>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</si>
  <si>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</si>
  <si>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</si>
  <si>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</si>
  <si>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</si>
  <si>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</si>
  <si>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</si>
  <si>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</si>
  <si>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</si>
  <si>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</si>
  <si>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</si>
  <si>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</si>
  <si>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</si>
  <si>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</si>
  <si>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</si>
  <si>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</si>
  <si>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</si>
  <si>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</si>
  <si>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</si>
  <si>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</si>
  <si>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</si>
  <si>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</si>
  <si>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</si>
  <si>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</si>
  <si>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</si>
  <si>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</si>
  <si>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</si>
  <si>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</si>
  <si>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</si>
  <si>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</si>
  <si>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</si>
  <si>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</si>
  <si>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</si>
  <si>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</si>
  <si>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</si>
  <si>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</si>
  <si>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</si>
  <si>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</si>
  <si>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</si>
  <si>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</si>
  <si>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</si>
  <si>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</si>
  <si>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</si>
  <si>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</si>
  <si>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</si>
  <si>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</si>
  <si>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</si>
  <si>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</si>
  <si>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</si>
  <si>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</si>
  <si>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</si>
  <si>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</si>
  <si>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</si>
  <si>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</si>
  <si>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</si>
  <si>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</si>
  <si>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</si>
  <si>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</si>
  <si>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</si>
  <si>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</si>
  <si>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</si>
  <si>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</si>
  <si>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</si>
  <si>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</si>
  <si>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</si>
  <si>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</si>
  <si>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</si>
  <si>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</si>
  <si>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</si>
  <si>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</si>
  <si>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</si>
  <si>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</si>
  <si>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</si>
  <si>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</si>
  <si>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</si>
  <si>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</si>
  <si>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</si>
  <si>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</si>
  <si>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</si>
  <si>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</si>
  <si>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</si>
  <si>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</si>
  <si>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</si>
  <si>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</si>
  <si>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</si>
  <si>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</si>
  <si>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</si>
  <si>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</si>
  <si>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</si>
  <si>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</si>
  <si>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</si>
  <si>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</si>
  <si>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</si>
  <si>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</si>
  <si>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</si>
  <si>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</si>
  <si>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</si>
  <si>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</si>
  <si>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</si>
  <si>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</si>
  <si>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</si>
  <si>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</si>
  <si>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</si>
  <si>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</si>
  <si>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</si>
  <si>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</si>
  <si>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</si>
  <si>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</si>
  <si>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</si>
  <si>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</si>
  <si>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</si>
  <si>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</si>
  <si>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</si>
  <si>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</si>
  <si>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</si>
  <si>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</si>
  <si>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</si>
  <si>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</si>
  <si>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</si>
  <si>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</si>
  <si>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</si>
  <si>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</si>
  <si>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26469922</t>
  </si>
  <si>
    <t>КГУП "Котельная с тепловыми сетями "</t>
  </si>
  <si>
    <t>2539007708</t>
  </si>
  <si>
    <t>253901001</t>
  </si>
  <si>
    <t>31-12-2020 00:00:00</t>
  </si>
  <si>
    <t>26469914</t>
  </si>
  <si>
    <t>КГУП "Приморский экологический оператор"</t>
  </si>
  <si>
    <t>2504000885</t>
  </si>
  <si>
    <t>253801001</t>
  </si>
  <si>
    <t>26470185</t>
  </si>
  <si>
    <t>КГУП "Примтеплоэнерго"</t>
  </si>
  <si>
    <t>2536112729</t>
  </si>
  <si>
    <t>30423124</t>
  </si>
  <si>
    <t>КГУП Примтеплоэнерго</t>
  </si>
  <si>
    <t>250132001</t>
  </si>
  <si>
    <t>01-01-2017 00:00:00</t>
  </si>
  <si>
    <t>26470353</t>
  </si>
  <si>
    <t>251532001</t>
  </si>
  <si>
    <t>10-10-2018 00:00:00</t>
  </si>
  <si>
    <t>31503620</t>
  </si>
  <si>
    <t>МБУ "СКС"</t>
  </si>
  <si>
    <t>2502064403</t>
  </si>
  <si>
    <t>26-03-2021 00:00:00</t>
  </si>
  <si>
    <t>26470118</t>
  </si>
  <si>
    <t>МКП "Энергетик"</t>
  </si>
  <si>
    <t>2534006718</t>
  </si>
  <si>
    <t>253401001</t>
  </si>
  <si>
    <t>17-04-2008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</si>
  <si>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</si>
  <si>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</si>
  <si>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</si>
  <si>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</si>
  <si>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</si>
  <si>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</si>
  <si>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</si>
  <si>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</si>
  <si>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</si>
  <si>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</si>
  <si>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</si>
  <si>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26470112</t>
  </si>
  <si>
    <t>МУП "Коммунальный комплекс Пластун"</t>
  </si>
  <si>
    <t>2528885436</t>
  </si>
  <si>
    <t>252801001</t>
  </si>
  <si>
    <t>07-06-2013 00:00:00</t>
  </si>
  <si>
    <t>26470110</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</si>
  <si>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</si>
  <si>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</si>
  <si>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</si>
  <si>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</si>
  <si>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</si>
  <si>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</si>
  <si>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</si>
  <si>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</si>
  <si>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</si>
  <si>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</si>
  <si>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</si>
  <si>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</si>
  <si>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</si>
  <si>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</si>
  <si>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</si>
  <si>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</si>
  <si>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</si>
  <si>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</si>
  <si>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</si>
  <si>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</si>
  <si>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</si>
  <si>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</si>
  <si>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</si>
  <si>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</si>
  <si>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</si>
  <si>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</si>
  <si>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</si>
  <si>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</si>
  <si>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</si>
  <si>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</si>
  <si>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</si>
  <si>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</si>
  <si>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</si>
  <si>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26538885</t>
  </si>
  <si>
    <t>ОАО "Дальневосточная энергетическая управляющая компания"</t>
  </si>
  <si>
    <t>2540080100</t>
  </si>
  <si>
    <t>27572850</t>
  </si>
  <si>
    <t>ОАО "Дальприбор"</t>
  </si>
  <si>
    <t>2539008807</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</si>
  <si>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</si>
  <si>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</si>
  <si>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</si>
  <si>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</si>
  <si>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</si>
  <si>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</si>
  <si>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</si>
  <si>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</si>
  <si>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</si>
  <si>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</si>
  <si>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</si>
  <si>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</si>
  <si>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</si>
  <si>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</si>
  <si>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</si>
  <si>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</si>
  <si>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</si>
  <si>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</si>
  <si>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</si>
  <si>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</si>
  <si>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</si>
  <si>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</si>
  <si>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</si>
  <si>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</si>
  <si>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</si>
  <si>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</si>
  <si>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</si>
  <si>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</si>
  <si>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</si>
  <si>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</si>
  <si>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</si>
  <si>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</si>
  <si>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</si>
  <si>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</si>
  <si>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</si>
  <si>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</si>
  <si>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26778927</t>
  </si>
  <si>
    <t>ООО "Возрождение"</t>
  </si>
  <si>
    <t>2506010060</t>
  </si>
  <si>
    <t>250602200</t>
  </si>
  <si>
    <t>12-12-2019 00:00:00</t>
  </si>
  <si>
    <t>31594636</t>
  </si>
  <si>
    <t>ООО "Восток Сервис Бункер"</t>
  </si>
  <si>
    <t>2508133131</t>
  </si>
  <si>
    <t>03-05-2018 00:00:00</t>
  </si>
  <si>
    <t>27666431</t>
  </si>
  <si>
    <t>ООО "ВостокСтрой"</t>
  </si>
  <si>
    <t>2506012244</t>
  </si>
  <si>
    <t>250601001</t>
  </si>
  <si>
    <t>01-03-2015 00:00:00</t>
  </si>
  <si>
    <t>28954027</t>
  </si>
  <si>
    <t>ООО "Востокстрой-1"</t>
  </si>
  <si>
    <t>2506013287</t>
  </si>
  <si>
    <t>15-01-2020 00:00:00</t>
  </si>
  <si>
    <t>26775485</t>
  </si>
  <si>
    <t>ООО "Востоктепло"</t>
  </si>
  <si>
    <t>2531010642</t>
  </si>
  <si>
    <t>01-08-2017 00:00:00</t>
  </si>
  <si>
    <t>26470056</t>
  </si>
  <si>
    <t>ООО "Гарант"</t>
  </si>
  <si>
    <t>2531008700</t>
  </si>
  <si>
    <t>15-01-2021 00:00:00</t>
  </si>
  <si>
    <t>31519396</t>
  </si>
  <si>
    <t>ООО "Гранд"</t>
  </si>
  <si>
    <t>2508092767</t>
  </si>
  <si>
    <t>17-09-2021 00:00:00</t>
  </si>
  <si>
    <t>30840373</t>
  </si>
  <si>
    <t>ООО "Дальневосточная производственная компания"</t>
  </si>
  <si>
    <t>2511096377</t>
  </si>
  <si>
    <t>18-10-2017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</si>
  <si>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</si>
  <si>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</si>
  <si>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</si>
  <si>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</si>
  <si>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</si>
  <si>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</si>
  <si>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</si>
  <si>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</si>
  <si>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</si>
  <si>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</si>
  <si>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</si>
  <si>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</si>
  <si>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</si>
  <si>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</si>
  <si>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</si>
  <si>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</si>
  <si>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</si>
  <si>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</si>
  <si>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</si>
  <si>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</si>
  <si>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</si>
  <si>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</si>
  <si>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</si>
  <si>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</si>
  <si>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</si>
  <si>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</si>
  <si>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</si>
  <si>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</si>
  <si>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30365072</t>
  </si>
  <si>
    <t>ООО "НАТЭК"</t>
  </si>
  <si>
    <t>2508122637</t>
  </si>
  <si>
    <t>03-02-2021 00:00:00</t>
  </si>
  <si>
    <t>31057864</t>
  </si>
  <si>
    <t>ООО "Находка Транс Компани"</t>
  </si>
  <si>
    <t>2721218159</t>
  </si>
  <si>
    <t>272101001</t>
  </si>
  <si>
    <t>28-07-2015 00:00:00</t>
  </si>
  <si>
    <t>10-11-2020 00:00:00</t>
  </si>
  <si>
    <t>31718156</t>
  </si>
  <si>
    <t>28039579</t>
  </si>
  <si>
    <t>ООО "Паросиловой комплекс"</t>
  </si>
  <si>
    <t>2508110350</t>
  </si>
  <si>
    <t>04-05-2017 00:00:00</t>
  </si>
  <si>
    <t>27572750</t>
  </si>
  <si>
    <t>ООО "Предприятие "Востокрыбстрой"</t>
  </si>
  <si>
    <t>2538012920</t>
  </si>
  <si>
    <t>13-01-2012 00:00:00</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</si>
  <si>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</si>
  <si>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</si>
  <si>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</si>
  <si>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</si>
  <si>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</si>
  <si>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</si>
  <si>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</si>
  <si>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</si>
  <si>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</si>
  <si>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</si>
  <si>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</si>
  <si>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26469952</t>
  </si>
  <si>
    <t>ООО "Приморский сахар"</t>
  </si>
  <si>
    <t>2511005010</t>
  </si>
  <si>
    <t>01-03-2017 00:00:00</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</si>
  <si>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</si>
  <si>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</si>
  <si>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</si>
  <si>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</si>
  <si>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</si>
  <si>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</si>
  <si>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</si>
  <si>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</si>
  <si>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</si>
  <si>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</si>
  <si>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</si>
  <si>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</si>
  <si>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</si>
  <si>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</si>
  <si>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</si>
  <si>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</si>
  <si>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</si>
  <si>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</si>
  <si>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</si>
  <si>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26509583</t>
  </si>
  <si>
    <t>ООО "Саратовская ТЭЦ-1"</t>
  </si>
  <si>
    <t>6451424934</t>
  </si>
  <si>
    <t>645101001</t>
  </si>
  <si>
    <t>19-08-2009 00:00:00</t>
  </si>
  <si>
    <t>01-02-2021 00:00:00</t>
  </si>
  <si>
    <t>26795779</t>
  </si>
  <si>
    <t>ООО "Славянка"</t>
  </si>
  <si>
    <t>7702707386</t>
  </si>
  <si>
    <t>770201001</t>
  </si>
  <si>
    <t>31-12-2009 00:00:00</t>
  </si>
  <si>
    <t>28870724</t>
  </si>
  <si>
    <t>ООО "Спасскэнергия"</t>
  </si>
  <si>
    <t>2510013402</t>
  </si>
  <si>
    <t>26469942</t>
  </si>
  <si>
    <t>ООО "Сталкер"</t>
  </si>
  <si>
    <t>2511034892</t>
  </si>
  <si>
    <t>28856096</t>
  </si>
  <si>
    <t>ООО "ТВС Арсеньев"</t>
  </si>
  <si>
    <t>2501017263</t>
  </si>
  <si>
    <t>250101001</t>
  </si>
  <si>
    <t>12-03-2018 00:00:00</t>
  </si>
  <si>
    <t>26470092</t>
  </si>
  <si>
    <t>ООО "ТТП НЛХ Бикин"</t>
  </si>
  <si>
    <t>2526008126</t>
  </si>
  <si>
    <t>26768981</t>
  </si>
  <si>
    <t>ООО "Тепловик"</t>
  </si>
  <si>
    <t>5521009072</t>
  </si>
  <si>
    <t>552101001</t>
  </si>
  <si>
    <t>05-07-2011 00:00:00</t>
  </si>
  <si>
    <t>28870612</t>
  </si>
  <si>
    <t>ООО "Тепловые сети Находка"</t>
  </si>
  <si>
    <t>2540201548</t>
  </si>
  <si>
    <t>01-06-2017 00:00:00</t>
  </si>
  <si>
    <t>30985345</t>
  </si>
  <si>
    <t>2508128156</t>
  </si>
  <si>
    <t>25-02-2022 00:00:00</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</si>
  <si>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</si>
  <si>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</si>
  <si>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</si>
  <si>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</si>
  <si>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</si>
  <si>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</si>
  <si>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</si>
  <si>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</si>
  <si>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</si>
  <si>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</si>
  <si>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</si>
  <si>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</si>
  <si>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</si>
  <si>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26469948</t>
  </si>
  <si>
    <t>ООО "Уссурийские мельницы"</t>
  </si>
  <si>
    <t>2511042660</t>
  </si>
  <si>
    <t>26469966</t>
  </si>
  <si>
    <t>ООО "Уссурремтехснаб"</t>
  </si>
  <si>
    <t>2511081532</t>
  </si>
  <si>
    <t>01-11-2017 00:00:00</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</si>
  <si>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</si>
  <si>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</si>
  <si>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</si>
  <si>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</si>
  <si>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</si>
  <si>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</si>
  <si>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</si>
  <si>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</si>
  <si>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</si>
  <si>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</si>
  <si>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</si>
  <si>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</si>
  <si>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</si>
  <si>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</si>
  <si>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</si>
  <si>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</si>
  <si>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</si>
  <si>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</si>
  <si>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</si>
  <si>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</si>
  <si>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</si>
  <si>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</si>
  <si>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</si>
  <si>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</si>
  <si>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</si>
  <si>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</si>
  <si>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</si>
  <si>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</si>
  <si>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30856884</t>
  </si>
  <si>
    <t>ООО НПП "ВЛАДПОРТБУНКЕР"</t>
  </si>
  <si>
    <t>2540016136</t>
  </si>
  <si>
    <t>26470215</t>
  </si>
  <si>
    <t>ООО УК ПВЭСиК</t>
  </si>
  <si>
    <t>2526009578</t>
  </si>
  <si>
    <t>30851839</t>
  </si>
  <si>
    <t>Обособленное подразжеление "Уссурийское" АО "ГУ ЖКХ"</t>
  </si>
  <si>
    <t>251145001</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</si>
  <si>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</si>
  <si>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</si>
  <si>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</si>
  <si>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</si>
  <si>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</si>
  <si>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</si>
  <si>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</si>
  <si>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</si>
  <si>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</si>
  <si>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</si>
  <si>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</si>
  <si>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</si>
  <si>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</si>
  <si>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</si>
  <si>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</si>
  <si>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</si>
  <si>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</si>
  <si>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</si>
  <si>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</si>
  <si>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26449407</t>
  </si>
  <si>
    <t>Свечинский районный телекоммуникационный узел (РТУ) Кировского филиала ОАО "Волгателеком"</t>
  </si>
  <si>
    <t>5260901817</t>
  </si>
  <si>
    <t>432832002</t>
  </si>
  <si>
    <t>24-06-2011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</si>
  <si>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</si>
  <si>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</si>
  <si>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</si>
  <si>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</si>
  <si>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</si>
  <si>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</si>
  <si>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</si>
  <si>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</si>
  <si>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</si>
  <si>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</si>
  <si>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26469946</t>
  </si>
  <si>
    <t>Уссурийское муниципальное предприятие тепловых сетей</t>
  </si>
  <si>
    <t>2511002442</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</si>
  <si>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</si>
  <si>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</si>
  <si>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</si>
  <si>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</si>
  <si>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</si>
  <si>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</si>
  <si>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</si>
  <si>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</si>
  <si>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</si>
  <si>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</si>
  <si>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</si>
  <si>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30388763</t>
  </si>
  <si>
    <t>ФГБУН" ФНЦ биоразнообразияназемной биоты Восточной Азии ДВО РАН" филал "ГТС" им. В.Л. Комарова</t>
  </si>
  <si>
    <t>2529001746</t>
  </si>
  <si>
    <t>31-12-2018 00:00:00</t>
  </si>
  <si>
    <t>30858640</t>
  </si>
  <si>
    <t>ФГКУ "Войсковая часть 2430"</t>
  </si>
  <si>
    <t>2538143578</t>
  </si>
  <si>
    <t>28945519</t>
  </si>
  <si>
    <t>ФГКУ "Доблесть"</t>
  </si>
  <si>
    <t>2521002240</t>
  </si>
  <si>
    <t>26469926</t>
  </si>
  <si>
    <t>ФГУ комбинат "Восток"</t>
  </si>
  <si>
    <t>2539009906</t>
  </si>
  <si>
    <t>26469958</t>
  </si>
  <si>
    <t>ФКУ "Лечебное исправительное учреждение  23 " ГУФСИН России по Приморскому краю</t>
  </si>
  <si>
    <t>2511003044</t>
  </si>
  <si>
    <t>26470022</t>
  </si>
  <si>
    <t>ФКУ ИК № 31 ГУФСИН по Приморскому краю</t>
  </si>
  <si>
    <t>2534002625</t>
  </si>
  <si>
    <t>29-02-2020 00:00:00</t>
  </si>
  <si>
    <t>26470124</t>
  </si>
  <si>
    <t>ФКУ ИК-20 ГУФСИН России по Приморскому краю</t>
  </si>
  <si>
    <t>2502025612</t>
  </si>
  <si>
    <t>26650028</t>
  </si>
  <si>
    <t>ФКУ ИК-31 ГУФСИН России по Приморскому краю</t>
  </si>
  <si>
    <t>2534005496</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</si>
  <si>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</si>
  <si>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</si>
  <si>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</si>
  <si>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</si>
  <si>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</si>
  <si>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</si>
  <si>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</si>
  <si>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</si>
  <si>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</si>
  <si>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</si>
  <si>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</si>
  <si>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</si>
  <si>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</si>
  <si>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</si>
  <si>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</si>
  <si>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</si>
  <si>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</si>
  <si>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</si>
  <si>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</si>
  <si>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</si>
  <si>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</si>
  <si>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</si>
  <si>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26470052</t>
  </si>
  <si>
    <t>войсковая часть 29982</t>
  </si>
  <si>
    <t>2512002597</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</si>
  <si>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</si>
  <si>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</si>
  <si>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</si>
  <si>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</si>
  <si>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</si>
  <si>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</si>
  <si>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</si>
  <si>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</si>
  <si>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</si>
  <si>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</si>
  <si>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</si>
  <si>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</si>
  <si>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</si>
  <si>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</si>
  <si>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</si>
  <si>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</si>
  <si>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</si>
  <si>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</si>
  <si>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</si>
  <si>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</si>
  <si>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</si>
  <si>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</si>
  <si>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</si>
  <si>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</si>
  <si>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</si>
  <si>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</si>
  <si>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</si>
  <si>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253345002</t>
  </si>
  <si>
    <t>26650998</t>
  </si>
  <si>
    <t>ОАО "ДГК" филиал "Приморские тепловые сети"</t>
  </si>
  <si>
    <t>254002001</t>
  </si>
  <si>
    <t>26469986</t>
  </si>
  <si>
    <t>ООО "Спассктеплоэнерго "</t>
  </si>
  <si>
    <t>2510009886</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</si>
  <si>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</si>
  <si>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</si>
  <si>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</si>
  <si>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</si>
  <si>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</si>
  <si>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</si>
  <si>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</si>
  <si>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</si>
  <si>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</si>
  <si>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</si>
  <si>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</si>
  <si>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</si>
  <si>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</si>
  <si>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</si>
  <si>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</si>
  <si>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</si>
  <si>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</si>
  <si>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</si>
  <si>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</si>
  <si>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</si>
  <si>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</si>
  <si>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</si>
  <si>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26469956</t>
  </si>
  <si>
    <t>ЗАО "УМЖК "Приморская соя"</t>
  </si>
  <si>
    <t>2511033899</t>
  </si>
  <si>
    <t>31-12-2015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</si>
  <si>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</si>
  <si>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</si>
  <si>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</si>
  <si>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</si>
  <si>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</si>
  <si>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</si>
  <si>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</si>
  <si>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</si>
  <si>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</si>
  <si>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</si>
  <si>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</si>
  <si>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</si>
  <si>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</si>
  <si>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</si>
  <si>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</si>
  <si>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</si>
  <si>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</si>
  <si>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</si>
  <si>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</si>
  <si>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</si>
  <si>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</si>
  <si>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</si>
  <si>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</si>
  <si>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</si>
  <si>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</si>
  <si>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</si>
  <si>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</si>
  <si>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</si>
  <si>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</si>
  <si>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</si>
  <si>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</si>
  <si>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</si>
  <si>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</si>
  <si>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</si>
  <si>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</si>
  <si>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</si>
  <si>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</si>
  <si>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</si>
  <si>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</si>
  <si>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30876555</t>
  </si>
  <si>
    <t>МП "Гидросеть"</t>
  </si>
  <si>
    <t>2516002319</t>
  </si>
  <si>
    <t>08-09-2022 00:00:00</t>
  </si>
  <si>
    <t>27321197</t>
  </si>
  <si>
    <t>МП "Родник"</t>
  </si>
  <si>
    <t>2510010049</t>
  </si>
  <si>
    <t>26470243</t>
  </si>
  <si>
    <t>МУ МПКХ</t>
  </si>
  <si>
    <t>2516001178</t>
  </si>
  <si>
    <t>01-10-2010 00:00:00</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</si>
  <si>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</si>
  <si>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</si>
  <si>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</si>
  <si>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</si>
  <si>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</si>
  <si>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</si>
  <si>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</si>
  <si>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</si>
  <si>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</si>
  <si>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</si>
  <si>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</si>
  <si>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</si>
  <si>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</si>
  <si>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</si>
  <si>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</si>
  <si>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</si>
  <si>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</si>
  <si>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</si>
  <si>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</si>
  <si>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26580005</t>
  </si>
  <si>
    <t>МУП "Водсервис"</t>
  </si>
  <si>
    <t>2516000199</t>
  </si>
  <si>
    <t>28873729</t>
  </si>
  <si>
    <t>МУП "Исток" Хвалынское сп</t>
  </si>
  <si>
    <t>2510008811</t>
  </si>
  <si>
    <t>24-10-2022 00:00:00</t>
  </si>
  <si>
    <t>26469978</t>
  </si>
  <si>
    <t>МУП "Коммунальное обслуживание и благоустройство"</t>
  </si>
  <si>
    <t>2507227958</t>
  </si>
  <si>
    <t>26470327</t>
  </si>
  <si>
    <t>МУП "Покровское"</t>
  </si>
  <si>
    <t>2522000158</t>
  </si>
  <si>
    <t>27871023</t>
  </si>
  <si>
    <t>МУП "Ружинские коммунальные сети"</t>
  </si>
  <si>
    <t>2507003620</t>
  </si>
  <si>
    <t>07-03-2017 00:00:00</t>
  </si>
  <si>
    <t>31541606</t>
  </si>
  <si>
    <t>МУП "СУЧАНСКИЙ ВОДОКАНАЛ"</t>
  </si>
  <si>
    <t>2509049700</t>
  </si>
  <si>
    <t>03-07-2007 00:00:00</t>
  </si>
  <si>
    <t>26470537</t>
  </si>
  <si>
    <t>МУП "Тихоречное"</t>
  </si>
  <si>
    <t>2513004117</t>
  </si>
  <si>
    <t>30808342</t>
  </si>
  <si>
    <t>МУП "Уссури"</t>
  </si>
  <si>
    <t>2507010289</t>
  </si>
  <si>
    <t>12-10-2021 00:00:00</t>
  </si>
  <si>
    <t>28873696</t>
  </si>
  <si>
    <t>МУП «Зарубино-Транзит»</t>
  </si>
  <si>
    <t>2531010554</t>
  </si>
  <si>
    <t>31-12-2017 00:00:00</t>
  </si>
  <si>
    <t>26470269</t>
  </si>
  <si>
    <t>МУП «Погранводовод»</t>
  </si>
  <si>
    <t>2525000685</t>
  </si>
  <si>
    <t>26470227</t>
  </si>
  <si>
    <t>МУП Водоканал</t>
  </si>
  <si>
    <t>2532006550</t>
  </si>
  <si>
    <t>253201001</t>
  </si>
  <si>
    <t>26470413</t>
  </si>
  <si>
    <t>МУП Губеровское</t>
  </si>
  <si>
    <t>2526009360</t>
  </si>
  <si>
    <t>26470369</t>
  </si>
  <si>
    <t>МУП ДЭС-Глазковка</t>
  </si>
  <si>
    <t>2518111507</t>
  </si>
  <si>
    <t>251801001</t>
  </si>
  <si>
    <t>26470429</t>
  </si>
  <si>
    <t>МУП ЖКХ Сервис-Жариковское</t>
  </si>
  <si>
    <t>2525000734</t>
  </si>
  <si>
    <t>27833506</t>
  </si>
  <si>
    <t>МУП ЖКХ Сергеевское</t>
  </si>
  <si>
    <t>2525000854</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</si>
  <si>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</si>
  <si>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</si>
  <si>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</si>
  <si>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</si>
  <si>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</si>
  <si>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</si>
  <si>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</si>
  <si>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</si>
  <si>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</si>
  <si>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</si>
  <si>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</si>
  <si>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</si>
  <si>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26469998</t>
  </si>
  <si>
    <t>МУП СГП "Теплоэнерго" п.Сибирцево</t>
  </si>
  <si>
    <t>2533009770</t>
  </si>
  <si>
    <t>28-09-2017 00:00:00</t>
  </si>
  <si>
    <t>27833452</t>
  </si>
  <si>
    <t>МУП СГП Водоканал</t>
  </si>
  <si>
    <t>2533009642</t>
  </si>
  <si>
    <t>30866926</t>
  </si>
  <si>
    <t>МУП Славянского ГП "Славянка-Водоканал"</t>
  </si>
  <si>
    <t>2531012777</t>
  </si>
  <si>
    <t>21-09-2016 00:00:00</t>
  </si>
  <si>
    <t>28062634</t>
  </si>
  <si>
    <t>Муниципальное Унитарное Предприятие «Пожарское»</t>
  </si>
  <si>
    <t>2526011320</t>
  </si>
  <si>
    <t>26470515</t>
  </si>
  <si>
    <t>ОАО "Водоканал" г. Владивосток</t>
  </si>
  <si>
    <t>2538093800</t>
  </si>
  <si>
    <t>01-12-2010 00:00:00</t>
  </si>
  <si>
    <t>26813404</t>
  </si>
  <si>
    <t>ОАО "ДГК" СП Партизанская ГРЭС</t>
  </si>
  <si>
    <t>250932001</t>
  </si>
  <si>
    <t>30391734</t>
  </si>
  <si>
    <t>ОАО "Морепродукт"</t>
  </si>
  <si>
    <t>2508037928</t>
  </si>
  <si>
    <t>31369165</t>
  </si>
  <si>
    <t>ООО "Акватико"</t>
  </si>
  <si>
    <t>2501018115</t>
  </si>
  <si>
    <t>18-01-2016 00:00:00</t>
  </si>
  <si>
    <t>26581839</t>
  </si>
  <si>
    <t>ООО "Алмаз"</t>
  </si>
  <si>
    <t>2523004109</t>
  </si>
  <si>
    <t>252301001</t>
  </si>
  <si>
    <t>25-06-2019 00:00:00</t>
  </si>
  <si>
    <t>31097285</t>
  </si>
  <si>
    <t>ООО "ВКХ Тавричанка"</t>
  </si>
  <si>
    <t>2521014165</t>
  </si>
  <si>
    <t>04-08-2021 00:00:00</t>
  </si>
  <si>
    <t>28955244</t>
  </si>
  <si>
    <t>ООО "ВОСТОК"</t>
  </si>
  <si>
    <t>2523004660</t>
  </si>
  <si>
    <t>28069953</t>
  </si>
  <si>
    <t>ООО "Варфоломеевская УК"</t>
  </si>
  <si>
    <t>2535004551</t>
  </si>
  <si>
    <t>253501001</t>
  </si>
  <si>
    <t>20-07-2022 00:00:00</t>
  </si>
  <si>
    <t>31600940</t>
  </si>
  <si>
    <t>ООО "Водоканал Арсеньев"</t>
  </si>
  <si>
    <t>2502067683</t>
  </si>
  <si>
    <t>04-04-2022 00:00:00</t>
  </si>
  <si>
    <t>26777497</t>
  </si>
  <si>
    <t>ООО "Водоканал"</t>
  </si>
  <si>
    <t>2503017646</t>
  </si>
  <si>
    <t>26470347</t>
  </si>
  <si>
    <t>ООО "Водоканал-Сервис"</t>
  </si>
  <si>
    <t>2535004287</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</si>
  <si>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</si>
  <si>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</si>
  <si>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</si>
  <si>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</si>
  <si>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</si>
  <si>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</si>
  <si>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</si>
  <si>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</si>
  <si>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</si>
  <si>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</si>
  <si>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</si>
  <si>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</si>
  <si>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</si>
  <si>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26469910</t>
  </si>
  <si>
    <t>ООО "Вулкан"</t>
  </si>
  <si>
    <t>2521009790</t>
  </si>
  <si>
    <t>31-12-2016 00:00:00</t>
  </si>
  <si>
    <t>27833441</t>
  </si>
  <si>
    <t>ООО "Гранит"</t>
  </si>
  <si>
    <t>2531008996</t>
  </si>
  <si>
    <t>30-10-2023 00:00:00</t>
  </si>
  <si>
    <t>28856082</t>
  </si>
  <si>
    <t>ООО "Дальводоканал"</t>
  </si>
  <si>
    <t>2540190399</t>
  </si>
  <si>
    <t>31380860</t>
  </si>
  <si>
    <t>ООО "Дельта"</t>
  </si>
  <si>
    <t>2508094250</t>
  </si>
  <si>
    <t>26470535</t>
  </si>
  <si>
    <t>ООО "ЖК Партнеры"</t>
  </si>
  <si>
    <t>2503025206</t>
  </si>
  <si>
    <t>12-10-2020 00:00:00</t>
  </si>
  <si>
    <t>28978448</t>
  </si>
  <si>
    <t>ООО "ЖКХ Новонежино"</t>
  </si>
  <si>
    <t>2503031312</t>
  </si>
  <si>
    <t>26470084</t>
  </si>
  <si>
    <t>ООО "Жилсервис"</t>
  </si>
  <si>
    <t>2524111907</t>
  </si>
  <si>
    <t>26470193</t>
  </si>
  <si>
    <t>ООО "Ивановская РОО"</t>
  </si>
  <si>
    <t>2520003876</t>
  </si>
  <si>
    <t>14-04-2017 00:00:00</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</si>
  <si>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</si>
  <si>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</si>
  <si>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</si>
  <si>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</si>
  <si>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</si>
  <si>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</si>
  <si>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</si>
  <si>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</si>
  <si>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</si>
  <si>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</si>
  <si>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</si>
  <si>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</si>
  <si>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</si>
  <si>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</si>
  <si>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</si>
  <si>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26837378</t>
  </si>
  <si>
    <t>ООО "Коммунальщик"</t>
  </si>
  <si>
    <t>2512305305</t>
  </si>
  <si>
    <t>22-06-2017 00:00:00</t>
  </si>
  <si>
    <t>28468874</t>
  </si>
  <si>
    <t>ООО "Коммунальщик-Профи"</t>
  </si>
  <si>
    <t>2510007776</t>
  </si>
  <si>
    <t>01-11-2013 00:00:00</t>
  </si>
  <si>
    <t>26837374</t>
  </si>
  <si>
    <t>ООО "Компания ФОР"</t>
  </si>
  <si>
    <t>2536110640</t>
  </si>
  <si>
    <t>26470529</t>
  </si>
  <si>
    <t>ООО "Кристал"</t>
  </si>
  <si>
    <t>2506009555</t>
  </si>
  <si>
    <t>30866907</t>
  </si>
  <si>
    <t>ООО "Кристалл"</t>
  </si>
  <si>
    <t>2501018080</t>
  </si>
  <si>
    <t>18-12-2015 00:00:00</t>
  </si>
  <si>
    <t>31222438</t>
  </si>
  <si>
    <t>ООО "Лучегорский водоканал"</t>
  </si>
  <si>
    <t>2526006520</t>
  </si>
  <si>
    <t>26581830</t>
  </si>
  <si>
    <t>ООО "Нептун"</t>
  </si>
  <si>
    <t>2523004282</t>
  </si>
  <si>
    <t>17-06-2021 00:00:00</t>
  </si>
  <si>
    <t>31097294</t>
  </si>
  <si>
    <t>ООО "Новонежинский ключ"</t>
  </si>
  <si>
    <t>2503032147</t>
  </si>
  <si>
    <t>28856090</t>
  </si>
  <si>
    <t>ООО "Олимп"</t>
  </si>
  <si>
    <t>2510009170</t>
  </si>
  <si>
    <t>07-09-2021 00:00:00</t>
  </si>
  <si>
    <t>31363256</t>
  </si>
  <si>
    <t>ООО "Пантелеймоновское"</t>
  </si>
  <si>
    <t>2510007818</t>
  </si>
  <si>
    <t>16-02-2021 00:00:00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</si>
  <si>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</si>
  <si>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</si>
  <si>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</si>
  <si>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</si>
  <si>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</si>
  <si>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</si>
  <si>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</si>
  <si>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</si>
  <si>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</si>
  <si>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</si>
  <si>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</si>
  <si>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</si>
  <si>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</si>
  <si>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</si>
  <si>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</si>
  <si>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</si>
  <si>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</si>
  <si>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</si>
  <si>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</si>
  <si>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</si>
  <si>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</si>
  <si>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30367494</t>
  </si>
  <si>
    <t>ООО "УК Тавричанка"</t>
  </si>
  <si>
    <t>2521013972</t>
  </si>
  <si>
    <t>25-03-2014 00:00:00</t>
  </si>
  <si>
    <t>06-05-2022 00:00:00</t>
  </si>
  <si>
    <t>26581859</t>
  </si>
  <si>
    <t>ООО "Фирма Сан"</t>
  </si>
  <si>
    <t>2521001102</t>
  </si>
  <si>
    <t>26470094</t>
  </si>
  <si>
    <t>ООО "Центр плюс"</t>
  </si>
  <si>
    <t>2526010125</t>
  </si>
  <si>
    <t>31256013</t>
  </si>
  <si>
    <t>ООО "Чкаловское многоотраслевое предприятие"</t>
  </si>
  <si>
    <t>2510009526</t>
  </si>
  <si>
    <t>27580288</t>
  </si>
  <si>
    <t>ООО "Эванс"</t>
  </si>
  <si>
    <t>2724059323</t>
  </si>
  <si>
    <t>254010001</t>
  </si>
  <si>
    <t>01-12-2011 00:00:00</t>
  </si>
  <si>
    <t>09-09-2019 00:00:00</t>
  </si>
  <si>
    <t>28873743</t>
  </si>
  <si>
    <t>ООО «Бастион Плюс»</t>
  </si>
  <si>
    <t>2510012286</t>
  </si>
  <si>
    <t>25-02-2019 00:00:00</t>
  </si>
  <si>
    <t>28873735</t>
  </si>
  <si>
    <t>ООО «УК Партнеры»</t>
  </si>
  <si>
    <t>2503030943</t>
  </si>
  <si>
    <t>27833382</t>
  </si>
  <si>
    <t>ООО Артель</t>
  </si>
  <si>
    <t>2510010923</t>
  </si>
  <si>
    <t>26470359</t>
  </si>
  <si>
    <t>ООО ВодЕко</t>
  </si>
  <si>
    <t>2524100359</t>
  </si>
  <si>
    <t>26470421</t>
  </si>
  <si>
    <t>ООО Водоканал</t>
  </si>
  <si>
    <t>2518115607</t>
  </si>
  <si>
    <t>31-03-2022 00:00:00</t>
  </si>
  <si>
    <t>26470291</t>
  </si>
  <si>
    <t>ООО Водоканал Михайловский</t>
  </si>
  <si>
    <t>2520002230</t>
  </si>
  <si>
    <t>22-10-2018 00:00:00</t>
  </si>
  <si>
    <t>27833393</t>
  </si>
  <si>
    <t>ООО Водоканал Ханкайский</t>
  </si>
  <si>
    <t>2530007118</t>
  </si>
  <si>
    <t>18-10-2019 00:00:00</t>
  </si>
  <si>
    <t>27838090</t>
  </si>
  <si>
    <t>ООО Водоотведение</t>
  </si>
  <si>
    <t>2536228473</t>
  </si>
  <si>
    <t>26470231</t>
  </si>
  <si>
    <t>ООО Горный ключ</t>
  </si>
  <si>
    <t>2508077254</t>
  </si>
  <si>
    <t>26470223</t>
  </si>
  <si>
    <t>ООО Девичанское</t>
  </si>
  <si>
    <t>2532004955</t>
  </si>
  <si>
    <t>26470389</t>
  </si>
  <si>
    <t>ООО Жилкомсервис</t>
  </si>
  <si>
    <t>2517007976</t>
  </si>
  <si>
    <t>27833338</t>
  </si>
  <si>
    <t>ООО Мегос</t>
  </si>
  <si>
    <t>2539033000</t>
  </si>
  <si>
    <t>26470179</t>
  </si>
  <si>
    <t>ООО Находка-Водоканал</t>
  </si>
  <si>
    <t>2508077896</t>
  </si>
  <si>
    <t>22-01-2018 00:00:00</t>
  </si>
  <si>
    <t>26470545</t>
  </si>
  <si>
    <t>ООО ОКП</t>
  </si>
  <si>
    <t>2522001218</t>
  </si>
  <si>
    <t>26470329</t>
  </si>
  <si>
    <t>ООО Поларис-групп</t>
  </si>
  <si>
    <t>2540080780</t>
  </si>
  <si>
    <t>31263071</t>
  </si>
  <si>
    <t>ООО РО "СпасскКоммуналСервис"</t>
  </si>
  <si>
    <t>2510014910</t>
  </si>
  <si>
    <t>27833477</t>
  </si>
  <si>
    <t>ООО Романовский коммунальщик</t>
  </si>
  <si>
    <t>2503026418</t>
  </si>
  <si>
    <t>26470263</t>
  </si>
  <si>
    <t>ООО Спасские коммунальные системы</t>
  </si>
  <si>
    <t>2510009519</t>
  </si>
  <si>
    <t>26470287</t>
  </si>
  <si>
    <t>ООО Спецавтохозяйство</t>
  </si>
  <si>
    <t>2521009172</t>
  </si>
  <si>
    <t>26470525</t>
  </si>
  <si>
    <t>ООО Техноком</t>
  </si>
  <si>
    <t>252601100</t>
  </si>
  <si>
    <t>31640943</t>
  </si>
  <si>
    <t>ООО УК "Рост"</t>
  </si>
  <si>
    <t>2536324071</t>
  </si>
  <si>
    <t>01-12-2022 00:00:00</t>
  </si>
  <si>
    <t>27833463</t>
  </si>
  <si>
    <t>ООО УК Новонежино</t>
  </si>
  <si>
    <t>2503026249</t>
  </si>
  <si>
    <t>12-01-2017 00:00:00</t>
  </si>
  <si>
    <t>27838101</t>
  </si>
  <si>
    <t>ООО УК Оникс</t>
  </si>
  <si>
    <t>26470527</t>
  </si>
  <si>
    <t>ООО Управляющая компания</t>
  </si>
  <si>
    <t>2503024925</t>
  </si>
  <si>
    <t>26470253</t>
  </si>
  <si>
    <t>ООО Форд-Ност</t>
  </si>
  <si>
    <t>2508056215</t>
  </si>
  <si>
    <t>27833414</t>
  </si>
  <si>
    <t>ООО Центр</t>
  </si>
  <si>
    <t>2526007242</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</si>
  <si>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</si>
  <si>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</si>
  <si>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</si>
  <si>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</si>
  <si>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</si>
  <si>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</si>
  <si>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</si>
  <si>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</si>
  <si>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</si>
  <si>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</si>
  <si>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</si>
  <si>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</si>
  <si>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</si>
  <si>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</si>
  <si>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</si>
  <si>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26470365</t>
  </si>
  <si>
    <t>ТСЖ Многоудобненское</t>
  </si>
  <si>
    <t>2503023791</t>
  </si>
  <si>
    <t>26470281</t>
  </si>
  <si>
    <t>ТСЖ Шкотовское</t>
  </si>
  <si>
    <t>2503026376</t>
  </si>
  <si>
    <t>07-11-2017 00:00:00</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</si>
  <si>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</si>
  <si>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</si>
  <si>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</si>
  <si>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</si>
  <si>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</si>
  <si>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</si>
  <si>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</si>
  <si>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</si>
  <si>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</si>
  <si>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</si>
  <si>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</si>
  <si>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</si>
  <si>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</si>
  <si>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</si>
  <si>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</si>
  <si>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27572708</t>
  </si>
  <si>
    <t>Филиал "Уссурийский" АО "Славянка"</t>
  </si>
  <si>
    <t>10-02-2021 00:00:00</t>
  </si>
  <si>
    <t>27320095</t>
  </si>
  <si>
    <t>Филиал Владивостокский ОАО "Славянка"</t>
  </si>
  <si>
    <t>254043001</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</si>
  <si>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</si>
  <si>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</si>
  <si>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</si>
  <si>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</si>
  <si>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</si>
  <si>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</si>
  <si>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</si>
  <si>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</si>
  <si>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</si>
  <si>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</si>
  <si>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28094818</t>
  </si>
  <si>
    <t>муп Водоканал</t>
  </si>
  <si>
    <t>2530008168</t>
  </si>
  <si>
    <t>14-12-2017 00:00:00</t>
  </si>
  <si>
    <t>28090338</t>
  </si>
  <si>
    <t>муп Исток</t>
  </si>
  <si>
    <t>2531011879</t>
  </si>
  <si>
    <t>28-05-2019 00:00:00</t>
  </si>
  <si>
    <t>28086468</t>
  </si>
  <si>
    <t>муп Одиссей</t>
  </si>
  <si>
    <t>2507006973</t>
  </si>
  <si>
    <t>28151754</t>
  </si>
  <si>
    <t>ооо "Водоснабжение"</t>
  </si>
  <si>
    <t>2536228466</t>
  </si>
  <si>
    <t>28460527</t>
  </si>
  <si>
    <t>ооо "Исток"</t>
  </si>
  <si>
    <t>2503029930</t>
  </si>
  <si>
    <t>04-06-2018 00:00:00</t>
  </si>
  <si>
    <t>28444464</t>
  </si>
  <si>
    <t>ооо "Магистраль"</t>
  </si>
  <si>
    <t>2503031129</t>
  </si>
  <si>
    <t>01-04-2019 00:00:00</t>
  </si>
  <si>
    <t>28142080</t>
  </si>
  <si>
    <t>ооо "Теплосетевая компания"</t>
  </si>
  <si>
    <t>2509063705</t>
  </si>
  <si>
    <t>27833371</t>
  </si>
  <si>
    <t>ооо Амарант Сервис 5</t>
  </si>
  <si>
    <t>2508082832</t>
  </si>
  <si>
    <t>01-03-2019 00:00:00</t>
  </si>
  <si>
    <t>27872682</t>
  </si>
  <si>
    <t>ооо Водозабор Хмыловский</t>
  </si>
  <si>
    <t>2508074983</t>
  </si>
  <si>
    <t>27886628</t>
  </si>
  <si>
    <t>ооо Водоканал</t>
  </si>
  <si>
    <t>2530008023</t>
  </si>
  <si>
    <t>28274832</t>
  </si>
  <si>
    <t>ооо Водоканал Плюс</t>
  </si>
  <si>
    <t>2530008305</t>
  </si>
  <si>
    <t>28427639</t>
  </si>
  <si>
    <t>ооо Жилищная компания</t>
  </si>
  <si>
    <t>2503029458</t>
  </si>
  <si>
    <t>27833305</t>
  </si>
  <si>
    <t>ооо Спектр Плюс</t>
  </si>
  <si>
    <t>2513004290</t>
  </si>
  <si>
    <t>01-06-2008 00:00:00</t>
  </si>
  <si>
    <t>26761244</t>
  </si>
  <si>
    <t>ооо ТСК</t>
  </si>
  <si>
    <t>27833425</t>
  </si>
  <si>
    <t>ооо Универсал</t>
  </si>
  <si>
    <t>2510010793</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</si>
  <si>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</si>
  <si>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</si>
  <si>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</si>
  <si>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</si>
  <si>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</si>
  <si>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</si>
  <si>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</si>
  <si>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</si>
  <si>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</si>
  <si>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</si>
  <si>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</si>
  <si>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</si>
  <si>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</si>
  <si>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</si>
  <si>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</si>
  <si>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</si>
  <si>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26771706</t>
  </si>
  <si>
    <t>ООО "Борк"</t>
  </si>
  <si>
    <t>2503021321</t>
  </si>
  <si>
    <t>31600947</t>
  </si>
  <si>
    <t>ООО "Водосток"</t>
  </si>
  <si>
    <t>2502067690</t>
  </si>
  <si>
    <t>31161528</t>
  </si>
  <si>
    <t>2507012825</t>
  </si>
  <si>
    <t>26544384</t>
  </si>
  <si>
    <t>ООО "Врангель Водосток"</t>
  </si>
  <si>
    <t>2508077261</t>
  </si>
  <si>
    <t>30808338</t>
  </si>
  <si>
    <t>ООО "Карго-поинт"</t>
  </si>
  <si>
    <t>2508121312</t>
  </si>
  <si>
    <t>27-03-2020 00:00:00</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</si>
  <si>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</si>
  <si>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</si>
  <si>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</si>
  <si>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</si>
  <si>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</si>
  <si>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</si>
  <si>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</si>
  <si>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</si>
  <si>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</si>
  <si>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</si>
  <si>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</si>
  <si>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</si>
  <si>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</si>
  <si>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</si>
  <si>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</si>
  <si>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</si>
  <si>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</si>
  <si>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</si>
  <si>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</si>
  <si>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</si>
  <si>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</si>
  <si>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</si>
  <si>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</si>
  <si>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</si>
  <si>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</si>
  <si>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</si>
  <si>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</si>
  <si>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</si>
  <si>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</si>
  <si>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</si>
  <si>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</si>
  <si>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</si>
  <si>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</si>
  <si>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</si>
  <si>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</si>
  <si>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</si>
  <si>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</si>
  <si>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</si>
  <si>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</si>
  <si>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</si>
  <si>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</si>
  <si>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</si>
  <si>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</si>
  <si>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</si>
  <si>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</si>
  <si>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</si>
  <si>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</si>
  <si>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</si>
  <si>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</si>
  <si>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</si>
  <si>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</si>
  <si>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</si>
  <si>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</si>
  <si>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</si>
  <si>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</si>
  <si>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</si>
  <si>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</si>
  <si>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</si>
  <si>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</si>
  <si>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</si>
  <si>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</si>
  <si>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</si>
  <si>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</si>
  <si>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</si>
  <si>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</si>
  <si>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</si>
  <si>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</si>
  <si>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</si>
  <si>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</si>
  <si>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</si>
  <si>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</si>
  <si>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</si>
  <si>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</si>
  <si>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</si>
  <si>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</si>
  <si>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</si>
  <si>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</si>
  <si>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</si>
  <si>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</si>
  <si>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</si>
  <si>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</si>
  <si>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</si>
  <si>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</si>
  <si>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</si>
  <si>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</si>
  <si>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</si>
  <si>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</si>
  <si>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</si>
  <si>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</si>
  <si>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</si>
  <si>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</si>
  <si>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</si>
  <si>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</si>
  <si>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</si>
  <si>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</si>
  <si>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</si>
  <si>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</si>
  <si>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</si>
  <si>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</si>
  <si>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</si>
  <si>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</si>
  <si>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</si>
  <si>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</si>
  <si>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</si>
  <si>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</si>
  <si>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</si>
  <si>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</si>
  <si>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</si>
  <si>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</si>
  <si>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</si>
  <si>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</si>
  <si>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</si>
  <si>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</si>
  <si>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</si>
  <si>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</si>
  <si>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</si>
  <si>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</si>
  <si>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</si>
  <si>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</si>
  <si>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</si>
  <si>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</si>
  <si>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</si>
  <si>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</si>
  <si>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</si>
  <si>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</si>
  <si>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</si>
  <si>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</si>
  <si>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</si>
  <si>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</si>
  <si>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</si>
  <si>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</si>
  <si>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</si>
  <si>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</si>
  <si>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</si>
  <si>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</si>
  <si>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</si>
  <si>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</si>
  <si>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</si>
  <si>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</si>
  <si>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</si>
  <si>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</si>
  <si>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</si>
  <si>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</si>
  <si>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</si>
  <si>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</si>
  <si>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</si>
  <si>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</si>
  <si>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</si>
  <si>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</si>
  <si>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</si>
  <si>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</si>
  <si>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</si>
  <si>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</si>
  <si>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</si>
  <si>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</si>
  <si>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</si>
  <si>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</si>
  <si>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</si>
  <si>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</si>
  <si>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</si>
  <si>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</si>
  <si>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</si>
  <si>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</si>
  <si>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</si>
  <si>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</si>
  <si>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</si>
  <si>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</si>
  <si>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</si>
  <si>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</si>
  <si>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</si>
  <si>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</si>
  <si>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</si>
  <si>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</si>
  <si>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</si>
  <si>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</si>
  <si>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</si>
  <si>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</si>
  <si>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</si>
  <si>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</si>
  <si>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</si>
  <si>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</si>
  <si>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</si>
  <si>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</si>
  <si>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</si>
  <si>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</si>
  <si>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</si>
  <si>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</si>
  <si>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</si>
  <si>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</si>
  <si>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</si>
  <si>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</si>
  <si>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</si>
  <si>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</si>
  <si>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</si>
  <si>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</si>
  <si>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</si>
  <si>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</si>
  <si>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</si>
  <si>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</si>
  <si>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</si>
  <si>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</si>
  <si>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</si>
  <si>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</si>
  <si>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</si>
  <si>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</si>
  <si>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</si>
  <si>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</si>
  <si>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</si>
  <si>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</si>
  <si>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</si>
  <si>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</si>
  <si>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</si>
  <si>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</si>
  <si>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</si>
  <si>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</si>
  <si>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</si>
  <si>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</si>
  <si>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</si>
  <si>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</si>
  <si>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</si>
  <si>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</si>
  <si>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</si>
  <si>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</si>
  <si>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</si>
  <si>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</si>
  <si>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</si>
  <si>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</si>
  <si>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</si>
  <si>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</si>
  <si>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</si>
  <si>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</si>
  <si>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</si>
  <si>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</si>
  <si>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</si>
  <si>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</si>
  <si>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</si>
  <si>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</si>
  <si>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</si>
  <si>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</si>
  <si>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</si>
  <si>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</si>
  <si>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</si>
  <si>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</si>
  <si>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</si>
  <si>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</si>
  <si>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</si>
  <si>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</si>
  <si>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</si>
  <si>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</si>
  <si>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</si>
  <si>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</si>
  <si>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</si>
  <si>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</si>
  <si>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</si>
  <si>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</si>
  <si>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</si>
  <si>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</si>
  <si>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</si>
  <si>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</si>
  <si>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</si>
  <si>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</si>
  <si>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</si>
  <si>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</si>
  <si>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</si>
  <si>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</si>
  <si>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</si>
  <si>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</si>
  <si>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</si>
  <si>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</si>
  <si>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</si>
  <si>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</si>
  <si>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</si>
  <si>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</si>
  <si>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</si>
  <si>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</si>
  <si>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</si>
  <si>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</si>
  <si>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</si>
  <si>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</si>
  <si>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</si>
  <si>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</si>
  <si>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</si>
  <si>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</si>
  <si>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</si>
  <si>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</si>
  <si>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</si>
  <si>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</si>
  <si>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</si>
  <si>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</si>
  <si>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</si>
  <si>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</si>
  <si>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</si>
  <si>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</si>
  <si>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</si>
  <si>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</si>
  <si>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</si>
  <si>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</si>
  <si>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</si>
  <si>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</si>
  <si>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</si>
  <si>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</si>
  <si>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</si>
  <si>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</si>
  <si>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</si>
  <si>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</si>
  <si>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</si>
  <si>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</si>
  <si>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</si>
  <si>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</si>
  <si>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</si>
  <si>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</si>
  <si>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</si>
  <si>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</si>
  <si>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</si>
  <si>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</si>
  <si>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</si>
  <si>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</si>
  <si>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</si>
  <si>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</si>
  <si>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</si>
  <si>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</si>
  <si>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</si>
  <si>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</si>
  <si>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</si>
  <si>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</si>
  <si>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</si>
  <si>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</si>
  <si>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</si>
  <si>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</si>
  <si>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</si>
  <si>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</si>
  <si>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</si>
  <si>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</si>
  <si>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</si>
  <si>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</si>
  <si>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</si>
  <si>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</si>
  <si>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</si>
  <si>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</si>
  <si>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</si>
  <si>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</si>
  <si>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</si>
  <si>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</si>
  <si>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</si>
  <si>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</si>
  <si>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</si>
  <si>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</si>
  <si>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</si>
  <si>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</si>
  <si>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</si>
  <si>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</si>
  <si>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</si>
  <si>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</si>
  <si>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</si>
  <si>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</si>
  <si>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</si>
  <si>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</si>
  <si>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</si>
  <si>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</si>
  <si>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</si>
  <si>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</si>
  <si>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</si>
  <si>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</si>
  <si>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</si>
  <si>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</si>
  <si>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</si>
  <si>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</si>
  <si>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</si>
  <si>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</si>
  <si>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</si>
  <si>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</si>
  <si>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</si>
  <si>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</si>
  <si>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</si>
  <si>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</si>
  <si>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</si>
  <si>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</si>
  <si>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</si>
  <si>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</si>
  <si>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</si>
  <si>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</si>
  <si>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</si>
  <si>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</si>
  <si>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</si>
  <si>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</si>
  <si>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</si>
  <si>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</si>
  <si>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</si>
  <si>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</si>
  <si>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</si>
  <si>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</si>
  <si>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</si>
  <si>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</si>
  <si>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</si>
  <si>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</si>
  <si>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</si>
  <si>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</si>
  <si>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</si>
  <si>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</si>
  <si>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</si>
  <si>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</si>
  <si>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</si>
  <si>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</si>
  <si>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</si>
  <si>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</si>
  <si>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</si>
  <si>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</si>
  <si>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</si>
  <si>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</si>
  <si>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</si>
  <si>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</si>
  <si>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</si>
  <si>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</si>
  <si>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</si>
  <si>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</si>
  <si>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</si>
  <si>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</si>
  <si>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</si>
  <si>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</si>
  <si>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</si>
  <si>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</si>
  <si>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</si>
  <si>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</si>
  <si>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</si>
  <si>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</si>
  <si>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</si>
  <si>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</si>
  <si>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</si>
  <si>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</si>
  <si>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</si>
  <si>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</si>
  <si>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</si>
  <si>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</si>
  <si>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</si>
  <si>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</si>
  <si>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</si>
  <si>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</si>
  <si>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</si>
  <si>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</si>
  <si>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</si>
  <si>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</si>
  <si>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</si>
  <si>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</si>
  <si>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</si>
  <si>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</si>
  <si>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</si>
  <si>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</si>
  <si>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</si>
  <si>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</si>
  <si>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Анучинский муниципальный район</t>
  </si>
  <si>
    <t>05602000</t>
  </si>
  <si>
    <t>Анучинское сельское поселение</t>
  </si>
  <si>
    <t>05602402</t>
  </si>
  <si>
    <t>Виноградовское сельское поселение</t>
  </si>
  <si>
    <t>05602404</t>
  </si>
  <si>
    <t>Гражданское сельское поселение</t>
  </si>
  <si>
    <t>05602406</t>
  </si>
  <si>
    <t>Чернышевское сельское поселение</t>
  </si>
  <si>
    <t>05602419</t>
  </si>
  <si>
    <t>Кавалеровский муниципальный район</t>
  </si>
  <si>
    <t>05610000</t>
  </si>
  <si>
    <t>Высокогорское</t>
  </si>
  <si>
    <t>05610406</t>
  </si>
  <si>
    <t>Горнореченское сельское поселение</t>
  </si>
  <si>
    <t>05610155</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</si>
  <si>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</si>
  <si>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</si>
  <si>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</si>
  <si>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</si>
  <si>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</si>
  <si>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</si>
  <si>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</si>
  <si>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</si>
  <si>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</si>
  <si>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</si>
  <si>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</si>
  <si>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</si>
  <si>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</si>
  <si>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</si>
  <si>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</si>
  <si>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</si>
  <si>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</si>
  <si>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</si>
  <si>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</si>
  <si>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</si>
  <si>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Октябрьский муниципальный район</t>
  </si>
  <si>
    <t>05626000</t>
  </si>
  <si>
    <t>Галенкинское сельское поселение</t>
  </si>
  <si>
    <t>05626402</t>
  </si>
  <si>
    <t>Липовецкое городское поселение</t>
  </si>
  <si>
    <t>05626154</t>
  </si>
  <si>
    <t>Межселенные территории Октябрьского муниципального района, находящиеся вне границ городского и сельских поселений</t>
  </si>
  <si>
    <t>05626701</t>
  </si>
  <si>
    <t>Новогеоргиевское сельское поселение</t>
  </si>
  <si>
    <t>05626407</t>
  </si>
  <si>
    <t>05626410</t>
  </si>
  <si>
    <t>Ольгинский муниципальный район</t>
  </si>
  <si>
    <t>05628000</t>
  </si>
  <si>
    <t>Веселояровское сельское поселение</t>
  </si>
  <si>
    <t>05628402</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</si>
  <si>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</si>
  <si>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</si>
  <si>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Милоградовское</t>
  </si>
  <si>
    <t>05628407</t>
  </si>
  <si>
    <t>Молдавановское</t>
  </si>
  <si>
    <t>05628410</t>
  </si>
  <si>
    <t>Моряк-Рыболовское</t>
  </si>
  <si>
    <t>05628404</t>
  </si>
  <si>
    <t>Ольгинское городское поселение</t>
  </si>
  <si>
    <t>05628151</t>
  </si>
  <si>
    <t>Пермское</t>
  </si>
  <si>
    <t>05628413</t>
  </si>
  <si>
    <t>Тимофеевское сельское поселение</t>
  </si>
  <si>
    <t>05628416</t>
  </si>
  <si>
    <t>Пограничный муниципальный район</t>
  </si>
  <si>
    <t>05632000</t>
  </si>
  <si>
    <t>Барабаш-Левадинское сельское поселение</t>
  </si>
  <si>
    <t>05632402</t>
  </si>
  <si>
    <t>Жариковское сельское поселение</t>
  </si>
  <si>
    <t>05632410</t>
  </si>
  <si>
    <t>Пограничное городское поселение</t>
  </si>
  <si>
    <t>05632151</t>
  </si>
  <si>
    <t>05632416</t>
  </si>
  <si>
    <t>Пожарский муниципальный район</t>
  </si>
  <si>
    <t>05634000</t>
  </si>
  <si>
    <t>Верхнеперевальское сельское поселение</t>
  </si>
  <si>
    <t>05634404</t>
  </si>
  <si>
    <t>Губеровское сельское поселение</t>
  </si>
  <si>
    <t>05634407</t>
  </si>
  <si>
    <t>Игнатьевское сельское поселение</t>
  </si>
  <si>
    <t>05634413</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</si>
  <si>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</si>
  <si>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</si>
  <si>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</si>
  <si>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</si>
  <si>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</si>
  <si>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</si>
  <si>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</si>
  <si>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</si>
  <si>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</si>
  <si>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</si>
  <si>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</si>
  <si>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</si>
  <si>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</si>
  <si>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</si>
  <si>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</si>
  <si>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</si>
  <si>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</si>
  <si>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</si>
  <si>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</si>
  <si>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</si>
  <si>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</si>
  <si>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</si>
  <si>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</si>
  <si>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</si>
  <si>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</si>
  <si>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116</t>
  </si>
  <si>
    <t>117</t>
  </si>
  <si>
    <t>118</t>
  </si>
  <si>
    <t>119</t>
  </si>
  <si>
    <t>120</t>
  </si>
  <si>
    <t>121</t>
  </si>
  <si>
    <t>122</t>
  </si>
  <si>
    <t>123</t>
  </si>
  <si>
    <t>124</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</si>
  <si>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</si>
  <si>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</si>
  <si>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</si>
  <si>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</si>
  <si>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</si>
  <si>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</si>
  <si>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</si>
  <si>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</si>
  <si>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</si>
  <si>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</si>
  <si>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</si>
  <si>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</si>
  <si>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</si>
  <si>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</si>
  <si>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</si>
  <si>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</si>
  <si>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</si>
  <si>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</si>
  <si>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</si>
  <si>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</si>
  <si>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</si>
  <si>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</si>
  <si>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</si>
  <si>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</si>
  <si>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</si>
  <si>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</si>
  <si>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</si>
  <si>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</si>
  <si>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</si>
  <si>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</si>
  <si>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</si>
  <si>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</si>
  <si>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</si>
  <si>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</si>
  <si>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</si>
  <si>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</si>
  <si>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</si>
  <si>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138</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</si>
  <si>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</si>
  <si>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</si>
  <si>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</si>
  <si>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</si>
  <si>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</si>
  <si>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</si>
  <si>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</si>
  <si>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</si>
  <si>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</si>
  <si>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</si>
  <si>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</si>
  <si>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</si>
  <si>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</si>
  <si>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</si>
  <si>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</si>
  <si>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</si>
  <si>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</si>
  <si>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</si>
  <si>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</si>
  <si>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</si>
  <si>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</si>
  <si>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</si>
  <si>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</si>
  <si>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</si>
  <si>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</si>
  <si>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</si>
  <si>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</si>
  <si>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</si>
  <si>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</si>
  <si>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</si>
  <si>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</si>
  <si>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</si>
  <si>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</si>
  <si>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</si>
  <si>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</si>
  <si>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</si>
  <si>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</si>
  <si>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</si>
  <si>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</si>
  <si>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</si>
  <si>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</si>
  <si>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</si>
  <si>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</si>
  <si>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</si>
  <si>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</si>
  <si>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</si>
  <si>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</si>
  <si>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</si>
  <si>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</si>
  <si>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</si>
  <si>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</si>
  <si>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</si>
  <si>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</si>
  <si>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</si>
  <si>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</si>
  <si>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</si>
  <si>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</si>
  <si>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</si>
  <si>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</si>
  <si>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</si>
  <si>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</si>
  <si>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</si>
  <si>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</si>
  <si>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</si>
  <si>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</si>
  <si>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</si>
  <si>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</si>
  <si>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</si>
  <si>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</si>
  <si>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</si>
  <si>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</si>
  <si>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</si>
  <si>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</si>
  <si>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</si>
  <si>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</si>
  <si>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</si>
  <si>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</si>
  <si>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</si>
  <si>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167</t>
  </si>
  <si>
    <t>168</t>
  </si>
  <si>
    <t>169</t>
  </si>
  <si>
    <t>170</t>
  </si>
  <si>
    <t>171</t>
  </si>
  <si>
    <t>172</t>
  </si>
  <si>
    <t>173</t>
  </si>
  <si>
    <t>174</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</si>
  <si>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</si>
  <si>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</si>
  <si>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</si>
  <si>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</si>
  <si>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</si>
  <si>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</si>
  <si>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</si>
  <si>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</si>
  <si>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</si>
  <si>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</si>
  <si>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</si>
  <si>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</si>
  <si>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</si>
  <si>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180</t>
  </si>
  <si>
    <t>181</t>
  </si>
  <si>
    <t>182</t>
  </si>
  <si>
    <t>183</t>
  </si>
  <si>
    <t>184</t>
  </si>
  <si>
    <t>185</t>
  </si>
  <si>
    <t>186</t>
  </si>
  <si>
    <t>187</t>
  </si>
  <si>
    <t>188</t>
  </si>
  <si>
    <t>189</t>
  </si>
  <si>
    <t>190</t>
  </si>
  <si>
    <t>191</t>
  </si>
  <si>
    <t>192</t>
  </si>
  <si>
    <t>193</t>
  </si>
  <si>
    <t>194</t>
  </si>
  <si>
    <t>195</t>
  </si>
  <si>
    <t>197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</si>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</sst>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 numFmtId="169" formatCode="&quot;$&quot;#,##0_);[Red]\(&quot;$&quot;#,##0\)"/>
    <numFmt numFmtId="170" formatCode="_-* #,##0.00[$€-1]_-;\-* #,##0.00[$€-1]_-;_-* &quot;-&quot;??[$€-1]_-"/>
    <numFmt numFmtId="171"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4" fontId="23" fillId="33" borderId="0" applyFont="1" applyFill="1" applyBorder="0" applyNumberFormat="1">
      <protection locked="0"/>
    </xf>
    <xf numFmtId="166"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799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4" fontId="23" fillId="33" borderId="0" xfId="54" applyFont="1" applyFill="1" applyNumberFormat="1">
      <protection locked="0"/>
    </xf>
    <xf numFmtId="166"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65"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6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66"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66"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66"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5"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66"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66" fontId="23" fillId="42" borderId="15" xfId="0" applyFont="1" applyFill="1" applyBorder="1" applyNumberFormat="1">
      <alignment horizontal="right" vertical="center" wrapText="1"/>
      <protection locked="0"/>
    </xf>
    <xf numFmtId="166"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40"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pplyNumberFormat="1">
      <alignment vertical="center" wrapTex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64"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64"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64"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65"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65"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65"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0" fillId="55"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67" fontId="0"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167" fontId="55" fillId="0" borderId="0" xfId="0" applyFont="1" applyNumberFormat="1">
      <alignment horizontal="center" vertical="center" wrapText="1"/>
    </xf>
    <xf numFmtId="167" fontId="55" fillId="0" borderId="14" xfId="0" applyFont="1" applyBorder="1" applyNumberFormat="1">
      <alignment horizontal="center" vertical="center" wrapText="1"/>
    </xf>
    <xf numFmtId="167" fontId="0" fillId="42" borderId="14" xfId="0" applyFont="1" applyFill="1" applyBorder="1" applyNumberFormat="1">
      <alignment horizontal="left" vertical="center" wrapText="1"/>
      <protection locked="0"/>
    </xf>
    <xf numFmtId="167" fontId="0" fillId="39" borderId="14" xfId="0" applyFont="1" applyFill="1" applyBorder="1" applyNumberFormat="1">
      <alignment horizontal="left" vertical="center" wrapText="1" indent="1"/>
      <protection locked="0"/>
    </xf>
    <xf numFmtId="167"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67" fontId="0" fillId="42" borderId="16" xfId="0" applyFont="1" applyFill="1" applyBorder="1" applyNumberFormat="1">
      <alignment horizontal="left" vertical="center" wrapText="1"/>
      <protection locked="0"/>
    </xf>
    <xf numFmtId="167"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65"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65"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168" fontId="23" fillId="42" borderId="14" xfId="0" applyFont="1" applyFill="1" applyBorder="1" applyNumberFormat="1">
      <alignment horizontal="left" vertical="center" wrapText="1" indent="1"/>
      <protection locked="0"/>
    </xf>
    <xf numFmtId="167"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7"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67"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67"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65" fontId="23" fillId="0" borderId="19"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165"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167" fontId="0" fillId="0" borderId="14" xfId="0" applyFont="1" applyBorder="1" applyNumberFormat="1">
      <alignment horizontal="left" vertical="center" wrapText="1" inden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167" fontId="0" fillId="0" borderId="14" xfId="0" applyFont="1" applyBorder="1" applyNumberFormat="1">
      <alignment horizontal="left" vertical="center" wrapText="1" inden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36" fillId="37" borderId="0" xfId="0" applyFont="1" applyFill="1" applyNumberFormat="1">
      <alignment horizontal="center" vertical="center" wrapTex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45" fillId="0" borderId="29" xfId="0" applyFont="1" applyBorder="1" applyNumberFormat="1">
      <alignment horizontal="center"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49" fontId="0" fillId="0" borderId="0" xfId="0" applyFont="1" applyNumberFormat="1">
      <alignment vertical="top"/>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10</xdr:row>
      <xdr:rowOff>247841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11</xdr:row>
      <xdr:rowOff>38290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8348A-97AF-DF8C-8235-804D6F67116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687" width="5.421875" customWidth="1"/>
    <col min="2" max="2" style="12687" width="9.140625" customWidth="1"/>
    <col min="3" max="3" style="12687" width="16.421875" customWidth="1"/>
    <col min="4" max="25" style="12687" width="6.28125" customWidth="1"/>
    <col min="26" max="28" style="12687" width="11.00390625"/>
  </cols>
  <sheetData>
    <row customHeight="1" ht="15.75">
      <c r="A1" s="1928"/>
      <c r="B1" s="1929"/>
      <c r="C1" s="1929"/>
      <c r="D1" s="1929"/>
      <c r="E1" s="1929"/>
      <c r="F1" s="1929"/>
      <c r="G1" s="1929"/>
      <c r="H1" s="1929"/>
      <c r="I1" s="1929"/>
      <c r="J1" s="1929"/>
      <c r="K1" s="1929"/>
      <c r="L1" s="1929"/>
      <c r="M1" s="1929"/>
      <c r="N1" s="1929"/>
      <c r="O1" s="1929"/>
      <c r="P1" s="1929"/>
      <c r="Q1" s="1929"/>
      <c r="R1" s="1929"/>
      <c r="S1" s="1929"/>
      <c r="T1" s="1929"/>
      <c r="U1" s="1929"/>
      <c r="V1" s="1929"/>
      <c r="W1" s="1929"/>
      <c r="X1" s="1929"/>
      <c r="Y1" s="1930"/>
      <c r="Z1" s="1929"/>
      <c r="AA1" s="1931" t="s">
        <v>0</v>
      </c>
      <c r="AB1" s="1929"/>
    </row>
    <row customHeight="1" ht="17.25">
      <c r="A2" s="1929"/>
      <c r="B2" s="2224" t="s">
        <v>1</v>
      </c>
      <c r="C2" s="2224"/>
      <c r="D2" s="2224"/>
      <c r="E2" s="2224"/>
      <c r="F2" s="2224"/>
      <c r="G2" s="2224"/>
      <c r="H2" s="2224"/>
      <c r="I2" s="2224"/>
      <c r="J2" s="2224"/>
      <c r="K2" s="2224"/>
      <c r="L2" s="2224"/>
      <c r="M2" s="2224"/>
      <c r="N2" s="2224"/>
      <c r="O2" s="2224"/>
      <c r="P2" s="2224"/>
      <c r="Q2" s="1933"/>
      <c r="R2" s="1933"/>
      <c r="S2" s="1933"/>
      <c r="T2" s="1933"/>
      <c r="U2" s="1933"/>
      <c r="V2" s="1934"/>
      <c r="W2" s="1933"/>
      <c r="X2" s="1933"/>
      <c r="Y2" s="1930"/>
      <c r="Z2" s="1929"/>
      <c r="AA2" s="1931"/>
      <c r="AB2" s="1929"/>
    </row>
    <row customHeight="1" ht="15.75">
      <c r="A3" s="1929"/>
      <c r="B3" s="2225" t="s">
        <v>2</v>
      </c>
      <c r="C3" s="2225"/>
      <c r="D3" s="2225"/>
      <c r="E3" s="2225"/>
      <c r="F3" s="2225"/>
      <c r="G3" s="2225"/>
      <c r="H3" s="2225"/>
      <c r="I3" s="2225"/>
      <c r="J3" s="2225"/>
      <c r="K3" s="2225"/>
      <c r="L3" s="2225"/>
      <c r="M3" s="2225"/>
      <c r="N3" s="2225"/>
      <c r="O3" s="2225"/>
      <c r="P3" s="2225"/>
      <c r="Q3" s="1934"/>
      <c r="R3" s="1934"/>
      <c r="S3" s="1933"/>
      <c r="T3" s="1933"/>
      <c r="U3" s="1933"/>
      <c r="V3" s="1934"/>
      <c r="W3" s="1934"/>
      <c r="X3" s="1934"/>
      <c r="Y3" s="1934"/>
      <c r="Z3" s="1929"/>
      <c r="AA3" s="1931"/>
      <c r="AB3" s="1929"/>
    </row>
    <row customHeight="1" ht="17.25">
      <c r="A4" s="1929"/>
      <c r="B4" s="1935"/>
      <c r="C4" s="1929"/>
      <c r="D4" s="1934"/>
      <c r="E4" s="1934"/>
      <c r="F4" s="1934"/>
      <c r="G4" s="1934"/>
      <c r="H4" s="1934"/>
      <c r="I4" s="1934"/>
      <c r="J4" s="1934"/>
      <c r="K4" s="1934"/>
      <c r="L4" s="1934"/>
      <c r="M4" s="1934"/>
      <c r="N4" s="1934"/>
      <c r="O4" s="1934"/>
      <c r="P4" s="1934"/>
      <c r="Q4" s="1934"/>
      <c r="R4" s="1934"/>
      <c r="S4" s="1934"/>
      <c r="T4" s="1934"/>
      <c r="U4" s="1934"/>
      <c r="V4" s="1934"/>
      <c r="W4" s="1934"/>
      <c r="X4" s="1934"/>
      <c r="Y4" s="1934"/>
      <c r="Z4" s="1929"/>
      <c r="AA4" s="1931"/>
      <c r="AB4" s="1929"/>
    </row>
    <row customHeight="1" ht="22.5">
      <c r="A5" s="1936"/>
      <c r="B5" s="2226"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227"/>
      <c r="D5" s="2227"/>
      <c r="E5" s="2227"/>
      <c r="F5" s="2227"/>
      <c r="G5" s="2227"/>
      <c r="H5" s="2227"/>
      <c r="I5" s="2227"/>
      <c r="J5" s="2227"/>
      <c r="K5" s="2227"/>
      <c r="L5" s="2227"/>
      <c r="M5" s="2227"/>
      <c r="N5" s="2227"/>
      <c r="O5" s="2227"/>
      <c r="P5" s="2227"/>
      <c r="Q5" s="2227"/>
      <c r="R5" s="2227"/>
      <c r="S5" s="2227"/>
      <c r="T5" s="2227"/>
      <c r="U5" s="2227"/>
      <c r="V5" s="2227"/>
      <c r="W5" s="2227"/>
      <c r="X5" s="2227"/>
      <c r="Y5" s="2228"/>
      <c r="Z5" s="1936"/>
      <c r="AA5" s="1931"/>
      <c r="AB5" s="1936"/>
    </row>
    <row customHeight="1" ht="15">
      <c r="A6" s="1937"/>
      <c r="B6" s="2216" t="s">
        <v>3</v>
      </c>
      <c r="C6" s="2219"/>
      <c r="D6" s="1938"/>
      <c r="E6" s="1938"/>
      <c r="F6" s="1938"/>
      <c r="G6" s="1938"/>
      <c r="H6" s="1938"/>
      <c r="I6" s="1938"/>
      <c r="J6" s="1938"/>
      <c r="K6" s="1938"/>
      <c r="L6" s="1938"/>
      <c r="M6" s="1938"/>
      <c r="N6" s="1938"/>
      <c r="O6" s="1938"/>
      <c r="P6" s="1938"/>
      <c r="Q6" s="1938"/>
      <c r="R6" s="1938"/>
      <c r="S6" s="1938"/>
      <c r="T6" s="1938"/>
      <c r="U6" s="1938"/>
      <c r="V6" s="1938"/>
      <c r="W6" s="1938"/>
      <c r="X6" s="1938"/>
      <c r="Y6" s="1939"/>
      <c r="Z6" s="1940"/>
      <c r="AA6" s="1941"/>
      <c r="AB6" s="1941"/>
    </row>
    <row customHeight="1" ht="15">
      <c r="A7" s="1937"/>
      <c r="B7" s="2216"/>
      <c r="C7" s="2219"/>
      <c r="D7" s="1938"/>
      <c r="E7" s="1938"/>
      <c r="F7" s="1942"/>
      <c r="G7" s="1942"/>
      <c r="H7" s="1942"/>
      <c r="I7" s="1942"/>
      <c r="J7" s="1942"/>
      <c r="K7" s="1942"/>
      <c r="L7" s="1942"/>
      <c r="M7" s="1942"/>
      <c r="N7" s="1942"/>
      <c r="O7" s="1938"/>
      <c r="P7" s="1942"/>
      <c r="Q7" s="1942"/>
      <c r="R7" s="1942"/>
      <c r="S7" s="1942"/>
      <c r="T7" s="1942"/>
      <c r="U7" s="1942"/>
      <c r="V7" s="1942"/>
      <c r="W7" s="1942"/>
      <c r="X7" s="1942"/>
      <c r="Y7" s="1939"/>
      <c r="Z7" s="1940"/>
      <c r="AA7" s="1941"/>
      <c r="AB7" s="1941"/>
    </row>
    <row customHeight="1" ht="15">
      <c r="A8" s="1937"/>
      <c r="B8" s="2216"/>
      <c r="C8" s="2219"/>
      <c r="D8" s="1943"/>
      <c r="E8" s="1944" t="s">
        <v>4</v>
      </c>
      <c r="F8" s="2229" t="s">
        <v>5</v>
      </c>
      <c r="G8" s="2218"/>
      <c r="H8" s="2218"/>
      <c r="I8" s="2218"/>
      <c r="J8" s="2218"/>
      <c r="K8" s="2218"/>
      <c r="L8" s="2218"/>
      <c r="M8" s="2218"/>
      <c r="N8" s="1943"/>
      <c r="O8" s="1945" t="s">
        <v>4</v>
      </c>
      <c r="P8" s="2230" t="s">
        <v>6</v>
      </c>
      <c r="Q8" s="2231"/>
      <c r="R8" s="2231"/>
      <c r="S8" s="2231"/>
      <c r="T8" s="2231"/>
      <c r="U8" s="2231"/>
      <c r="V8" s="2231"/>
      <c r="W8" s="2231"/>
      <c r="X8" s="2231"/>
      <c r="Y8" s="1939"/>
      <c r="Z8" s="1940"/>
      <c r="AA8" s="1941"/>
      <c r="AB8" s="1941"/>
    </row>
    <row customHeight="1" ht="15">
      <c r="A9" s="1937"/>
      <c r="B9" s="2216"/>
      <c r="C9" s="2219"/>
      <c r="D9" s="1943"/>
      <c r="E9" s="1946" t="s">
        <v>4</v>
      </c>
      <c r="F9" s="2229" t="s">
        <v>7</v>
      </c>
      <c r="G9" s="2218"/>
      <c r="H9" s="2218"/>
      <c r="I9" s="2218"/>
      <c r="J9" s="2218"/>
      <c r="K9" s="2218"/>
      <c r="L9" s="2218"/>
      <c r="M9" s="2218"/>
      <c r="N9" s="1943"/>
      <c r="O9" s="1947" t="s">
        <v>4</v>
      </c>
      <c r="P9" s="2230" t="s">
        <v>8</v>
      </c>
      <c r="Q9" s="2231"/>
      <c r="R9" s="2231"/>
      <c r="S9" s="2231"/>
      <c r="T9" s="2231"/>
      <c r="U9" s="2231"/>
      <c r="V9" s="2231"/>
      <c r="W9" s="2231"/>
      <c r="X9" s="2231"/>
      <c r="Y9" s="1939"/>
      <c r="Z9" s="1940"/>
      <c r="AA9" s="1941"/>
      <c r="AB9" s="1941"/>
    </row>
    <row customHeight="1" ht="30">
      <c r="A10" s="1937"/>
      <c r="B10" s="2216"/>
      <c r="C10" s="2217"/>
      <c r="D10" s="1948"/>
      <c r="E10" s="1949"/>
      <c r="F10" s="1942"/>
      <c r="G10" s="1942"/>
      <c r="H10" s="1942"/>
      <c r="I10" s="1942"/>
      <c r="J10" s="1942"/>
      <c r="K10" s="1942"/>
      <c r="L10" s="1942"/>
      <c r="M10" s="1942"/>
      <c r="N10" s="1942"/>
      <c r="O10" s="1949"/>
      <c r="P10" s="1942"/>
      <c r="Q10" s="1942"/>
      <c r="R10" s="1942"/>
      <c r="S10" s="1942"/>
      <c r="T10" s="1942"/>
      <c r="U10" s="1942"/>
      <c r="V10" s="1942"/>
      <c r="W10" s="1942"/>
      <c r="X10" s="1942"/>
      <c r="Y10" s="1939"/>
      <c r="Z10" s="1940"/>
      <c r="AA10" s="1941"/>
      <c r="AB10" s="1941"/>
    </row>
    <row customHeight="1" ht="19.5">
      <c r="A11" s="1937"/>
      <c r="B11" s="2214" t="s">
        <v>9</v>
      </c>
      <c r="C11" s="2215"/>
      <c r="D11" s="1943"/>
      <c r="E11" s="1950"/>
      <c r="F11" s="1950"/>
      <c r="G11" s="1950"/>
      <c r="H11" s="1950"/>
      <c r="I11" s="1950"/>
      <c r="J11" s="1950"/>
      <c r="K11" s="1950"/>
      <c r="L11" s="1950"/>
      <c r="M11" s="1950"/>
      <c r="N11" s="1950"/>
      <c r="O11" s="1950"/>
      <c r="P11" s="1950"/>
      <c r="Q11" s="1950"/>
      <c r="R11" s="1950"/>
      <c r="S11" s="1950"/>
      <c r="T11" s="1950"/>
      <c r="U11" s="1950"/>
      <c r="V11" s="1950"/>
      <c r="W11" s="1950"/>
      <c r="X11" s="1950"/>
      <c r="Y11" s="1939"/>
      <c r="Z11" s="1940"/>
      <c r="AA11" s="1941"/>
      <c r="AB11" s="1941"/>
    </row>
    <row customHeight="1" ht="69">
      <c r="A12" s="1937"/>
      <c r="B12" s="2216"/>
      <c r="C12" s="2217"/>
      <c r="D12" s="1951"/>
      <c r="E12" s="2218" t="s">
        <v>10</v>
      </c>
      <c r="F12" s="2218"/>
      <c r="G12" s="2218"/>
      <c r="H12" s="2218"/>
      <c r="I12" s="2218"/>
      <c r="J12" s="2218"/>
      <c r="K12" s="2218"/>
      <c r="L12" s="2218"/>
      <c r="M12" s="2218"/>
      <c r="N12" s="2218"/>
      <c r="O12" s="2218"/>
      <c r="P12" s="2218"/>
      <c r="Q12" s="2218"/>
      <c r="R12" s="2218"/>
      <c r="S12" s="2218"/>
      <c r="T12" s="2218"/>
      <c r="U12" s="2218"/>
      <c r="V12" s="2218"/>
      <c r="W12" s="2218"/>
      <c r="X12" s="2218"/>
      <c r="Y12" s="1939"/>
      <c r="Z12" s="1940"/>
      <c r="AA12" s="1941"/>
      <c r="AB12" s="1941"/>
    </row>
    <row customHeight="1" ht="15">
      <c r="A13" s="1937"/>
      <c r="B13" s="2214" t="s">
        <v>11</v>
      </c>
      <c r="C13" s="2215"/>
      <c r="D13" s="1938"/>
      <c r="E13" s="1950"/>
      <c r="F13" s="1950"/>
      <c r="G13" s="1950"/>
      <c r="H13" s="1950"/>
      <c r="I13" s="1950"/>
      <c r="J13" s="1950"/>
      <c r="K13" s="1950"/>
      <c r="L13" s="1950"/>
      <c r="M13" s="1950"/>
      <c r="N13" s="1950"/>
      <c r="O13" s="1950"/>
      <c r="P13" s="1950"/>
      <c r="Q13" s="1950"/>
      <c r="R13" s="1950"/>
      <c r="S13" s="1950"/>
      <c r="T13" s="1950"/>
      <c r="U13" s="1950"/>
      <c r="V13" s="1950"/>
      <c r="W13" s="1950"/>
      <c r="X13" s="1950"/>
      <c r="Y13" s="1939"/>
      <c r="Z13" s="1940"/>
      <c r="AA13" s="1941"/>
      <c r="AB13" s="1941"/>
    </row>
    <row customHeight="1" ht="57">
      <c r="A14" s="1937"/>
      <c r="B14" s="2216"/>
      <c r="C14" s="2219"/>
      <c r="D14" s="1943"/>
      <c r="E14" s="2222" t="s">
        <v>12</v>
      </c>
      <c r="F14" s="2222"/>
      <c r="G14" s="2222"/>
      <c r="H14" s="2222"/>
      <c r="I14" s="2222"/>
      <c r="J14" s="2222"/>
      <c r="K14" s="2222"/>
      <c r="L14" s="2222"/>
      <c r="M14" s="2222"/>
      <c r="N14" s="2222"/>
      <c r="O14" s="2222"/>
      <c r="P14" s="2222"/>
      <c r="Q14" s="2222"/>
      <c r="R14" s="2222"/>
      <c r="S14" s="2222"/>
      <c r="T14" s="2222"/>
      <c r="U14" s="2222"/>
      <c r="V14" s="2222"/>
      <c r="W14" s="2222"/>
      <c r="X14" s="2222"/>
      <c r="Y14" s="1939"/>
      <c r="Z14" s="1940"/>
      <c r="AA14" s="1941"/>
      <c r="AB14" s="1941"/>
    </row>
    <row customHeight="1" ht="16.5">
      <c r="A15" s="1937"/>
      <c r="B15" s="2220"/>
      <c r="C15" s="2221"/>
      <c r="D15" s="1952"/>
      <c r="E15" s="1953"/>
      <c r="F15" s="1953"/>
      <c r="G15" s="1953"/>
      <c r="H15" s="1953"/>
      <c r="I15" s="1953"/>
      <c r="J15" s="1953"/>
      <c r="K15" s="1953"/>
      <c r="L15" s="1953"/>
      <c r="M15" s="1953"/>
      <c r="N15" s="1953"/>
      <c r="O15" s="1953"/>
      <c r="P15" s="1953"/>
      <c r="Q15" s="1953"/>
      <c r="R15" s="1953"/>
      <c r="S15" s="1953"/>
      <c r="T15" s="1953"/>
      <c r="U15" s="1953"/>
      <c r="V15" s="1953"/>
      <c r="W15" s="1953"/>
      <c r="X15" s="1953"/>
      <c r="Y15" s="1954"/>
      <c r="Z15" s="1940"/>
      <c r="AA15" s="1955"/>
      <c r="AB15" s="1941"/>
    </row>
    <row customHeight="1" ht="95.25">
      <c r="A16" s="1929"/>
      <c r="B16" s="2222"/>
      <c r="C16" s="2223"/>
      <c r="D16" s="2223"/>
      <c r="E16" s="2223"/>
      <c r="F16" s="2223"/>
      <c r="G16" s="2223"/>
      <c r="H16" s="2223"/>
      <c r="I16" s="2223"/>
      <c r="J16" s="2223"/>
      <c r="K16" s="2223"/>
      <c r="L16" s="2223"/>
      <c r="M16" s="2223"/>
      <c r="N16" s="2223"/>
      <c r="O16" s="2223"/>
      <c r="P16" s="2223"/>
      <c r="Q16" s="2223"/>
      <c r="R16" s="2223"/>
      <c r="S16" s="2223"/>
      <c r="T16" s="2223"/>
      <c r="U16" s="2223"/>
      <c r="V16" s="2223"/>
      <c r="W16" s="2223"/>
      <c r="X16" s="2223"/>
      <c r="Y16" s="2223"/>
      <c r="Z16" s="1929"/>
      <c r="AA16" s="1931"/>
      <c r="AB16" s="1929"/>
    </row>
    <row customHeight="1" ht="14.25">
      <c r="A17" s="1929"/>
      <c r="B17" s="1929"/>
      <c r="C17" s="1929"/>
      <c r="D17" s="1929"/>
      <c r="E17" s="1929"/>
      <c r="F17" s="1929"/>
      <c r="G17" s="1929"/>
      <c r="H17" s="1929"/>
      <c r="I17" s="1929"/>
      <c r="J17" s="1929"/>
      <c r="K17" s="1929"/>
      <c r="L17" s="1929"/>
      <c r="M17" s="1929"/>
      <c r="N17" s="1929"/>
      <c r="O17" s="1929"/>
      <c r="P17" s="1929"/>
      <c r="Q17" s="1929"/>
      <c r="R17" s="1929"/>
      <c r="S17" s="1929"/>
      <c r="T17" s="1929"/>
      <c r="U17" s="1929"/>
      <c r="V17" s="1929"/>
      <c r="W17" s="1929"/>
      <c r="X17" s="1929"/>
      <c r="Y17" s="1930"/>
      <c r="Z17" s="1929"/>
      <c r="AA17" s="1931"/>
      <c r="AB17" s="1929"/>
    </row>
    <row customHeight="1" ht="14.25">
      <c r="A18" s="1929"/>
      <c r="B18" s="1929"/>
      <c r="C18" s="1929"/>
      <c r="D18" s="1929"/>
      <c r="E18" s="1929"/>
      <c r="F18" s="1929"/>
      <c r="G18" s="1929"/>
      <c r="H18" s="1929"/>
      <c r="I18" s="1929"/>
      <c r="J18" s="1929"/>
      <c r="K18" s="1929"/>
      <c r="L18" s="1929"/>
      <c r="M18" s="1929"/>
      <c r="N18" s="1929"/>
      <c r="O18" s="1929"/>
      <c r="P18" s="1929"/>
      <c r="Q18" s="1929"/>
      <c r="R18" s="1929"/>
      <c r="S18" s="1929"/>
      <c r="T18" s="1929"/>
      <c r="U18" s="1929"/>
      <c r="V18" s="1929"/>
      <c r="W18" s="1929"/>
      <c r="X18" s="1929"/>
      <c r="Y18" s="1930"/>
      <c r="Z18" s="1929"/>
      <c r="AA18" s="1931"/>
      <c r="AB18" s="1929"/>
    </row>
    <row customHeight="1" ht="14.25">
      <c r="A19" s="1929"/>
      <c r="B19" s="1929"/>
      <c r="C19" s="1929"/>
      <c r="D19" s="1929"/>
      <c r="E19" s="1929"/>
      <c r="F19" s="1929"/>
      <c r="G19" s="1929"/>
      <c r="H19" s="1929"/>
      <c r="I19" s="1929"/>
      <c r="J19" s="1929"/>
      <c r="K19" s="1929"/>
      <c r="L19" s="1929"/>
      <c r="M19" s="1929"/>
      <c r="N19" s="1929"/>
      <c r="O19" s="1929"/>
      <c r="P19" s="1929"/>
      <c r="Q19" s="1929"/>
      <c r="R19" s="1929"/>
      <c r="S19" s="1929"/>
      <c r="T19" s="1929"/>
      <c r="U19" s="1929"/>
      <c r="V19" s="1929"/>
      <c r="W19" s="1929"/>
      <c r="X19" s="1929"/>
      <c r="Y19" s="1930"/>
      <c r="Z19" s="1929"/>
      <c r="AA19" s="1931"/>
      <c r="AB19" s="1929"/>
    </row>
    <row customHeight="1" ht="14.25">
      <c r="A20" s="1929"/>
      <c r="B20" s="1929"/>
      <c r="C20" s="1929"/>
      <c r="D20" s="1929"/>
      <c r="E20" s="1929"/>
      <c r="F20" s="1929"/>
      <c r="G20" s="1929"/>
      <c r="H20" s="1929"/>
      <c r="I20" s="1929"/>
      <c r="J20" s="1929"/>
      <c r="K20" s="1929"/>
      <c r="L20" s="1929"/>
      <c r="M20" s="1929"/>
      <c r="N20" s="1929"/>
      <c r="O20" s="1929"/>
      <c r="P20" s="1929"/>
      <c r="Q20" s="1929"/>
      <c r="R20" s="1929"/>
      <c r="S20" s="1929"/>
      <c r="T20" s="1929"/>
      <c r="U20" s="1929"/>
      <c r="V20" s="1929"/>
      <c r="W20" s="1929"/>
      <c r="X20" s="1929"/>
      <c r="Y20" s="1930"/>
      <c r="Z20" s="1929"/>
      <c r="AA20" s="1931"/>
      <c r="AB20" s="1929"/>
    </row>
    <row customHeight="1" ht="14.25">
      <c r="A21" s="1929"/>
      <c r="B21" s="1929"/>
      <c r="C21" s="1929"/>
      <c r="D21" s="1929"/>
      <c r="E21" s="1929"/>
      <c r="F21" s="1929"/>
      <c r="G21" s="1929"/>
      <c r="H21" s="1929"/>
      <c r="I21" s="1929"/>
      <c r="J21" s="1929"/>
      <c r="K21" s="1929"/>
      <c r="L21" s="1929"/>
      <c r="M21" s="1929"/>
      <c r="N21" s="1929"/>
      <c r="O21" s="1929"/>
      <c r="P21" s="1929"/>
      <c r="Q21" s="1929"/>
      <c r="R21" s="1929"/>
      <c r="S21" s="1929"/>
      <c r="T21" s="1929"/>
      <c r="U21" s="1929"/>
      <c r="V21" s="1929"/>
      <c r="W21" s="1929"/>
      <c r="X21" s="1929"/>
      <c r="Y21" s="1930"/>
      <c r="Z21" s="1929"/>
      <c r="AA21" s="1931"/>
      <c r="AB21" s="1929"/>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966701-9D61-A1F7-9111-57D60E7F1FE8}" mc:Ignorable="x14ac xr xr2 xr3">
  <sheetPr>
    <tabColor rgb="FFCCCCFF"/>
  </sheetPr>
  <dimension ref="A1:P78"/>
  <sheetViews>
    <sheetView topLeftCell="C1" showGridLines="0" zoomScale="90" workbookViewId="0" tabSelected="1">
      <selection activeCell="I31" sqref="I31"/>
    </sheetView>
  </sheetViews>
  <sheetFormatPr defaultColWidth="9.140625" customHeight="1" defaultRowHeight="11.25"/>
  <cols>
    <col min="1" max="1" style="12800" width="10.7109375" hidden="1" customWidth="1"/>
    <col min="2" max="2" style="12801" width="10.7109375" hidden="1" customWidth="1"/>
    <col min="3" max="3" style="12802" width="3.7109375" customWidth="1"/>
    <col min="4" max="4" style="12803" width="1.7109375" customWidth="1"/>
    <col min="5" max="5" style="12803" width="55.28125" customWidth="1"/>
    <col min="6" max="6" style="12803" width="55.00390625" customWidth="1"/>
    <col min="7" max="7" style="12804" width="1.7109375" customWidth="1"/>
    <col min="8" max="8" style="12729" width="18.00390625" hidden="1" customWidth="1"/>
    <col min="9" max="9" style="12805" width="59.7109375" customWidth="1"/>
    <col min="10" max="10" style="12806" width="52.140625" hidden="1" customWidth="1"/>
    <col min="11" max="11" style="12803" width="9.140625"/>
    <col min="12" max="12" style="12803" width="78.00390625" customWidth="1"/>
    <col min="13" max="16" style="12803" width="9.140625"/>
  </cols>
  <sheetData>
    <row s="12688" customFormat="1" customHeight="1" ht="3">
      <c r="A1" s="1006"/>
      <c r="B1" s="464"/>
      <c r="F1" s="465">
        <v>26354809</v>
      </c>
      <c r="G1" s="634"/>
      <c r="H1" s="294"/>
      <c r="I1" s="634"/>
      <c r="J1" s="1094"/>
    </row>
    <row s="12695" customFormat="1" customHeight="1" ht="14.25">
      <c r="A2" s="1006"/>
      <c r="B2" s="322"/>
      <c r="E2" s="1968" t="str">
        <f>code</f>
        <v>Код отчёта: PP108.OPEN.INFO.PRICE.HOTVSNA.EIAS</v>
      </c>
      <c r="F2" s="492"/>
      <c r="G2" s="468"/>
      <c r="H2" s="468"/>
      <c r="I2" s="468"/>
      <c r="J2" s="1095"/>
      <c r="K2" s="468"/>
    </row>
    <row customHeight="1" ht="14.25">
      <c r="E3" s="469" t="str">
        <f>version</f>
        <v>Версия отчёта: 1.0.7</v>
      </c>
      <c r="F3" s="492"/>
      <c r="G3" s="993"/>
      <c r="H3" s="993"/>
      <c r="I3" s="993"/>
      <c r="J3" s="1096"/>
      <c r="K3" s="311"/>
    </row>
    <row s="12705" customFormat="1" customHeight="1" ht="6">
      <c r="A4" s="1007"/>
      <c r="B4" s="455"/>
      <c r="C4" s="456"/>
      <c r="D4" s="457"/>
      <c r="E4" s="466"/>
      <c r="F4" s="467"/>
      <c r="G4" s="994"/>
      <c r="H4" s="632"/>
      <c r="I4" s="634"/>
      <c r="J4" s="1097"/>
    </row>
    <row customHeight="1" ht="37.5">
      <c r="D5" s="298"/>
      <c r="E5" s="2232" t="str">
        <f>NameTemplatesInTitle</f>
        <v>Показатели, подлежащие раскрытию в сфере горячего водоснабжения (цены и тарифы)</v>
      </c>
      <c r="F5" s="2233"/>
      <c r="G5" s="995"/>
      <c r="J5" s="1098"/>
    </row>
    <row s="12705" customFormat="1" customHeight="1" ht="6">
      <c r="A6" s="1007"/>
      <c r="B6" s="455"/>
      <c r="C6" s="456"/>
      <c r="D6" s="457"/>
      <c r="E6" s="460"/>
      <c r="F6" s="461"/>
      <c r="G6" s="995"/>
      <c r="H6" s="632"/>
      <c r="I6" s="634"/>
      <c r="J6" s="1097"/>
    </row>
    <row customHeight="1" ht="19.5">
      <c r="D7" s="298"/>
      <c r="E7" s="614" t="s">
        <v>13</v>
      </c>
      <c r="F7" s="438" t="s">
        <v>14</v>
      </c>
      <c r="G7" s="995"/>
    </row>
    <row s="12705" customFormat="1" customHeight="1" ht="6">
      <c r="A8" s="1008"/>
      <c r="B8" s="455"/>
      <c r="C8" s="456"/>
      <c r="D8" s="462"/>
      <c r="E8" s="460"/>
      <c r="F8" s="463"/>
      <c r="G8" s="300"/>
      <c r="H8" s="632"/>
      <c r="I8" s="634"/>
      <c r="J8" s="1100"/>
    </row>
    <row s="12729" customFormat="1" customHeight="1" ht="19.5" hidden="1">
      <c r="A9" s="1007"/>
      <c r="B9" s="322"/>
      <c r="C9" s="631"/>
      <c r="D9" s="633"/>
      <c r="E9" s="1390" t="s">
        <v>15</v>
      </c>
      <c r="F9" s="2150"/>
      <c r="G9" s="995"/>
      <c r="I9" s="2129" t="str">
        <f>IF(TITLE_STRUCTURE_INFO_ROIV="","","раскрывается "&amp;INDEX(ROIV_INFO_COMMENT,MATCH(TITLE_STRUCTURE_INFO_ROIV,ROIV_INFO_LIST,0)))</f>
        <v/>
      </c>
      <c r="J9" s="1099"/>
    </row>
    <row s="12736" customFormat="1" customHeight="1" ht="6">
      <c r="A10" s="1008"/>
      <c r="B10" s="649"/>
      <c r="C10" s="650"/>
      <c r="D10" s="462"/>
      <c r="E10" s="460"/>
      <c r="F10" s="463"/>
      <c r="G10" s="300"/>
      <c r="H10" s="632"/>
      <c r="I10" s="634"/>
      <c r="J10" s="1100"/>
    </row>
    <row customHeight="1" ht="22.5">
      <c r="A11" s="2235" t="s">
        <v>16</v>
      </c>
      <c r="D11" s="298"/>
      <c r="E11" s="1390" t="s">
        <v>17</v>
      </c>
      <c r="F11" s="8134">
        <v>45287.50564814815</v>
      </c>
      <c r="G11" s="300"/>
      <c r="H11" s="996" t="s">
        <v>18</v>
      </c>
      <c r="J11" s="1099" t="s">
        <v>19</v>
      </c>
    </row>
    <row customHeight="1" ht="22.5">
      <c r="A12" s="2235"/>
      <c r="D12" s="298"/>
      <c r="E12" s="1390" t="s">
        <v>20</v>
      </c>
      <c r="F12" s="8134">
        <v>51501.505740740744</v>
      </c>
      <c r="G12" s="296"/>
      <c r="J12" s="1099" t="s">
        <v>21</v>
      </c>
    </row>
    <row s="12729" customFormat="1" customHeight="1" ht="22.5" hidden="1">
      <c r="A13" s="1011" t="s">
        <v>22</v>
      </c>
      <c r="B13" s="322"/>
      <c r="C13" s="631"/>
      <c r="D13" s="633"/>
      <c r="E13" s="2003" t="s">
        <v>23</v>
      </c>
      <c r="F13" s="1960" t="s">
        <v>24</v>
      </c>
      <c r="G13" s="300"/>
      <c r="H13" s="993"/>
      <c r="I13" s="634"/>
      <c r="J13" s="2004" t="s">
        <v>25</v>
      </c>
    </row>
    <row s="12729" customFormat="1" customHeight="1" ht="27" hidden="1">
      <c r="A14" s="1011" t="s">
        <v>26</v>
      </c>
      <c r="B14" s="322"/>
      <c r="C14" s="631"/>
      <c r="D14" s="633"/>
      <c r="E14" s="1390" t="s">
        <v>27</v>
      </c>
      <c r="F14" s="1995"/>
      <c r="G14" s="300"/>
      <c r="H14" s="993"/>
      <c r="I14" s="634"/>
      <c r="J14" s="1099" t="s">
        <v>28</v>
      </c>
    </row>
    <row s="12729" customFormat="1" customHeight="1" ht="19.5" hidden="1">
      <c r="A15" s="1011" t="s">
        <v>29</v>
      </c>
      <c r="B15" s="322"/>
      <c r="C15" s="631"/>
      <c r="D15" s="633"/>
      <c r="E15" s="1390" t="s">
        <v>30</v>
      </c>
      <c r="F15" s="1995"/>
      <c r="G15" s="300"/>
      <c r="H15" s="993"/>
      <c r="I15" s="634"/>
      <c r="J15" s="1099" t="s">
        <v>31</v>
      </c>
    </row>
    <row s="12705" customFormat="1" customHeight="1" ht="6">
      <c r="A16" s="1008"/>
      <c r="B16" s="455"/>
      <c r="C16" s="456"/>
      <c r="D16" s="462"/>
      <c r="E16" s="460"/>
      <c r="F16" s="463"/>
      <c r="G16" s="300"/>
      <c r="H16" s="632"/>
      <c r="I16" s="634"/>
      <c r="J16" s="1097"/>
    </row>
    <row customHeight="1" ht="19.5">
      <c r="D17" s="298"/>
      <c r="E17" s="614" t="s">
        <v>32</v>
      </c>
      <c r="F17" s="8142" t="s">
        <v>33</v>
      </c>
      <c r="G17" s="296"/>
      <c r="H17" s="996" t="s">
        <v>18</v>
      </c>
    </row>
    <row customHeight="1" ht="25.5">
      <c r="D18" s="298"/>
      <c r="E18" s="2003" t="s">
        <v>34</v>
      </c>
      <c r="F18" s="8143">
        <v>45287.66952546296</v>
      </c>
      <c r="G18" s="296"/>
      <c r="I18" s="997"/>
      <c r="J18" s="2234" t="s">
        <v>35</v>
      </c>
    </row>
    <row customHeight="1" ht="25.5">
      <c r="D19" s="298"/>
      <c r="E19" s="139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8143">
        <v>45287.66966435185</v>
      </c>
      <c r="G19" s="296"/>
      <c r="I19" s="997"/>
      <c r="J19" s="2234"/>
    </row>
    <row customHeight="1" ht="22.5">
      <c r="D20" s="298"/>
      <c r="E20" s="299"/>
      <c r="F20" s="493" t="str">
        <f>"Первичное "&amp;IF(TEMPLATE_GROUP="P","установление тарифов","предложение по тарифам")</f>
        <v>Первичное установление тарифов</v>
      </c>
      <c r="G20" s="296"/>
      <c r="I20" s="617"/>
      <c r="J20" s="1098" t="s">
        <v>36</v>
      </c>
    </row>
    <row customHeight="1" ht="19.5">
      <c r="D21" s="298"/>
      <c r="E21" s="614" t="str">
        <f>"Дата "&amp;IF(TEMPLATE_GROUP="P","документа","подачи заявления")&amp;" об утверждении тарифов"</f>
        <v>Дата документа об утверждении тарифов</v>
      </c>
      <c r="F21" s="5274">
        <v>45268.50579861111</v>
      </c>
      <c r="G21" s="296"/>
      <c r="I21" s="998"/>
    </row>
    <row customHeight="1" ht="19.5">
      <c r="D22" s="298"/>
      <c r="E22" s="614" t="str">
        <f>"Номер "&amp;IF(TEMPLATE_GROUP="P","документа","подачи заявления")&amp;" об утверждении тарифов"</f>
        <v>Номер документа об утверждении тарифов</v>
      </c>
      <c r="F22" s="439" t="s">
        <v>37</v>
      </c>
      <c r="G22" s="296"/>
      <c r="I22" s="998"/>
    </row>
    <row customHeight="1" ht="22.5">
      <c r="D23" s="298"/>
      <c r="E23" s="614" t="s">
        <v>38</v>
      </c>
      <c r="F23" s="439" t="s">
        <v>39</v>
      </c>
      <c r="G23" s="296"/>
    </row>
    <row customHeight="1" ht="36.75">
      <c r="D24" s="298"/>
      <c r="E24" s="614" t="s">
        <v>40</v>
      </c>
      <c r="F24" s="439" t="s">
        <v>41</v>
      </c>
      <c r="G24" s="296"/>
    </row>
    <row customHeight="1" ht="22.5">
      <c r="D25" s="298"/>
      <c r="E25" s="299"/>
      <c r="F25" s="493" t="str">
        <f>"Изменение "&amp;IF(TEMPLATE_GROUP="P","тарифов","предложения по тарифам")</f>
        <v>Изменение тарифов</v>
      </c>
      <c r="G25" s="296"/>
      <c r="J25" s="1098" t="s">
        <v>42</v>
      </c>
    </row>
    <row customHeight="1" ht="19.5">
      <c r="D26" s="298"/>
      <c r="E26" s="614" t="str">
        <f>"Дата "&amp;IF(TEMPLATE_GROUP="P","принятия решения","подачи заявления")&amp;" об изменении тарифов"</f>
        <v>Дата принятия решения об изменении тарифов</v>
      </c>
      <c r="F26" s="8143">
        <v>45281.66994212963</v>
      </c>
      <c r="G26" s="296"/>
    </row>
    <row customHeight="1" ht="19.5">
      <c r="D27" s="298"/>
      <c r="E27" s="1390" t="str">
        <f>"Номер "&amp;IF(TEMPLATE_GROUP="P","принятия решения","заявления")&amp;" об изменении тарифов"</f>
        <v>Номер принятия решения об изменении тарифов</v>
      </c>
      <c r="F27" s="8152" t="s">
        <v>43</v>
      </c>
      <c r="G27" s="296"/>
    </row>
    <row customHeight="1" ht="24.75">
      <c r="D28" s="298"/>
      <c r="E28" s="614" t="s">
        <v>44</v>
      </c>
      <c r="F28" s="8152" t="s">
        <v>39</v>
      </c>
      <c r="G28" s="296"/>
    </row>
    <row customHeight="1" ht="19.5">
      <c r="D29" s="298"/>
      <c r="E29" s="614" t="s">
        <v>40</v>
      </c>
      <c r="F29" s="8152" t="s">
        <v>45</v>
      </c>
      <c r="G29" s="296"/>
    </row>
    <row s="12705" customFormat="1" customHeight="1" ht="6">
      <c r="A30" s="1008"/>
      <c r="B30" s="455"/>
      <c r="C30" s="456"/>
      <c r="D30" s="462"/>
      <c r="E30" s="460"/>
      <c r="F30" s="463"/>
      <c r="G30" s="300"/>
      <c r="H30" s="632"/>
      <c r="I30" s="634"/>
      <c r="J30" s="1097"/>
    </row>
    <row customHeight="1" ht="19.5">
      <c r="C31" s="301"/>
      <c r="D31" s="302"/>
      <c r="E31" s="614" t="str">
        <f>"Наименование "&amp;IF(TEMPLATE_GROUP="ROIV","органа тарифного регулирования","ЮЛ / ИП")</f>
        <v>Наименование ЮЛ / ИП</v>
      </c>
      <c r="F31" s="440" t="s">
        <v>46</v>
      </c>
      <c r="G31" s="999"/>
    </row>
    <row customHeight="1" ht="19.5" hidden="1">
      <c r="C32" s="301"/>
      <c r="D32" s="302"/>
      <c r="E32" s="615" t="s">
        <v>47</v>
      </c>
      <c r="F32" s="440"/>
      <c r="G32" s="999"/>
    </row>
    <row customHeight="1" ht="19.5">
      <c r="C33" s="301"/>
      <c r="D33" s="302"/>
      <c r="E33" s="614" t="s">
        <v>48</v>
      </c>
      <c r="F33" s="440" t="s">
        <v>49</v>
      </c>
      <c r="G33" s="999"/>
    </row>
    <row customHeight="1" ht="19.5">
      <c r="C34" s="301"/>
      <c r="D34" s="302"/>
      <c r="E34" s="614" t="s">
        <v>50</v>
      </c>
      <c r="F34" s="440" t="s">
        <v>51</v>
      </c>
      <c r="G34" s="999"/>
      <c r="H34" s="303"/>
    </row>
    <row s="12705" customFormat="1" customHeight="1" ht="11.25">
      <c r="A35" s="1008"/>
      <c r="B35" s="455"/>
      <c r="C35" s="456"/>
      <c r="D35" s="462"/>
      <c r="E35" s="460"/>
      <c r="F35" s="463"/>
      <c r="G35" s="300"/>
      <c r="H35" s="632"/>
      <c r="I35" s="634"/>
      <c r="J35" s="1097"/>
    </row>
    <row customHeight="1" ht="19.5" hidden="1">
      <c r="A36" s="1102"/>
      <c r="D36" s="302"/>
      <c r="E36" s="614" t="s">
        <v>52</v>
      </c>
      <c r="F36" s="571"/>
      <c r="G36" s="300"/>
    </row>
    <row customHeight="1" ht="19.5">
      <c r="A37" s="1102"/>
      <c r="D37" s="302"/>
      <c r="E37" s="614" t="s">
        <v>53</v>
      </c>
      <c r="F37" s="5299" t="s">
        <v>54</v>
      </c>
      <c r="G37" s="300"/>
    </row>
    <row s="12705" customFormat="1" customHeight="1" ht="6">
      <c r="A38" s="1008"/>
      <c r="B38" s="455"/>
      <c r="C38" s="456"/>
      <c r="D38" s="457"/>
      <c r="E38" s="458"/>
      <c r="F38" s="1277"/>
      <c r="G38" s="296"/>
      <c r="H38" s="632"/>
      <c r="I38" s="634"/>
      <c r="J38" s="1099"/>
    </row>
    <row customHeight="1" ht="35.25">
      <c r="A39" s="1008"/>
      <c r="D39" s="298"/>
      <c r="E39" s="614" t="s">
        <v>55</v>
      </c>
      <c r="F39" s="933" t="s">
        <v>56</v>
      </c>
      <c r="G39" s="296"/>
      <c r="H39" s="996" t="s">
        <v>18</v>
      </c>
    </row>
    <row s="12736" customFormat="1" customHeight="1" ht="6" hidden="1">
      <c r="A40" s="1007"/>
      <c r="B40" s="649"/>
      <c r="C40" s="650"/>
      <c r="D40" s="651"/>
      <c r="E40" s="652"/>
      <c r="F40" s="1277"/>
      <c r="G40" s="296"/>
      <c r="H40" s="632"/>
      <c r="I40" s="634"/>
      <c r="J40" s="1099"/>
    </row>
    <row s="12729" customFormat="1" customHeight="1" ht="26.25" hidden="1">
      <c r="A41" s="1011" t="s">
        <v>22</v>
      </c>
      <c r="B41" s="636"/>
      <c r="C41" s="631"/>
      <c r="D41" s="633"/>
      <c r="E41" s="61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33" t="s">
        <v>56</v>
      </c>
      <c r="G41" s="296"/>
      <c r="I41" s="634"/>
      <c r="J41" s="1099"/>
    </row>
    <row s="12736" customFormat="1" customHeight="1" ht="6" hidden="1">
      <c r="A42" s="1007"/>
      <c r="B42" s="649"/>
      <c r="C42" s="650"/>
      <c r="D42" s="651"/>
      <c r="E42" s="652"/>
      <c r="F42" s="1277"/>
      <c r="G42" s="296"/>
      <c r="H42" s="632"/>
      <c r="I42" s="634"/>
      <c r="J42" s="1097"/>
    </row>
    <row s="12729" customFormat="1" customHeight="1" ht="27" hidden="1">
      <c r="A43" s="1007"/>
      <c r="B43" s="636"/>
      <c r="C43" s="631"/>
      <c r="D43" s="633"/>
      <c r="E43" s="614" t="s">
        <v>57</v>
      </c>
      <c r="F43" s="933" t="s">
        <v>56</v>
      </c>
      <c r="G43" s="296"/>
      <c r="I43" s="634"/>
      <c r="J43" s="1099"/>
    </row>
    <row s="12729" customFormat="1" customHeight="1" ht="27" hidden="1">
      <c r="A44" s="1007"/>
      <c r="B44" s="636"/>
      <c r="C44" s="631"/>
      <c r="D44" s="633"/>
      <c r="E44" s="1390" t="s">
        <v>58</v>
      </c>
      <c r="F44" s="2117"/>
      <c r="G44" s="296"/>
      <c r="I44" s="634"/>
      <c r="J44" s="1099"/>
    </row>
    <row s="12736" customFormat="1" customHeight="1" ht="6" hidden="1">
      <c r="A45" s="1007"/>
      <c r="B45" s="649"/>
      <c r="C45" s="650"/>
      <c r="D45" s="651"/>
      <c r="E45" s="652"/>
      <c r="F45" s="1277"/>
      <c r="G45" s="296"/>
      <c r="H45" s="632"/>
      <c r="I45" s="634"/>
      <c r="J45" s="1099"/>
    </row>
    <row s="12736" customFormat="1" customHeight="1" ht="24.75" hidden="1">
      <c r="A46" s="1007"/>
      <c r="B46" s="649"/>
      <c r="C46" s="650"/>
      <c r="D46" s="651"/>
      <c r="E46" s="1390" t="s">
        <v>59</v>
      </c>
      <c r="F46" s="933" t="s">
        <v>56</v>
      </c>
      <c r="G46" s="296"/>
      <c r="H46" s="632"/>
      <c r="I46" s="634"/>
      <c r="J46" s="1099"/>
    </row>
    <row s="12729" customFormat="1" customHeight="1" ht="24.75" hidden="1">
      <c r="A47" s="1007"/>
      <c r="B47" s="636"/>
      <c r="C47" s="631"/>
      <c r="D47" s="633"/>
      <c r="E47" s="1390" t="s">
        <v>60</v>
      </c>
      <c r="F47" s="933" t="s">
        <v>56</v>
      </c>
      <c r="G47" s="296"/>
      <c r="I47" s="634"/>
      <c r="J47" s="1099"/>
    </row>
    <row s="12705" customFormat="1" customHeight="1" ht="6">
      <c r="A48" s="1007"/>
      <c r="B48" s="455"/>
      <c r="C48" s="456"/>
      <c r="D48" s="457"/>
      <c r="E48" s="458"/>
      <c r="F48" s="1277"/>
      <c r="G48" s="296"/>
      <c r="H48" s="632"/>
      <c r="I48" s="634"/>
      <c r="J48" s="1099"/>
    </row>
    <row customHeight="1" ht="29.25">
      <c r="B49" s="372"/>
      <c r="D49" s="298"/>
      <c r="E49" s="6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33" t="s">
        <v>56</v>
      </c>
      <c r="G49" s="296"/>
    </row>
    <row s="12736" customFormat="1" customHeight="1" ht="6" hidden="1">
      <c r="A50" s="1008"/>
      <c r="B50" s="649"/>
      <c r="C50" s="650"/>
      <c r="D50" s="462"/>
      <c r="E50" s="460"/>
      <c r="F50" s="463"/>
      <c r="G50" s="300"/>
      <c r="H50" s="632"/>
      <c r="I50" s="634"/>
      <c r="J50" s="1099"/>
    </row>
    <row s="12776" customFormat="1" customHeight="1" ht="28.5" hidden="1">
      <c r="A51" s="1009"/>
      <c r="B51" s="636"/>
      <c r="C51" s="753"/>
      <c r="D51" s="754"/>
      <c r="E51" s="614" t="s">
        <v>61</v>
      </c>
      <c r="F51" s="933" t="s">
        <v>56</v>
      </c>
      <c r="G51" s="755"/>
      <c r="I51" s="757"/>
      <c r="J51" s="1101"/>
      <c r="P51" s="758"/>
    </row>
    <row s="12736" customFormat="1" customHeight="1" ht="6" hidden="1">
      <c r="A52" s="1008"/>
      <c r="B52" s="649"/>
      <c r="C52" s="650"/>
      <c r="D52" s="462"/>
      <c r="E52" s="460"/>
      <c r="F52" s="463"/>
      <c r="G52" s="300"/>
      <c r="H52" s="632"/>
      <c r="I52" s="634"/>
      <c r="J52" s="1097"/>
    </row>
    <row s="12776" customFormat="1" customHeight="1" ht="27" hidden="1">
      <c r="A53" s="1009"/>
      <c r="B53" s="636"/>
      <c r="C53" s="753"/>
      <c r="D53" s="754"/>
      <c r="E53" s="614" t="s">
        <v>62</v>
      </c>
      <c r="F53" s="1272" t="s">
        <v>56</v>
      </c>
      <c r="G53" s="755"/>
      <c r="I53" s="757"/>
      <c r="J53" s="1101"/>
      <c r="P53" s="758"/>
    </row>
    <row s="12776" customFormat="1" customHeight="1" ht="27" hidden="1">
      <c r="A54" s="1009"/>
      <c r="B54" s="636"/>
      <c r="C54" s="753"/>
      <c r="D54" s="754"/>
      <c r="E54" s="614" t="s">
        <v>63</v>
      </c>
      <c r="F54" s="2002"/>
      <c r="G54" s="755"/>
      <c r="I54" s="757"/>
      <c r="J54" s="1101"/>
      <c r="P54" s="758"/>
    </row>
    <row s="12736" customFormat="1" customHeight="1" ht="6" hidden="1">
      <c r="A55" s="1008"/>
      <c r="B55" s="649"/>
      <c r="C55" s="650"/>
      <c r="D55" s="462"/>
      <c r="E55" s="460"/>
      <c r="F55" s="463"/>
      <c r="G55" s="300"/>
      <c r="H55" s="632"/>
      <c r="I55" s="634"/>
      <c r="J55" s="1097"/>
    </row>
    <row s="12776" customFormat="1" customHeight="1" ht="25.5" hidden="1">
      <c r="A56" s="1009"/>
      <c r="B56" s="636"/>
      <c r="C56" s="753"/>
      <c r="D56" s="754"/>
      <c r="E56" s="614" t="s">
        <v>64</v>
      </c>
      <c r="F56" s="1272" t="s">
        <v>56</v>
      </c>
      <c r="G56" s="755"/>
      <c r="I56" s="757"/>
      <c r="J56" s="1101"/>
      <c r="P56" s="758"/>
    </row>
    <row s="12736" customFormat="1" customHeight="1" ht="6" hidden="1">
      <c r="A57" s="1008"/>
      <c r="B57" s="649"/>
      <c r="C57" s="650"/>
      <c r="D57" s="462"/>
      <c r="E57" s="460"/>
      <c r="F57" s="463"/>
      <c r="G57" s="300"/>
      <c r="H57" s="632"/>
      <c r="I57" s="634"/>
      <c r="J57" s="1097"/>
    </row>
    <row s="12776" customFormat="1" customHeight="1" ht="15" hidden="1">
      <c r="A58" s="1009"/>
      <c r="B58" s="636"/>
      <c r="C58" s="753"/>
      <c r="D58" s="754"/>
      <c r="E58" s="614" t="s">
        <v>65</v>
      </c>
      <c r="F58" s="1272" t="s">
        <v>66</v>
      </c>
      <c r="G58" s="755"/>
      <c r="I58" s="757"/>
      <c r="J58" s="1101"/>
      <c r="P58" s="758"/>
    </row>
    <row s="12776" customFormat="1" customHeight="1" ht="75" hidden="1">
      <c r="A59" s="1009"/>
      <c r="B59" s="636"/>
      <c r="C59" s="753"/>
      <c r="D59" s="754"/>
      <c r="E59" s="6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16"/>
      <c r="G59" s="755"/>
      <c r="I59" s="757"/>
      <c r="J59" s="1101"/>
      <c r="P59" s="758"/>
    </row>
    <row s="12776" customFormat="1" customHeight="1" ht="15" hidden="1">
      <c r="A60" s="1009"/>
      <c r="B60" s="636"/>
      <c r="C60" s="753"/>
      <c r="D60" s="754"/>
      <c r="E60" s="1390" t="s">
        <v>67</v>
      </c>
      <c r="F60" s="1376"/>
      <c r="G60" s="755"/>
      <c r="I60" s="757"/>
      <c r="J60" s="1101"/>
      <c r="P60" s="758"/>
    </row>
    <row s="12736" customFormat="1" customHeight="1" ht="6" hidden="1">
      <c r="A61" s="1008"/>
      <c r="B61" s="649"/>
      <c r="C61" s="650"/>
      <c r="D61" s="651"/>
      <c r="E61" s="652"/>
      <c r="F61" s="1277"/>
      <c r="G61" s="296"/>
      <c r="H61" s="632"/>
      <c r="I61" s="634"/>
      <c r="J61" s="1099"/>
    </row>
    <row s="12729" customFormat="1" customHeight="1" ht="33.75" hidden="1">
      <c r="A62" s="1008"/>
      <c r="B62" s="322"/>
      <c r="C62" s="631"/>
      <c r="D62" s="633"/>
      <c r="E62" s="1390" t="s">
        <v>68</v>
      </c>
      <c r="F62" s="1899" t="s">
        <v>66</v>
      </c>
      <c r="G62" s="296"/>
      <c r="H62" s="996" t="s">
        <v>18</v>
      </c>
      <c r="I62" s="634"/>
      <c r="J62" s="1099"/>
    </row>
    <row s="12705" customFormat="1" customHeight="1" ht="6">
      <c r="A63" s="1008"/>
      <c r="B63" s="455"/>
      <c r="C63" s="456"/>
      <c r="D63" s="462"/>
      <c r="E63" s="460"/>
      <c r="F63" s="463"/>
      <c r="G63" s="300"/>
      <c r="H63" s="632"/>
      <c r="I63" s="634"/>
      <c r="J63" s="1097"/>
    </row>
    <row customHeight="1" ht="19.5">
      <c r="A64" s="1010"/>
      <c r="B64" s="323"/>
      <c r="D64" s="305"/>
      <c r="E64" s="614" t="s">
        <v>69</v>
      </c>
      <c r="F64" s="439" t="s">
        <v>70</v>
      </c>
      <c r="G64" s="300"/>
    </row>
    <row customHeight="1" ht="19.5">
      <c r="A65" s="1010"/>
      <c r="B65" s="323"/>
      <c r="D65" s="305"/>
      <c r="E65" s="614" t="s">
        <v>71</v>
      </c>
      <c r="F65" s="439" t="s">
        <v>72</v>
      </c>
      <c r="G65" s="300"/>
    </row>
    <row customHeight="1" ht="35.25">
      <c r="D66" s="298"/>
      <c r="E66" s="616" t="s">
        <v>73</v>
      </c>
      <c r="F66" s="1278"/>
      <c r="G66" s="296"/>
    </row>
    <row customHeight="1" ht="19.5">
      <c r="A67" s="1010"/>
      <c r="D67" s="633"/>
      <c r="E67" s="614" t="s">
        <v>74</v>
      </c>
      <c r="F67" s="494" t="s">
        <v>75</v>
      </c>
      <c r="G67" s="300"/>
    </row>
    <row customHeight="1" ht="19.5">
      <c r="A68" s="1010"/>
      <c r="B68" s="323"/>
      <c r="D68" s="305"/>
      <c r="E68" s="614" t="s">
        <v>76</v>
      </c>
      <c r="F68" s="494" t="s">
        <v>77</v>
      </c>
      <c r="G68" s="300"/>
    </row>
    <row customHeight="1" ht="19.5">
      <c r="A69" s="1010"/>
      <c r="B69" s="323"/>
      <c r="D69" s="305"/>
      <c r="E69" s="614" t="s">
        <v>78</v>
      </c>
      <c r="F69" s="494" t="s">
        <v>79</v>
      </c>
      <c r="G69" s="300"/>
    </row>
    <row customHeight="1" ht="19.5">
      <c r="D70" s="633"/>
      <c r="E70" s="614" t="s">
        <v>80</v>
      </c>
      <c r="F70" s="494" t="s">
        <v>81</v>
      </c>
      <c r="G70" s="296"/>
    </row>
    <row customHeight="1" ht="20.25">
      <c r="A71" s="1010"/>
      <c r="D71" s="296"/>
      <c r="F71" s="357"/>
      <c r="G71" s="300"/>
    </row>
    <row customHeight="1" ht="19.5">
      <c r="A72" s="1010"/>
      <c r="B72" s="323"/>
      <c r="D72" s="305"/>
      <c r="E72" s="304"/>
      <c r="F72" s="358"/>
      <c r="G72" s="300"/>
    </row>
    <row customHeight="1" ht="19.5">
      <c r="A73" s="1010"/>
      <c r="B73" s="323"/>
      <c r="D73" s="305"/>
      <c r="E73" s="304"/>
      <c r="F73" s="358"/>
      <c r="G73" s="300"/>
    </row>
    <row customHeight="1" ht="19.5">
      <c r="A74" s="1010"/>
      <c r="B74" s="323"/>
      <c r="D74" s="305"/>
      <c r="E74" s="309"/>
      <c r="F74" s="358"/>
      <c r="G74" s="300"/>
    </row>
    <row customHeight="1" ht="19.5">
      <c r="A75" s="1010"/>
      <c r="B75" s="323"/>
      <c r="D75" s="305"/>
      <c r="E75" s="304"/>
      <c r="F75" s="358"/>
      <c r="G75" s="300"/>
    </row>
    <row r="78" customHeight="1" ht="11.25">
      <c r="E78" s="613"/>
      <c r="F78" s="613"/>
      <c r="G78" s="613"/>
      <c r="H78" s="613"/>
      <c r="I78" s="613"/>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CD5EC9D-7B17-534A-0C2C-056A79FB29C9}"/>
    <hyperlink ref="H17" location="Титульный!H9" display="Как заполнить?" tooltip="Помощь по работе с полями отчётной формы" xr:uid="{1CCFAF79-D78A-1BDA-B488-F34FB40A5337}"/>
    <hyperlink ref="H39" location="Титульный!H9" display="Как заполнить?" tooltip="Помощь по работе с полями отчётной формы" xr:uid="{C70AE01F-44D9-EB9B-A175-CF6A48B1086B}"/>
    <hyperlink ref="H62" location="Титульный!H9" display="Как заполнить?" tooltip="Помощь по работе с полями отчётной формы" xr:uid="{50E7A56A-4BD2-0261-FCD4-D20D4D16D23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4AAF2-76D9-9FE2-CE35-53FB1ED2F6E3}"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2890" width="8.00390625" hidden="1" customWidth="1"/>
    <col min="2" max="2" style="12891" width="6.00390625" hidden="1" customWidth="1"/>
    <col min="3" max="3" style="12890" width="3.7109375" customWidth="1"/>
    <col min="4" max="4" style="12892" width="3.7109375" customWidth="1"/>
    <col min="5" max="5" style="12893" width="6.28125" customWidth="1"/>
    <col min="6" max="6" style="12890" width="2.7109375" hidden="1" customWidth="1"/>
    <col min="7" max="7" style="12893" width="46.7109375" customWidth="1"/>
    <col min="8" max="8" style="12893" width="43.140625" customWidth="1"/>
    <col min="9" max="9" style="12893" width="14.8515625" customWidth="1"/>
    <col min="10" max="10" style="12894" width="3.7109375" customWidth="1"/>
    <col min="11" max="13" style="12894" width="9.140625" hidden="1"/>
    <col min="14" max="14" style="12895" width="25.7109375" hidden="1" customWidth="1"/>
    <col min="15" max="15" style="12894" width="14.421875" hidden="1" customWidth="1"/>
    <col min="16" max="19" style="12896" width="9.140625" hidden="1"/>
    <col min="20" max="27" style="12893" width="9.140625" hidden="1"/>
    <col min="28" max="28" style="12893" width="9.140625"/>
  </cols>
  <sheetData>
    <row s="12807" customFormat="1" customHeight="1" ht="5.25" hidden="1">
      <c r="A1" s="719"/>
      <c r="B1" s="734"/>
      <c r="C1" s="734"/>
      <c r="D1" s="444"/>
      <c r="F1" s="734"/>
      <c r="G1" s="470" t="s">
        <v>82</v>
      </c>
      <c r="H1" s="717" t="s">
        <v>83</v>
      </c>
      <c r="I1" s="450" t="s">
        <v>84</v>
      </c>
      <c r="J1" s="470" t="s">
        <v>82</v>
      </c>
      <c r="K1" s="470"/>
      <c r="L1" s="470"/>
      <c r="M1" s="470"/>
      <c r="N1" s="471"/>
      <c r="O1" s="470"/>
      <c r="P1" s="470"/>
      <c r="Q1" s="470"/>
      <c r="R1" s="470"/>
      <c r="S1" s="470"/>
      <c r="T1" s="450"/>
      <c r="U1" s="450"/>
      <c r="V1" s="450"/>
      <c r="W1" s="450"/>
      <c r="X1" s="450"/>
      <c r="Y1" s="450"/>
      <c r="Z1" s="450"/>
      <c r="AA1" s="450"/>
      <c r="AB1" s="450"/>
    </row>
    <row s="12815" customFormat="1" customHeight="1" ht="11.25">
      <c r="A2" s="1054"/>
      <c r="B2" s="451"/>
      <c r="C2" s="451"/>
      <c r="D2" s="452"/>
      <c r="E2" s="451"/>
      <c r="F2" s="451"/>
      <c r="G2" s="451"/>
      <c r="H2" s="451"/>
      <c r="I2" s="451"/>
      <c r="J2" s="470"/>
      <c r="K2" s="470"/>
      <c r="L2" s="470"/>
      <c r="M2" s="470"/>
      <c r="N2" s="471"/>
      <c r="O2" s="470"/>
      <c r="P2" s="453"/>
      <c r="Q2" s="453"/>
      <c r="R2" s="453"/>
      <c r="S2" s="453"/>
      <c r="T2" s="452"/>
      <c r="U2" s="452"/>
      <c r="V2" s="452"/>
      <c r="W2" s="452"/>
      <c r="X2" s="452"/>
      <c r="Y2" s="452"/>
      <c r="Z2" s="452"/>
      <c r="AA2" s="452"/>
      <c r="AB2" s="452"/>
    </row>
    <row s="12820" customFormat="1" customHeight="1" ht="3">
      <c r="A3" s="981"/>
      <c r="B3" s="640"/>
      <c r="C3" s="981"/>
      <c r="D3" s="388"/>
      <c r="E3" s="327"/>
      <c r="F3" s="732"/>
      <c r="G3" s="327"/>
      <c r="H3" s="327"/>
      <c r="I3" s="390"/>
      <c r="J3" s="470"/>
      <c r="K3" s="379"/>
      <c r="L3" s="379"/>
      <c r="M3" s="379"/>
      <c r="N3" s="449"/>
      <c r="O3" s="379"/>
      <c r="P3" s="448"/>
      <c r="Q3" s="448"/>
      <c r="R3" s="448"/>
      <c r="S3" s="448"/>
    </row>
    <row s="12820" customFormat="1" customHeight="1" ht="25.5">
      <c r="A4" s="981"/>
      <c r="B4" s="640"/>
      <c r="C4" s="981"/>
      <c r="D4" s="388"/>
      <c r="E4" s="2237" t="str">
        <f>NameTemplatesInListMO</f>
        <v>Перечень муниципальных районов и муниципальных образований (территорий действия тарифа)</v>
      </c>
      <c r="F4" s="2237"/>
      <c r="G4" s="2237"/>
      <c r="H4" s="2237"/>
      <c r="I4" s="2237"/>
      <c r="J4" s="470"/>
      <c r="K4" s="379"/>
      <c r="L4" s="379"/>
      <c r="M4" s="379"/>
      <c r="N4" s="449"/>
      <c r="O4" s="379"/>
      <c r="P4" s="448"/>
      <c r="Q4" s="448"/>
      <c r="R4" s="448"/>
      <c r="S4" s="448"/>
    </row>
    <row s="12820" customFormat="1" customHeight="1" ht="3">
      <c r="A5" s="981"/>
      <c r="B5" s="640"/>
      <c r="C5" s="981"/>
      <c r="D5" s="388"/>
      <c r="E5" s="327"/>
      <c r="F5" s="732"/>
      <c r="G5" s="391"/>
      <c r="H5" s="391"/>
      <c r="I5" s="392"/>
      <c r="J5" s="379"/>
      <c r="K5" s="379"/>
      <c r="L5" s="379"/>
      <c r="M5" s="379"/>
      <c r="N5" s="449"/>
      <c r="O5" s="379"/>
      <c r="P5" s="448"/>
      <c r="Q5" s="448"/>
      <c r="R5" s="448"/>
      <c r="S5" s="448"/>
    </row>
    <row s="12820" customFormat="1" customHeight="1" ht="20.25" hidden="1">
      <c r="A6" s="1060"/>
      <c r="B6" s="1056"/>
      <c r="C6" s="393"/>
      <c r="D6" s="388"/>
      <c r="E6" s="1002"/>
      <c r="F6" s="1002"/>
      <c r="G6" s="391"/>
      <c r="H6" s="394"/>
      <c r="I6" s="394"/>
      <c r="J6" s="379"/>
      <c r="K6" s="379"/>
      <c r="L6" s="379"/>
      <c r="M6" s="379"/>
      <c r="N6" s="449"/>
      <c r="O6" s="379"/>
      <c r="P6" s="448"/>
      <c r="Q6" s="448"/>
      <c r="R6" s="448"/>
      <c r="S6" s="448"/>
    </row>
    <row customHeight="1" ht="25.5" hidden="1"/>
    <row s="12820" customFormat="1" customHeight="1" ht="14.25">
      <c r="A8" s="981"/>
      <c r="B8" s="640"/>
      <c r="C8" s="981"/>
      <c r="D8" s="388"/>
      <c r="E8" s="2238" t="s">
        <v>85</v>
      </c>
      <c r="F8" s="2239"/>
      <c r="G8" s="2240"/>
      <c r="H8" s="2241" t="s">
        <v>86</v>
      </c>
      <c r="I8" s="2241"/>
      <c r="J8" s="379"/>
      <c r="K8" s="379"/>
      <c r="L8" s="379"/>
      <c r="M8" s="379"/>
      <c r="N8" s="449"/>
      <c r="O8" s="379"/>
      <c r="P8" s="448"/>
      <c r="Q8" s="448"/>
      <c r="R8" s="448"/>
      <c r="S8" s="448"/>
    </row>
    <row s="12820" customFormat="1" customHeight="1" ht="20.25">
      <c r="A9" s="981"/>
      <c r="B9" s="640"/>
      <c r="C9" s="981"/>
      <c r="D9" s="388"/>
      <c r="E9" s="1000" t="s">
        <v>87</v>
      </c>
      <c r="F9" s="1000"/>
      <c r="G9" s="396" t="s">
        <v>88</v>
      </c>
      <c r="H9" s="396" t="s">
        <v>88</v>
      </c>
      <c r="I9" s="396" t="s">
        <v>84</v>
      </c>
      <c r="J9" s="379"/>
      <c r="K9" s="379"/>
      <c r="L9" s="379"/>
      <c r="M9" s="379"/>
      <c r="N9" s="449"/>
      <c r="O9" s="379"/>
      <c r="P9" s="448"/>
      <c r="Q9" s="448"/>
      <c r="R9" s="448"/>
      <c r="S9" s="448"/>
    </row>
    <row customHeight="1" ht="11.25">
      <c r="D10" s="400"/>
      <c r="E10" s="1001" t="s">
        <v>89</v>
      </c>
      <c r="F10" s="1001"/>
      <c r="G10" s="446" t="s">
        <v>90</v>
      </c>
      <c r="H10" s="446" t="s">
        <v>91</v>
      </c>
      <c r="I10" s="446" t="s">
        <v>92</v>
      </c>
      <c r="J10" s="409"/>
      <c r="K10" s="409"/>
      <c r="L10" s="409"/>
      <c r="M10" s="409"/>
      <c r="N10" s="395"/>
      <c r="O10" s="409"/>
      <c r="P10" s="447"/>
      <c r="Q10" s="447"/>
      <c r="R10" s="447"/>
      <c r="S10" s="447"/>
    </row>
    <row s="12820" customFormat="1" customHeight="1" ht="0.75">
      <c r="A11" s="981"/>
      <c r="B11" s="640"/>
      <c r="C11" s="981"/>
      <c r="D11" s="388"/>
      <c r="E11" s="1013"/>
      <c r="F11" s="1013"/>
      <c r="G11" s="397"/>
      <c r="H11" s="397"/>
      <c r="I11" s="399"/>
      <c r="J11" s="472" t="s">
        <v>93</v>
      </c>
      <c r="K11" s="379"/>
      <c r="L11" s="379"/>
      <c r="M11" s="379" t="s">
        <v>94</v>
      </c>
      <c r="N11" s="449" t="s">
        <v>95</v>
      </c>
      <c r="O11" s="379" t="s">
        <v>96</v>
      </c>
      <c r="P11" s="448"/>
      <c r="Q11" s="448"/>
      <c r="R11" s="448"/>
      <c r="S11" s="448"/>
    </row>
    <row s="12854" customFormat="1" customHeight="1" ht="14.25">
      <c r="A12" s="2236">
        <v>1</v>
      </c>
      <c r="B12" s="640"/>
      <c r="C12" s="981"/>
      <c r="D12" s="1005"/>
      <c r="E12" s="442">
        <f>A12</f>
        <v>1</v>
      </c>
      <c r="F12" s="1025" t="s">
        <v>97</v>
      </c>
      <c r="G12" s="763" t="str">
        <f>"Территория "&amp;E12</f>
        <v>Территория 1</v>
      </c>
      <c r="H12" s="1015"/>
      <c r="I12" s="1015"/>
      <c r="J12" s="1012"/>
      <c r="K12" s="723"/>
      <c r="L12" s="723"/>
      <c r="M12" s="723"/>
      <c r="N12" s="449"/>
      <c r="O12" s="723"/>
      <c r="P12" s="448"/>
      <c r="Q12" s="448"/>
      <c r="R12" s="448"/>
      <c r="S12" s="448"/>
    </row>
    <row s="12863" customFormat="1" customHeight="1" ht="15">
      <c r="A13" s="2236"/>
      <c r="B13" s="640">
        <v>1</v>
      </c>
      <c r="C13" s="640"/>
      <c r="D13" s="1023"/>
      <c r="E13" s="1003" t="str">
        <f>A12&amp;"."&amp;B13</f>
        <v>1.1</v>
      </c>
      <c r="F13" s="1018" t="s">
        <v>98</v>
      </c>
      <c r="G13" s="1016" t="s">
        <v>99</v>
      </c>
      <c r="H13" s="1016" t="s">
        <v>99</v>
      </c>
      <c r="I13" s="1014" t="s">
        <v>100</v>
      </c>
      <c r="J13" s="723">
        <f>MERGEVALUE(G13)</f>
      </c>
      <c r="K13" s="734"/>
      <c r="L13" s="734"/>
      <c r="M13" s="723" t="str">
        <f t="array" ref="M13:M13">IF(ISERROR(MATCH(MID(N13,1,250),MID(note_ter,1,250),0)),"n","y")</f>
        <v>n</v>
      </c>
      <c r="N13" s="734"/>
      <c r="O13" s="723" t="str">
        <f>H13&amp;"("&amp;I13&amp;")"</f>
        <v>городской округ Большой Камень(05706000)</v>
      </c>
      <c r="P13" s="640"/>
      <c r="Q13" s="640"/>
      <c r="R13" s="643"/>
      <c r="S13" s="640"/>
      <c r="T13" s="640"/>
      <c r="U13" s="640"/>
      <c r="V13" s="645"/>
      <c r="W13" s="645"/>
      <c r="X13" s="642"/>
      <c r="Y13" s="642"/>
      <c r="Z13" s="642"/>
      <c r="AA13" s="642"/>
      <c r="AB13" s="642"/>
    </row>
    <row s="12863" customFormat="1" customHeight="1" ht="15">
      <c r="A14" s="2236"/>
      <c r="B14" s="640"/>
      <c r="C14" s="635"/>
      <c r="D14" s="1024"/>
      <c r="E14" s="644"/>
      <c r="F14" s="401"/>
      <c r="G14" s="638" t="s">
        <v>101</v>
      </c>
      <c r="H14" s="410"/>
      <c r="I14" s="647"/>
      <c r="J14" s="734"/>
      <c r="K14" s="734"/>
      <c r="L14" s="734"/>
      <c r="M14" s="734"/>
      <c r="N14" s="723"/>
      <c r="O14" s="734"/>
      <c r="P14" s="640"/>
      <c r="Q14" s="640"/>
      <c r="R14" s="643"/>
      <c r="S14" s="640"/>
      <c r="T14" s="640"/>
      <c r="U14" s="640"/>
      <c r="V14" s="645"/>
      <c r="W14" s="645"/>
      <c r="X14" s="642"/>
      <c r="Y14" s="642"/>
      <c r="Z14" s="642"/>
      <c r="AA14" s="642"/>
      <c r="AB14" s="642"/>
    </row>
    <row s="12820" customFormat="1" customHeight="1" ht="14.25">
      <c r="A15" s="981"/>
      <c r="B15" s="640"/>
      <c r="C15" s="981"/>
      <c r="D15" s="1005"/>
      <c r="E15" s="1017"/>
      <c r="F15" s="402"/>
      <c r="G15" s="639" t="s">
        <v>102</v>
      </c>
      <c r="H15" s="402"/>
      <c r="I15" s="403"/>
      <c r="J15" s="472"/>
      <c r="K15" s="379"/>
      <c r="L15" s="379"/>
      <c r="M15" s="379"/>
      <c r="N15" s="449" t="s">
        <v>103</v>
      </c>
      <c r="O15" s="379"/>
      <c r="P15" s="448"/>
      <c r="Q15" s="448"/>
      <c r="R15" s="448"/>
      <c r="S15" s="448"/>
    </row>
    <row s="12820" customFormat="1" customHeight="1" ht="21">
      <c r="A16" s="981"/>
      <c r="B16" s="640"/>
      <c r="C16" s="981"/>
      <c r="D16" s="389"/>
      <c r="E16" s="404"/>
      <c r="F16" s="404"/>
      <c r="G16" s="404"/>
      <c r="H16" s="404"/>
      <c r="I16" s="404"/>
      <c r="J16" s="379"/>
      <c r="K16" s="379"/>
      <c r="L16" s="379"/>
      <c r="M16" s="379"/>
      <c r="N16" s="449"/>
      <c r="O16" s="379"/>
      <c r="P16" s="448"/>
      <c r="Q16" s="448"/>
      <c r="R16" s="448"/>
      <c r="S16" s="448"/>
    </row>
    <row s="12820" customFormat="1" customHeight="1" ht="14.25">
      <c r="A17" s="981"/>
      <c r="B17" s="640"/>
      <c r="C17" s="981"/>
      <c r="D17" s="389"/>
      <c r="E17" s="306"/>
      <c r="F17" s="981"/>
      <c r="G17" s="306"/>
      <c r="H17" s="306"/>
      <c r="I17" s="306"/>
      <c r="J17" s="379"/>
      <c r="K17" s="379"/>
      <c r="L17" s="379"/>
      <c r="M17" s="379"/>
      <c r="N17" s="449"/>
      <c r="O17" s="379"/>
      <c r="P17" s="448"/>
      <c r="Q17" s="448"/>
      <c r="R17" s="448"/>
      <c r="S17" s="448"/>
    </row>
    <row s="12820" customFormat="1" customHeight="1" ht="0.75">
      <c r="A18" s="981"/>
      <c r="B18" s="640"/>
      <c r="C18" s="981"/>
      <c r="D18" s="389"/>
      <c r="E18" s="306"/>
      <c r="F18" s="981"/>
      <c r="G18" s="306"/>
      <c r="H18" s="306"/>
      <c r="I18" s="306"/>
      <c r="J18" s="379"/>
      <c r="K18" s="379"/>
      <c r="L18" s="379"/>
      <c r="M18" s="379"/>
      <c r="N18" s="449"/>
      <c r="O18" s="379"/>
      <c r="P18" s="448"/>
      <c r="Q18" s="448"/>
      <c r="R18" s="448"/>
      <c r="S18" s="448"/>
    </row>
    <row s="12886" customFormat="1" customHeight="1" ht="10.5">
      <c r="B19" s="1057"/>
      <c r="D19" s="406"/>
      <c r="J19" s="379"/>
      <c r="K19" s="379"/>
      <c r="L19" s="379"/>
      <c r="M19" s="379"/>
      <c r="N19" s="449"/>
      <c r="O19" s="379"/>
      <c r="P19" s="448"/>
      <c r="Q19" s="448"/>
      <c r="R19" s="448"/>
      <c r="S19" s="448"/>
    </row>
    <row s="12886" customFormat="1" customHeight="1" ht="10.5">
      <c r="B20" s="1057"/>
      <c r="D20" s="406"/>
      <c r="J20" s="379"/>
      <c r="K20" s="379"/>
      <c r="L20" s="379"/>
      <c r="M20" s="379"/>
      <c r="N20" s="449"/>
      <c r="O20" s="379"/>
      <c r="P20" s="448"/>
      <c r="Q20" s="448"/>
      <c r="R20" s="448"/>
      <c r="S20" s="448"/>
    </row>
    <row r="24" customHeight="1" ht="14.25">
      <c r="H24" s="284"/>
    </row>
    <row r="28" customHeight="1" ht="14.25">
      <c r="J28" s="306"/>
      <c r="K28" s="306"/>
      <c r="L28" s="30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BAF5E-022C-6F2D-7D84-787627AD24F9}"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2980" width="6.421875" hidden="1" customWidth="1"/>
    <col min="2" max="2" style="12980" width="2.00390625" hidden="1" customWidth="1"/>
    <col min="3" max="3" style="12980" width="3.7109375" customWidth="1"/>
    <col min="4" max="4" style="12980" width="4.28125" customWidth="1"/>
    <col min="5" max="5" style="12980" width="45.00390625" customWidth="1"/>
    <col min="6" max="6" style="12980" width="6.421875" customWidth="1"/>
    <col min="7" max="7" style="12980" width="4.421875" customWidth="1"/>
    <col min="8" max="8" style="12980" width="5.57421875" customWidth="1"/>
    <col min="9" max="9" style="12980" width="52.8515625" customWidth="1"/>
    <col min="10" max="10" style="12980" width="7.00390625" customWidth="1"/>
    <col min="11" max="11" style="12980" width="3.7109375" customWidth="1"/>
    <col min="12" max="12" style="12980" width="6.28125" customWidth="1"/>
    <col min="13" max="13" style="12980" width="56.28125" customWidth="1"/>
    <col min="14" max="14" style="12981" width="9.140625"/>
    <col min="15" max="20" style="12982" width="9.140625" hidden="1"/>
    <col min="21" max="24" style="12983" width="9.140625" hidden="1"/>
    <col min="25" max="37" style="12981" width="9.140625" hidden="1"/>
    <col min="38" max="38" style="12981" width="9.140625"/>
  </cols>
  <sheetData>
    <row customHeight="1" ht="11.25" hidden="1"/>
    <row customHeight="1" ht="11.25" hidden="1"/>
    <row r="4" customHeight="1" ht="34.5">
      <c r="A4" s="808"/>
      <c r="B4" s="808"/>
      <c r="D4" s="2246" t="str">
        <f>Титульный!E5</f>
        <v>Показатели, подлежащие раскрытию в сфере горячего водоснабжения (цены и тарифы)</v>
      </c>
      <c r="E4" s="2247"/>
      <c r="F4" s="2247"/>
      <c r="G4" s="2247"/>
      <c r="H4" s="2247"/>
      <c r="I4" s="2248"/>
      <c r="J4" s="807"/>
      <c r="K4" s="807"/>
      <c r="L4" s="807"/>
      <c r="M4" s="807"/>
    </row>
    <row s="12902" customFormat="1" customHeight="1" ht="15">
      <c r="A5" s="808"/>
      <c r="B5" s="808"/>
      <c r="C5" s="808"/>
      <c r="D5" s="2249" t="str">
        <f>IF(org=0,"Не определено",org)</f>
        <v>ООО "Новая Энергетика"</v>
      </c>
      <c r="E5" s="2250"/>
      <c r="F5" s="2250"/>
      <c r="G5" s="2250"/>
      <c r="H5" s="2250"/>
      <c r="I5" s="2251"/>
      <c r="J5" s="809"/>
      <c r="K5" s="809"/>
      <c r="L5" s="809"/>
      <c r="M5" s="809"/>
      <c r="N5" s="809"/>
      <c r="O5" s="1093"/>
      <c r="P5" s="1093"/>
      <c r="Q5" s="1093"/>
      <c r="R5" s="1093"/>
      <c r="S5" s="1093"/>
      <c r="T5" s="1093"/>
      <c r="U5" s="1489"/>
      <c r="V5" s="1489"/>
      <c r="W5" s="1489"/>
      <c r="X5" s="1489"/>
      <c r="Y5" s="809"/>
      <c r="Z5" s="809"/>
      <c r="AA5" s="809"/>
      <c r="AB5" s="809"/>
      <c r="AC5" s="809"/>
      <c r="AD5" s="809"/>
      <c r="AE5" s="809"/>
      <c r="AF5" s="809"/>
      <c r="AG5" s="809"/>
      <c r="AH5" s="809"/>
      <c r="AI5" s="809"/>
      <c r="AJ5" s="809"/>
      <c r="AK5" s="809"/>
      <c r="AL5" s="809"/>
    </row>
    <row s="12909" customFormat="1" customHeight="1" ht="6">
      <c r="A6" s="2252"/>
      <c r="B6" s="2252"/>
      <c r="C6" s="2252"/>
      <c r="D6" s="2252"/>
      <c r="E6" s="2252"/>
      <c r="F6" s="2252"/>
      <c r="G6" s="811"/>
      <c r="H6" s="811"/>
      <c r="I6" s="811"/>
      <c r="J6" s="811"/>
      <c r="K6" s="811"/>
      <c r="N6" s="813"/>
      <c r="O6" s="1642"/>
      <c r="P6" s="1642"/>
      <c r="Q6" s="1642"/>
      <c r="R6" s="1642"/>
      <c r="S6" s="1642"/>
      <c r="T6" s="1642"/>
      <c r="U6" s="1492"/>
      <c r="V6" s="1492"/>
      <c r="W6" s="1492"/>
      <c r="X6" s="1492"/>
      <c r="Y6" s="813"/>
      <c r="Z6" s="813"/>
      <c r="AA6" s="813"/>
      <c r="AB6" s="813"/>
      <c r="AC6" s="813"/>
      <c r="AD6" s="813"/>
      <c r="AE6" s="813"/>
      <c r="AF6" s="813"/>
      <c r="AG6" s="813"/>
      <c r="AH6" s="813"/>
      <c r="AI6" s="813"/>
      <c r="AJ6" s="813"/>
      <c r="AK6" s="813"/>
      <c r="AL6" s="813"/>
    </row>
    <row customHeight="1" ht="45.75" hidden="1">
      <c r="E7" s="22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8"/>
      <c r="G7" s="2258"/>
      <c r="H7" s="2258"/>
      <c r="I7" s="2258"/>
      <c r="J7" s="2258"/>
      <c r="K7" s="2258"/>
      <c r="L7" s="2258"/>
      <c r="M7" s="2258"/>
    </row>
    <row s="12902" customFormat="1" customHeight="1" ht="6">
      <c r="A8" s="814"/>
      <c r="B8" s="814"/>
      <c r="C8" s="814"/>
      <c r="D8" s="814"/>
      <c r="E8" s="814"/>
      <c r="F8" s="814"/>
      <c r="G8" s="814"/>
      <c r="H8" s="814"/>
      <c r="I8" s="814"/>
      <c r="J8" s="814"/>
      <c r="K8" s="814"/>
      <c r="L8" s="814"/>
      <c r="M8" s="812"/>
      <c r="N8" s="809"/>
      <c r="O8" s="1093"/>
      <c r="P8" s="1093"/>
      <c r="Q8" s="1093"/>
      <c r="R8" s="1093"/>
      <c r="S8" s="1093"/>
      <c r="T8" s="1093"/>
      <c r="U8" s="1489"/>
      <c r="V8" s="1489"/>
      <c r="W8" s="1489"/>
      <c r="X8" s="1489"/>
      <c r="Y8" s="809"/>
      <c r="Z8" s="809"/>
      <c r="AA8" s="809"/>
      <c r="AB8" s="809"/>
      <c r="AC8" s="809"/>
      <c r="AD8" s="809"/>
      <c r="AE8" s="809"/>
      <c r="AF8" s="809"/>
      <c r="AG8" s="809"/>
      <c r="AH8" s="809"/>
      <c r="AI8" s="809"/>
      <c r="AJ8" s="809"/>
      <c r="AK8" s="809"/>
      <c r="AL8" s="809"/>
    </row>
    <row customHeight="1" ht="18">
      <c r="A9" s="2253"/>
      <c r="B9" s="546"/>
      <c r="C9" s="546"/>
      <c r="D9" s="2254" t="s">
        <v>104</v>
      </c>
      <c r="E9" s="2254"/>
      <c r="F9" s="2255" t="s">
        <v>105</v>
      </c>
      <c r="G9" s="2256"/>
      <c r="H9" s="2256"/>
      <c r="I9" s="2256"/>
      <c r="J9" s="2259" t="s">
        <v>106</v>
      </c>
      <c r="K9" s="2259"/>
      <c r="L9" s="2259"/>
      <c r="M9" s="2259"/>
    </row>
    <row customHeight="1" ht="22.5">
      <c r="A10" s="2253"/>
      <c r="B10" s="815"/>
      <c r="C10" s="748"/>
      <c r="D10" s="746" t="s">
        <v>87</v>
      </c>
      <c r="E10" s="746" t="s">
        <v>88</v>
      </c>
      <c r="F10" s="746" t="s">
        <v>107</v>
      </c>
      <c r="G10" s="2260" t="s">
        <v>87</v>
      </c>
      <c r="H10" s="2261"/>
      <c r="I10" s="746" t="s">
        <v>88</v>
      </c>
      <c r="J10" s="746" t="s">
        <v>107</v>
      </c>
      <c r="K10" s="2260" t="s">
        <v>87</v>
      </c>
      <c r="L10" s="2261"/>
      <c r="M10" s="746" t="s">
        <v>88</v>
      </c>
      <c r="N10" s="1855"/>
    </row>
    <row s="12931" customFormat="1" customHeight="1" ht="11.25" hidden="1">
      <c r="A11" s="816"/>
      <c r="B11" s="816"/>
      <c r="C11" s="816"/>
      <c r="D11" s="817" t="s">
        <v>108</v>
      </c>
      <c r="E11" s="817" t="s">
        <v>109</v>
      </c>
      <c r="F11" s="817" t="s">
        <v>89</v>
      </c>
      <c r="G11" s="2242" t="s">
        <v>90</v>
      </c>
      <c r="H11" s="2243"/>
      <c r="I11" s="817" t="s">
        <v>110</v>
      </c>
      <c r="J11" s="817" t="s">
        <v>91</v>
      </c>
      <c r="K11" s="2244" t="s">
        <v>92</v>
      </c>
      <c r="L11" s="2245"/>
      <c r="M11" s="817" t="s">
        <v>111</v>
      </c>
      <c r="N11" s="1854"/>
      <c r="O11" s="1641"/>
      <c r="P11" s="1643"/>
      <c r="Q11" s="1643"/>
      <c r="R11" s="1643"/>
      <c r="S11" s="1643"/>
      <c r="T11" s="1643"/>
      <c r="U11" s="1493"/>
      <c r="V11" s="1493"/>
      <c r="W11" s="1493"/>
      <c r="X11" s="1493"/>
      <c r="Y11" s="818"/>
      <c r="Z11" s="818"/>
      <c r="AA11" s="818"/>
      <c r="AB11" s="818"/>
      <c r="AC11" s="818"/>
      <c r="AD11" s="818"/>
      <c r="AE11" s="818"/>
      <c r="AF11" s="818"/>
      <c r="AG11" s="818"/>
      <c r="AH11" s="818"/>
      <c r="AI11" s="818"/>
      <c r="AJ11" s="818"/>
      <c r="AK11" s="818"/>
      <c r="AL11" s="818"/>
    </row>
    <row customHeight="1" ht="0.75">
      <c r="A12" s="820"/>
      <c r="B12" s="821"/>
      <c r="C12" s="821"/>
      <c r="D12" s="822"/>
      <c r="E12" s="590"/>
      <c r="F12" s="823"/>
      <c r="G12" s="1283"/>
      <c r="H12" s="1283"/>
      <c r="I12" s="823"/>
      <c r="J12" s="823"/>
      <c r="K12" s="398"/>
      <c r="L12" s="590"/>
      <c r="M12" s="824"/>
      <c r="N12" s="1855"/>
      <c r="O12" s="1641" t="s">
        <v>112</v>
      </c>
      <c r="P12" s="1641" t="s">
        <v>113</v>
      </c>
      <c r="Q12" s="1641" t="s">
        <v>114</v>
      </c>
      <c r="R12" s="1641" t="s">
        <v>115</v>
      </c>
    </row>
    <row s="12951" customFormat="1" customHeight="1" ht="15">
      <c r="A13" s="516"/>
      <c r="B13" s="516"/>
      <c r="C13" s="749"/>
      <c r="D13" s="2265" t="s">
        <v>108</v>
      </c>
      <c r="E13" s="2266"/>
      <c r="F13" s="2269" t="s">
        <v>66</v>
      </c>
      <c r="G13" s="2270"/>
      <c r="H13" s="2271">
        <v>1</v>
      </c>
      <c r="I13" s="2262" t="str">
        <f>IF(U13="","",INDEX(TERRITORY_MR_LIST,MATCH(U13,TERRITORY_LIST_ID,0)))</f>
        <v/>
      </c>
      <c r="J13" s="2264" t="s">
        <v>56</v>
      </c>
      <c r="K13" s="825"/>
      <c r="L13" s="750" t="s">
        <v>108</v>
      </c>
      <c r="M13" s="826" t="s">
        <v>24</v>
      </c>
      <c r="N13" s="1035"/>
      <c r="O13" s="1644" t="s">
        <v>116</v>
      </c>
      <c r="P13" s="1641">
        <f>$E$13</f>
        <v>0</v>
      </c>
      <c r="Q13" s="1641" t="str">
        <f>IF($F$13="нет","без дифференциации",$I$13)</f>
        <v/>
      </c>
      <c r="R13" s="1641" t="str">
        <f>IF($J$13="нет","без дифференциации",M13)</f>
        <v>без дифференциации</v>
      </c>
      <c r="S13" s="1644"/>
      <c r="T13" s="1644"/>
      <c r="U13" s="1494"/>
      <c r="V13" s="1494"/>
      <c r="W13" s="1494"/>
      <c r="X13" s="1494"/>
      <c r="Y13" s="827" t="s">
        <v>117</v>
      </c>
      <c r="Z13" s="827">
        <v>1705000</v>
      </c>
      <c r="AA13" s="827"/>
      <c r="AB13" s="827"/>
      <c r="AC13" s="827"/>
      <c r="AD13" s="827"/>
      <c r="AE13" s="827"/>
      <c r="AF13" s="827"/>
      <c r="AG13" s="827"/>
      <c r="AH13" s="827"/>
      <c r="AI13" s="827"/>
      <c r="AJ13" s="827"/>
      <c r="AK13" s="827"/>
      <c r="AL13" s="827"/>
    </row>
    <row s="12951" customFormat="1" customHeight="1" ht="15">
      <c r="A14" s="516"/>
      <c r="B14" s="516"/>
      <c r="C14" s="400"/>
      <c r="D14" s="2265"/>
      <c r="E14" s="2267"/>
      <c r="F14" s="2264"/>
      <c r="G14" s="2270"/>
      <c r="H14" s="2271"/>
      <c r="I14" s="2263"/>
      <c r="J14" s="2264"/>
      <c r="K14" s="644"/>
      <c r="L14" s="401"/>
      <c r="M14" s="830" t="s">
        <v>118</v>
      </c>
      <c r="N14" s="1035"/>
      <c r="O14" s="1644"/>
      <c r="P14" s="1641"/>
      <c r="Q14" s="1641"/>
      <c r="R14" s="1641"/>
      <c r="S14" s="1644"/>
      <c r="T14" s="1644"/>
      <c r="U14" s="1494"/>
      <c r="V14" s="1494"/>
      <c r="W14" s="1494"/>
      <c r="X14" s="1494"/>
      <c r="Y14" s="827"/>
      <c r="Z14" s="827"/>
      <c r="AA14" s="827"/>
      <c r="AB14" s="827"/>
      <c r="AC14" s="827"/>
      <c r="AD14" s="827"/>
      <c r="AE14" s="827"/>
      <c r="AF14" s="827"/>
      <c r="AG14" s="827"/>
      <c r="AH14" s="827"/>
      <c r="AI14" s="827"/>
      <c r="AJ14" s="827"/>
      <c r="AK14" s="827"/>
      <c r="AL14" s="827"/>
    </row>
    <row s="12951" customFormat="1" customHeight="1" ht="15">
      <c r="A15" s="516"/>
      <c r="B15" s="516"/>
      <c r="C15" s="400"/>
      <c r="D15" s="2265"/>
      <c r="E15" s="2268"/>
      <c r="F15" s="2264"/>
      <c r="G15" s="1284"/>
      <c r="H15" s="1285"/>
      <c r="I15" s="803" t="s">
        <v>119</v>
      </c>
      <c r="J15" s="401"/>
      <c r="K15" s="401"/>
      <c r="L15" s="401"/>
      <c r="M15" s="831"/>
      <c r="N15" s="1035"/>
      <c r="O15" s="1644"/>
      <c r="P15" s="1641"/>
      <c r="Q15" s="1641"/>
      <c r="R15" s="1641"/>
      <c r="S15" s="1644"/>
      <c r="T15" s="1644"/>
      <c r="U15" s="1494"/>
      <c r="V15" s="1494"/>
      <c r="W15" s="1494"/>
      <c r="X15" s="1494"/>
      <c r="Y15" s="827"/>
      <c r="Z15" s="827"/>
      <c r="AA15" s="827"/>
      <c r="AB15" s="827"/>
      <c r="AC15" s="827"/>
      <c r="AD15" s="827"/>
      <c r="AE15" s="827"/>
      <c r="AF15" s="827"/>
      <c r="AG15" s="827"/>
      <c r="AH15" s="827"/>
      <c r="AI15" s="827"/>
      <c r="AJ15" s="827"/>
      <c r="AK15" s="827"/>
      <c r="AL15" s="827"/>
    </row>
    <row customHeight="1" ht="15">
      <c r="A16" s="832"/>
      <c r="B16" s="359"/>
      <c r="C16" s="1029"/>
      <c r="D16" s="644"/>
      <c r="E16" s="794" t="s">
        <v>120</v>
      </c>
      <c r="F16" s="401"/>
      <c r="G16" s="401"/>
      <c r="H16" s="401"/>
      <c r="I16" s="401"/>
      <c r="J16" s="401"/>
      <c r="K16" s="401" t="s">
        <v>24</v>
      </c>
      <c r="L16" s="401"/>
      <c r="M16" s="831"/>
      <c r="N16" s="1855"/>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F1BED-8806-1684-6F43-3E51585F0DCA}" mc:Ignorable="x14ac xr xr2 xr3">
  <sheetPr>
    <tabColor rgb="FFCCCCFF"/>
  </sheetPr>
  <dimension ref="A1:AQ140"/>
  <sheetViews>
    <sheetView topLeftCell="A1" showGridLines="0" zoomScale="90" workbookViewId="0">
      <selection activeCell="P110" sqref="P110:P111"/>
    </sheetView>
  </sheetViews>
  <sheetFormatPr defaultColWidth="9.140625" customHeight="1" defaultRowHeight="11.25"/>
  <cols>
    <col min="1" max="2" style="13154" width="3.7109375" hidden="1" customWidth="1"/>
    <col min="3" max="3" style="13155" width="3.7109375" customWidth="1"/>
    <col min="4" max="4" style="13155" width="6.140625" customWidth="1"/>
    <col min="5" max="5" style="13155" width="43.140625" customWidth="1"/>
    <col min="6" max="6" style="13060" width="15.00390625" customWidth="1"/>
    <col min="7" max="7" style="13155" width="43.140625" customWidth="1"/>
    <col min="8" max="8" style="13155" width="3.7109375" customWidth="1"/>
    <col min="9" max="9" style="13155" width="5.421875" customWidth="1"/>
    <col min="10" max="10" style="13155" width="47.8515625" customWidth="1"/>
    <col min="11" max="12" style="13155" width="3.7109375" customWidth="1"/>
    <col min="13" max="13" style="13155" width="5.7109375" customWidth="1"/>
    <col min="14" max="14" style="13155" width="28.140625" customWidth="1"/>
    <col min="15" max="16" style="13155" width="3.7109375" customWidth="1"/>
    <col min="17" max="17" style="13155" width="5.7109375" customWidth="1"/>
    <col min="18" max="18" style="13155" width="34.421875" customWidth="1"/>
    <col min="19" max="20" style="13156" width="3.7109375" hidden="1" customWidth="1"/>
    <col min="21" max="21" style="13156" width="5.7109375" hidden="1" customWidth="1"/>
    <col min="22" max="22" style="13156" width="34.421875" hidden="1" customWidth="1"/>
    <col min="23" max="23" style="13155" width="30.7109375" customWidth="1"/>
    <col min="24" max="24" style="13155" width="3.7109375" customWidth="1"/>
    <col min="25" max="25" style="13157" width="9.8515625" customWidth="1"/>
    <col min="26" max="28" style="13157" width="9.8515625" hidden="1" customWidth="1"/>
    <col min="29" max="29" style="13157" width="27.00390625" hidden="1" customWidth="1"/>
    <col min="30" max="30" style="13157" width="10.57421875" hidden="1" customWidth="1"/>
    <col min="31" max="31" style="13157" width="10.7109375" hidden="1" customWidth="1"/>
    <col min="32" max="32" style="13157" width="10.00390625" hidden="1" customWidth="1"/>
    <col min="33" max="33" style="13157" width="12.8515625" hidden="1" customWidth="1"/>
    <col min="34" max="34" style="13157" width="24.421875" hidden="1" customWidth="1"/>
    <col min="35" max="35" style="13157" width="15.8515625" hidden="1" customWidth="1"/>
    <col min="36" max="36" style="13157" width="19.421875" hidden="1" customWidth="1"/>
    <col min="37" max="37" style="13157" width="11.00390625" hidden="1" customWidth="1"/>
    <col min="38" max="38" style="13157" width="23.57421875" hidden="1" customWidth="1"/>
    <col min="39" max="39" style="13157" width="23.8515625" hidden="1" customWidth="1"/>
    <col min="40" max="40" style="13157" width="25.28125" hidden="1" customWidth="1"/>
    <col min="41" max="41" style="13157" width="16.8515625" hidden="1" customWidth="1"/>
    <col min="42" max="42" style="13157" width="29.57421875" hidden="1" customWidth="1"/>
    <col min="43" max="43" style="13157" width="29.8515625" hidden="1" customWidth="1"/>
  </cols>
  <sheetData>
    <row customHeight="1" ht="11.25" hidden="1">
      <c r="A1" s="380"/>
    </row>
    <row customHeight="1" ht="11.25" hidden="1"/>
    <row customHeight="1" ht="11.25" hidden="1"/>
    <row customHeight="1" ht="3"/>
    <row s="12985" customFormat="1" customHeight="1" ht="29.25">
      <c r="A5" s="378"/>
      <c r="B5" s="378"/>
      <c r="D5" s="230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03"/>
      <c r="F5" s="2303"/>
      <c r="G5" s="2303"/>
      <c r="H5" s="2303"/>
      <c r="I5" s="2303"/>
      <c r="J5" s="2304"/>
      <c r="K5" s="488"/>
      <c r="L5" s="366"/>
      <c r="M5" s="366"/>
      <c r="N5" s="366"/>
      <c r="O5" s="366"/>
      <c r="P5" s="366"/>
      <c r="Q5" s="366"/>
      <c r="R5" s="366"/>
      <c r="S5" s="513"/>
      <c r="T5" s="513"/>
      <c r="U5" s="513"/>
      <c r="V5" s="513"/>
      <c r="W5" s="366"/>
      <c r="Y5" s="1488"/>
      <c r="Z5" s="1488"/>
      <c r="AA5" s="1488"/>
      <c r="AB5" s="1488"/>
      <c r="AC5" s="1488"/>
      <c r="AD5" s="1488"/>
      <c r="AE5" s="1488"/>
      <c r="AF5" s="1488"/>
      <c r="AG5" s="1488"/>
      <c r="AH5" s="1488"/>
      <c r="AI5" s="1488"/>
      <c r="AJ5" s="1488"/>
      <c r="AK5" s="1488"/>
      <c r="AL5" s="1488"/>
      <c r="AM5" s="1488"/>
      <c r="AN5" s="1488"/>
      <c r="AO5" s="1488"/>
      <c r="AP5" s="1488"/>
      <c r="AQ5" s="1488"/>
    </row>
    <row s="12902" customFormat="1" customHeight="1" ht="15">
      <c r="A6" s="808"/>
      <c r="B6" s="808"/>
      <c r="C6" s="808"/>
      <c r="D6" s="2308" t="str">
        <f>IF(org=0,"Не определено",org)</f>
        <v>ООО "Новая Энергетика"</v>
      </c>
      <c r="E6" s="2308"/>
      <c r="F6" s="2308"/>
      <c r="G6" s="2308"/>
      <c r="H6" s="2308"/>
      <c r="I6" s="2308"/>
      <c r="J6" s="2308"/>
      <c r="K6" s="809"/>
      <c r="L6" s="809"/>
      <c r="M6" s="809"/>
      <c r="N6" s="809"/>
      <c r="O6" s="1093"/>
      <c r="P6" s="1093"/>
      <c r="Q6" s="1093"/>
      <c r="R6" s="1093"/>
      <c r="S6" s="1093"/>
      <c r="T6" s="1093"/>
      <c r="U6" s="1093"/>
      <c r="V6" s="1093"/>
      <c r="W6" s="1093"/>
      <c r="X6" s="809"/>
      <c r="Y6" s="1489"/>
      <c r="Z6" s="1489"/>
      <c r="AA6" s="1489"/>
      <c r="AB6" s="1489"/>
      <c r="AC6" s="1489"/>
      <c r="AD6" s="1489"/>
      <c r="AE6" s="1489"/>
      <c r="AF6" s="1489"/>
      <c r="AG6" s="1489"/>
      <c r="AH6" s="1489"/>
      <c r="AI6" s="1489"/>
      <c r="AJ6" s="1489"/>
      <c r="AK6" s="1489"/>
      <c r="AL6" s="1489"/>
      <c r="AM6" s="1489"/>
      <c r="AN6" s="1489"/>
      <c r="AO6" s="1489"/>
      <c r="AP6" s="1489"/>
      <c r="AQ6" s="1489"/>
    </row>
    <row s="12995" customFormat="1" customHeight="1" ht="11.25">
      <c r="A7" s="434"/>
      <c r="B7" s="434"/>
      <c r="D7" s="2305"/>
      <c r="E7" s="2306"/>
      <c r="F7" s="2306"/>
      <c r="G7" s="2306"/>
      <c r="H7" s="2306"/>
      <c r="I7" s="2306"/>
      <c r="J7" s="2307"/>
      <c r="S7" s="522"/>
      <c r="T7" s="522"/>
      <c r="U7" s="522"/>
      <c r="V7" s="522"/>
      <c r="Y7" s="1490"/>
      <c r="Z7" s="1490"/>
      <c r="AA7" s="1490"/>
      <c r="AB7" s="1490"/>
      <c r="AC7" s="1490"/>
      <c r="AD7" s="1490"/>
      <c r="AE7" s="1490"/>
      <c r="AF7" s="1490"/>
      <c r="AG7" s="1490"/>
      <c r="AH7" s="1490"/>
      <c r="AI7" s="1490"/>
      <c r="AJ7" s="1490"/>
      <c r="AK7" s="1490"/>
      <c r="AL7" s="1490"/>
      <c r="AM7" s="1490"/>
      <c r="AN7" s="1490"/>
      <c r="AO7" s="1490"/>
      <c r="AP7" s="1490"/>
      <c r="AQ7" s="1490"/>
    </row>
    <row s="12985" customFormat="1" customHeight="1" ht="0.75">
      <c r="A8" s="378"/>
      <c r="B8" s="378"/>
      <c r="D8" s="435"/>
      <c r="E8" s="435"/>
      <c r="F8" s="435"/>
      <c r="G8" s="435"/>
      <c r="H8" s="435"/>
      <c r="I8" s="435"/>
      <c r="J8" s="435"/>
      <c r="K8" s="435"/>
      <c r="L8" s="435"/>
      <c r="M8" s="435"/>
      <c r="N8" s="435"/>
      <c r="O8" s="435"/>
      <c r="P8" s="435"/>
      <c r="Q8" s="435"/>
      <c r="R8" s="435"/>
      <c r="S8" s="435"/>
      <c r="T8" s="435"/>
      <c r="U8" s="435"/>
      <c r="V8" s="435"/>
      <c r="W8" s="435"/>
      <c r="X8" s="356"/>
      <c r="Y8" s="1488"/>
      <c r="Z8" s="1488"/>
      <c r="AA8" s="1488"/>
      <c r="AB8" s="1488"/>
      <c r="AC8" s="1488"/>
      <c r="AD8" s="1488"/>
      <c r="AE8" s="1488"/>
      <c r="AF8" s="1488"/>
      <c r="AG8" s="1488"/>
      <c r="AH8" s="1488"/>
      <c r="AI8" s="1488"/>
      <c r="AJ8" s="1488"/>
      <c r="AK8" s="1488"/>
      <c r="AL8" s="1488"/>
      <c r="AM8" s="1488"/>
      <c r="AN8" s="1488"/>
      <c r="AO8" s="1488"/>
      <c r="AP8" s="1488"/>
      <c r="AQ8" s="1488"/>
    </row>
    <row customHeight="1" ht="27">
      <c r="D9" s="2254" t="s">
        <v>87</v>
      </c>
      <c r="E9" s="2238" t="s">
        <v>121</v>
      </c>
      <c r="F9" s="2240"/>
      <c r="G9" s="2254" t="s">
        <v>104</v>
      </c>
      <c r="H9" s="2254" t="s">
        <v>87</v>
      </c>
      <c r="I9" s="2254"/>
      <c r="J9" s="2254" t="s">
        <v>122</v>
      </c>
      <c r="K9" s="2309" t="s">
        <v>123</v>
      </c>
      <c r="L9" s="2309"/>
      <c r="M9" s="2309"/>
      <c r="N9" s="2309"/>
      <c r="O9" s="2309" t="s">
        <v>124</v>
      </c>
      <c r="P9" s="2309"/>
      <c r="Q9" s="2309"/>
      <c r="R9" s="2309"/>
      <c r="S9" s="2309" t="s">
        <v>125</v>
      </c>
      <c r="T9" s="2309"/>
      <c r="U9" s="2309"/>
      <c r="V9" s="2309"/>
      <c r="W9" s="2254" t="s">
        <v>126</v>
      </c>
    </row>
    <row customHeight="1" ht="30">
      <c r="D10" s="2254"/>
      <c r="E10" s="1512" t="s">
        <v>88</v>
      </c>
      <c r="F10" s="1512" t="s">
        <v>127</v>
      </c>
      <c r="G10" s="2254"/>
      <c r="H10" s="2254"/>
      <c r="I10" s="2254"/>
      <c r="J10" s="2254"/>
      <c r="K10" s="334" t="s">
        <v>107</v>
      </c>
      <c r="L10" s="2254" t="s">
        <v>87</v>
      </c>
      <c r="M10" s="2254"/>
      <c r="N10" s="334" t="s">
        <v>128</v>
      </c>
      <c r="O10" s="334" t="s">
        <v>107</v>
      </c>
      <c r="P10" s="2254" t="s">
        <v>87</v>
      </c>
      <c r="Q10" s="2254"/>
      <c r="R10" s="334" t="s">
        <v>128</v>
      </c>
      <c r="S10" s="506" t="s">
        <v>107</v>
      </c>
      <c r="T10" s="2254" t="s">
        <v>87</v>
      </c>
      <c r="U10" s="2254"/>
      <c r="V10" s="506" t="s">
        <v>88</v>
      </c>
      <c r="W10" s="2254"/>
      <c r="Z10" s="1487" t="s">
        <v>129</v>
      </c>
      <c r="AA10" s="1487" t="s">
        <v>130</v>
      </c>
      <c r="AB10" s="1487" t="s">
        <v>131</v>
      </c>
      <c r="AC10" s="1487" t="s">
        <v>132</v>
      </c>
      <c r="AD10" s="1487" t="s">
        <v>133</v>
      </c>
      <c r="AE10" s="1487" t="s">
        <v>134</v>
      </c>
      <c r="AF10" s="1487" t="s">
        <v>135</v>
      </c>
      <c r="AG10" s="1487" t="s">
        <v>136</v>
      </c>
      <c r="AH10" s="1487" t="s">
        <v>137</v>
      </c>
      <c r="AI10" s="1487" t="s">
        <v>138</v>
      </c>
      <c r="AJ10" s="1487" t="s">
        <v>139</v>
      </c>
      <c r="AK10" s="1487" t="s">
        <v>140</v>
      </c>
      <c r="AL10" s="1487" t="s">
        <v>141</v>
      </c>
      <c r="AM10" s="1487" t="s">
        <v>142</v>
      </c>
      <c r="AN10" s="1487" t="s">
        <v>143</v>
      </c>
      <c r="AO10" s="1487" t="s">
        <v>144</v>
      </c>
      <c r="AP10" s="1487" t="s">
        <v>145</v>
      </c>
      <c r="AQ10" s="1487" t="s">
        <v>146</v>
      </c>
    </row>
    <row s="13009" customFormat="1" customHeight="1" ht="12" hidden="1">
      <c r="D11" s="1476" t="s">
        <v>108</v>
      </c>
      <c r="E11" s="1476" t="s">
        <v>109</v>
      </c>
      <c r="F11" s="1476"/>
      <c r="G11" s="1476" t="s">
        <v>89</v>
      </c>
      <c r="H11" s="2301" t="s">
        <v>110</v>
      </c>
      <c r="I11" s="2301"/>
      <c r="J11" s="1476" t="s">
        <v>91</v>
      </c>
      <c r="K11" s="1476" t="s">
        <v>92</v>
      </c>
      <c r="L11" s="2301" t="s">
        <v>111</v>
      </c>
      <c r="M11" s="2301"/>
      <c r="N11" s="1476" t="s">
        <v>147</v>
      </c>
      <c r="O11" s="1476" t="s">
        <v>148</v>
      </c>
      <c r="P11" s="2301" t="s">
        <v>149</v>
      </c>
      <c r="Q11" s="2301"/>
      <c r="R11" s="1476" t="s">
        <v>150</v>
      </c>
      <c r="S11" s="1476" t="s">
        <v>149</v>
      </c>
      <c r="T11" s="2301" t="s">
        <v>150</v>
      </c>
      <c r="U11" s="2301"/>
      <c r="V11" s="1476" t="s">
        <v>151</v>
      </c>
      <c r="W11" s="1476" t="s">
        <v>152</v>
      </c>
      <c r="Y11" s="1487"/>
      <c r="Z11" s="1487"/>
      <c r="AA11" s="1487"/>
      <c r="AB11" s="1487"/>
      <c r="AC11" s="1487"/>
      <c r="AD11" s="1487"/>
      <c r="AE11" s="1487"/>
      <c r="AF11" s="1487"/>
      <c r="AG11" s="1487"/>
      <c r="AH11" s="1487"/>
      <c r="AI11" s="1487"/>
      <c r="AJ11" s="1487"/>
      <c r="AK11" s="1487"/>
      <c r="AL11" s="1487"/>
      <c r="AM11" s="1487"/>
      <c r="AN11" s="1487"/>
      <c r="AO11" s="1487"/>
      <c r="AP11" s="1487"/>
      <c r="AQ11" s="1487"/>
    </row>
    <row customHeight="1" ht="14.25" hidden="1">
      <c r="C12" s="432"/>
      <c r="D12" s="1510">
        <v>0</v>
      </c>
      <c r="E12" s="473"/>
      <c r="F12" s="473"/>
      <c r="G12" s="473"/>
      <c r="H12" s="474"/>
      <c r="I12" s="474"/>
      <c r="J12" s="382"/>
      <c r="K12" s="336"/>
      <c r="L12" s="382"/>
      <c r="M12" s="382"/>
      <c r="N12" s="475"/>
      <c r="O12" s="336"/>
      <c r="P12" s="382"/>
      <c r="Q12" s="382"/>
      <c r="R12" s="476"/>
      <c r="S12" s="507"/>
      <c r="T12" s="515"/>
      <c r="U12" s="515"/>
      <c r="V12" s="519"/>
      <c r="W12" s="336"/>
      <c r="X12" s="365"/>
    </row>
    <row s="13024" customFormat="1" customHeight="1" ht="17.25" hidden="1">
      <c r="A13" s="544"/>
      <c r="C13" s="432"/>
      <c r="D13" s="2278">
        <v>1</v>
      </c>
      <c r="E13" s="2280" t="s">
        <v>153</v>
      </c>
      <c r="F13" s="2282" t="s">
        <v>56</v>
      </c>
      <c r="G13" s="2280"/>
      <c r="H13" s="2285"/>
      <c r="I13" s="2287"/>
      <c r="J13" s="2289"/>
      <c r="K13" s="2272"/>
      <c r="L13" s="2272"/>
      <c r="M13" s="2272"/>
      <c r="N13" s="2274"/>
      <c r="O13" s="2272"/>
      <c r="P13" s="2272"/>
      <c r="Q13" s="2272"/>
      <c r="R13" s="2277"/>
      <c r="S13" s="2272"/>
      <c r="T13" s="1648"/>
      <c r="U13" s="1648"/>
      <c r="V13" s="1647"/>
      <c r="W13" s="1524"/>
      <c r="Y13" s="1495"/>
      <c r="Z13" s="1495"/>
      <c r="AA13" s="1495"/>
      <c r="AB13" s="1495"/>
      <c r="AC13" s="1495" t="s">
        <v>154</v>
      </c>
      <c r="AD13" s="1495" t="s">
        <v>155</v>
      </c>
      <c r="AE13" s="1495" t="s">
        <v>156</v>
      </c>
      <c r="AF13" s="1495" t="s">
        <v>157</v>
      </c>
      <c r="AG13" s="1495" t="s">
        <v>158</v>
      </c>
      <c r="AH13" s="14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5" t="str">
        <f>IF($G$13=0,"",$G$13)</f>
        <v/>
      </c>
      <c r="AJ13" s="1495" t="str">
        <f>IF($J$13=0,"",$J$13)</f>
        <v/>
      </c>
      <c r="AK13" s="1495" t="str">
        <f>IF($K$13="нет","без дифференциации",IF($N$13=0,"",$N$13))</f>
        <v/>
      </c>
      <c r="AL13" s="1495" t="str">
        <f>IF($O$13="нет","без дифференциации",IF($R$13=0,"",$R$13))</f>
        <v/>
      </c>
      <c r="AM13" s="1495" t="str">
        <f>IF($S$13="нет","без дифференциации",IF($V$13=0,"",$V$13))</f>
        <v/>
      </c>
      <c r="AN13" s="1495">
        <f>$I$13</f>
        <v>0</v>
      </c>
      <c r="AO13" s="1495" t="str">
        <f>$I$13&amp;"."&amp;$M$13</f>
        <v>.</v>
      </c>
      <c r="AP13" s="1495" t="str">
        <f>$I$13&amp;"."&amp;$M$13&amp;"."&amp;$Q$13</f>
        <v>..</v>
      </c>
      <c r="AQ13" s="1495" t="str">
        <f>$I$13&amp;"."&amp;$M$13&amp;"."&amp;$Q$13&amp;"."&amp;$U$13</f>
        <v>...</v>
      </c>
    </row>
    <row s="13024" customFormat="1" customHeight="1" ht="17.25" hidden="1">
      <c r="A14" s="544"/>
      <c r="C14" s="543"/>
      <c r="D14" s="2278"/>
      <c r="E14" s="2280"/>
      <c r="F14" s="2283"/>
      <c r="G14" s="2280"/>
      <c r="H14" s="2286"/>
      <c r="I14" s="2288"/>
      <c r="J14" s="2290"/>
      <c r="K14" s="2273"/>
      <c r="L14" s="2273"/>
      <c r="M14" s="2273"/>
      <c r="N14" s="2275"/>
      <c r="O14" s="2273"/>
      <c r="P14" s="2273"/>
      <c r="Q14" s="2273"/>
      <c r="R14" s="2276"/>
      <c r="S14" s="2273"/>
      <c r="T14" s="1525"/>
      <c r="U14" s="1525"/>
      <c r="V14" s="1525"/>
      <c r="W14" s="1526"/>
      <c r="Y14" s="1487"/>
      <c r="Z14" s="1487"/>
      <c r="AA14" s="1487"/>
      <c r="AB14" s="1487"/>
      <c r="AC14" s="1487"/>
      <c r="AD14" s="1487"/>
      <c r="AE14" s="1487"/>
      <c r="AF14" s="1487"/>
      <c r="AG14" s="1487"/>
      <c r="AH14" s="1487"/>
      <c r="AI14" s="1487"/>
      <c r="AJ14" s="1487"/>
      <c r="AK14" s="1487"/>
      <c r="AL14" s="1487"/>
      <c r="AM14" s="1487"/>
      <c r="AN14" s="1487"/>
      <c r="AO14" s="1487"/>
      <c r="AP14" s="1487"/>
      <c r="AQ14" s="1487"/>
    </row>
    <row s="13049" customFormat="1" customHeight="1" ht="17.25" hidden="1">
      <c r="A15" s="544"/>
      <c r="C15" s="432"/>
      <c r="D15" s="2278"/>
      <c r="E15" s="2280"/>
      <c r="F15" s="2283"/>
      <c r="G15" s="2280"/>
      <c r="H15" s="2286"/>
      <c r="I15" s="2288"/>
      <c r="J15" s="2291"/>
      <c r="K15" s="2273"/>
      <c r="L15" s="2273"/>
      <c r="M15" s="2273"/>
      <c r="N15" s="2276"/>
      <c r="O15" s="2273"/>
      <c r="P15" s="1646"/>
      <c r="Q15" s="1525"/>
      <c r="R15" s="1525"/>
      <c r="S15" s="552"/>
      <c r="T15" s="552"/>
      <c r="U15" s="552"/>
      <c r="V15" s="552"/>
      <c r="W15" s="1526"/>
      <c r="Y15" s="1495"/>
      <c r="Z15" s="1495"/>
      <c r="AA15" s="1495"/>
      <c r="AB15" s="1495"/>
      <c r="AC15" s="1495"/>
      <c r="AD15" s="1495"/>
      <c r="AE15" s="1495"/>
      <c r="AF15" s="1495"/>
      <c r="AG15" s="1495"/>
      <c r="AH15" s="1495"/>
      <c r="AI15" s="1495"/>
      <c r="AJ15" s="1495"/>
      <c r="AK15" s="1495"/>
      <c r="AL15" s="1495"/>
      <c r="AM15" s="1495"/>
      <c r="AN15" s="1495"/>
      <c r="AO15" s="1495"/>
      <c r="AP15" s="1495"/>
      <c r="AQ15" s="1495"/>
    </row>
    <row s="13049" customFormat="1" customHeight="1" ht="17.25" hidden="1">
      <c r="A16" s="544"/>
      <c r="C16" s="543"/>
      <c r="D16" s="2278"/>
      <c r="E16" s="2280"/>
      <c r="F16" s="2283"/>
      <c r="G16" s="2280"/>
      <c r="H16" s="2286"/>
      <c r="I16" s="2288"/>
      <c r="J16" s="2291"/>
      <c r="K16" s="2273"/>
      <c r="L16" s="1525"/>
      <c r="M16" s="1525"/>
      <c r="N16" s="1525"/>
      <c r="O16" s="1525"/>
      <c r="P16" s="1525"/>
      <c r="Q16" s="1525"/>
      <c r="R16" s="1525"/>
      <c r="S16" s="552"/>
      <c r="T16" s="552"/>
      <c r="U16" s="552"/>
      <c r="V16" s="552"/>
      <c r="W16" s="1526"/>
      <c r="Y16" s="1487"/>
      <c r="Z16" s="1487"/>
      <c r="AA16" s="1487"/>
      <c r="AB16" s="1487"/>
      <c r="AC16" s="1487"/>
      <c r="AD16" s="1487"/>
      <c r="AE16" s="1487"/>
      <c r="AF16" s="1487"/>
      <c r="AG16" s="1487"/>
      <c r="AH16" s="1487"/>
      <c r="AI16" s="1487"/>
      <c r="AJ16" s="1487"/>
      <c r="AK16" s="1487"/>
      <c r="AL16" s="1487"/>
      <c r="AM16" s="1487"/>
      <c r="AN16" s="1487"/>
      <c r="AO16" s="1487"/>
      <c r="AP16" s="1487"/>
      <c r="AQ16" s="1487"/>
    </row>
    <row s="13024" customFormat="1" customHeight="1" ht="17.25" hidden="1">
      <c r="A17" s="544"/>
      <c r="C17" s="543"/>
      <c r="D17" s="2279"/>
      <c r="E17" s="2281"/>
      <c r="F17" s="2284"/>
      <c r="G17" s="2281"/>
      <c r="H17" s="1527"/>
      <c r="I17" s="1528"/>
      <c r="J17" s="1528"/>
      <c r="K17" s="1528"/>
      <c r="L17" s="1528"/>
      <c r="M17" s="1528"/>
      <c r="N17" s="1528"/>
      <c r="O17" s="1528"/>
      <c r="P17" s="1528"/>
      <c r="Q17" s="1528"/>
      <c r="R17" s="1528"/>
      <c r="S17" s="1529"/>
      <c r="T17" s="1529"/>
      <c r="U17" s="1529"/>
      <c r="V17" s="1529"/>
      <c r="W17" s="1530"/>
      <c r="Y17" s="1487"/>
      <c r="Z17" s="1487"/>
      <c r="AA17" s="1487"/>
      <c r="AB17" s="1487"/>
      <c r="AC17" s="1487"/>
      <c r="AD17" s="1487"/>
      <c r="AE17" s="1487"/>
      <c r="AF17" s="1487"/>
      <c r="AG17" s="1487"/>
      <c r="AH17" s="1487"/>
      <c r="AI17" s="1487"/>
      <c r="AJ17" s="1487"/>
      <c r="AK17" s="1487"/>
      <c r="AL17" s="1487"/>
      <c r="AM17" s="1487"/>
      <c r="AN17" s="1487"/>
      <c r="AO17" s="1487"/>
      <c r="AP17" s="1487"/>
      <c r="AQ17" s="1487"/>
    </row>
    <row s="13060" customFormat="1" customHeight="1" ht="17.25" hidden="1">
      <c r="A18" s="544"/>
      <c r="C18" s="432"/>
      <c r="D18" s="2278">
        <v>2</v>
      </c>
      <c r="E18" s="2280" t="s">
        <v>159</v>
      </c>
      <c r="F18" s="2282" t="s">
        <v>56</v>
      </c>
      <c r="G18" s="2280"/>
      <c r="H18" s="2285"/>
      <c r="I18" s="2287"/>
      <c r="J18" s="2289"/>
      <c r="K18" s="2272"/>
      <c r="L18" s="2272"/>
      <c r="M18" s="2272"/>
      <c r="N18" s="2274"/>
      <c r="O18" s="2272"/>
      <c r="P18" s="2272"/>
      <c r="Q18" s="2272"/>
      <c r="R18" s="2277"/>
      <c r="S18" s="2272"/>
      <c r="T18" s="1648"/>
      <c r="U18" s="1648"/>
      <c r="V18" s="1647"/>
      <c r="W18" s="1524"/>
      <c r="X18" s="1495"/>
      <c r="Y18" s="1495"/>
      <c r="Z18" s="1495"/>
      <c r="AA18" s="1495"/>
      <c r="AB18" s="1495"/>
      <c r="AC18" s="1495" t="s">
        <v>160</v>
      </c>
      <c r="AD18" s="1495" t="s">
        <v>161</v>
      </c>
      <c r="AE18" s="1495" t="s">
        <v>162</v>
      </c>
      <c r="AF18" s="1495" t="s">
        <v>163</v>
      </c>
      <c r="AG18" s="1495" t="s">
        <v>164</v>
      </c>
      <c r="AH18" s="1495"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5" t="str">
        <f>IF($G$18=0,"",$G$18)</f>
        <v/>
      </c>
      <c r="AJ18" s="1495" t="str">
        <f>IF($J$18=0,"",$J$18)</f>
        <v/>
      </c>
      <c r="AK18" s="1495" t="str">
        <f>IF($K$18="нет","без дифференциации",IF($N$18=0,"",$N$18))</f>
        <v/>
      </c>
      <c r="AL18" s="1495" t="str">
        <f>IF($O$18="нет","без дифференциации",IF($R$18=0,"",$R$18))</f>
        <v/>
      </c>
      <c r="AM18" s="1495" t="str">
        <f>IF($S$18="нет","без дифференциации",IF($V$18=0,"",$V$18))</f>
        <v/>
      </c>
      <c r="AN18" s="2000">
        <f>$I$18</f>
        <v>0</v>
      </c>
      <c r="AO18" s="1495" t="str">
        <f>$I$18&amp;"."&amp;$M$18</f>
        <v>.</v>
      </c>
      <c r="AP18" s="1487" t="str">
        <f>$I$18&amp;"."&amp;$M$18&amp;"."&amp;$Q$18</f>
        <v>..</v>
      </c>
      <c r="AQ18" s="1487" t="str">
        <f>$I$18&amp;"."&amp;$M$18&amp;"."&amp;$Q$18&amp;"."&amp;$U$18</f>
        <v>...</v>
      </c>
    </row>
    <row s="13060" customFormat="1" customHeight="1" ht="17.25" hidden="1">
      <c r="A19" s="544"/>
      <c r="C19" s="543"/>
      <c r="D19" s="2278"/>
      <c r="E19" s="2280"/>
      <c r="F19" s="2283"/>
      <c r="G19" s="2280"/>
      <c r="H19" s="2286"/>
      <c r="I19" s="2288"/>
      <c r="J19" s="2290"/>
      <c r="K19" s="2273"/>
      <c r="L19" s="2273"/>
      <c r="M19" s="2273"/>
      <c r="N19" s="2275"/>
      <c r="O19" s="2273"/>
      <c r="P19" s="2273"/>
      <c r="Q19" s="2273"/>
      <c r="R19" s="2276"/>
      <c r="S19" s="2273"/>
      <c r="T19" s="1525"/>
      <c r="U19" s="1525"/>
      <c r="V19" s="1525"/>
      <c r="W19" s="1526"/>
      <c r="X19" s="1487"/>
      <c r="Y19" s="1487"/>
      <c r="Z19" s="1487"/>
      <c r="AA19" s="1487"/>
      <c r="AB19" s="1487"/>
      <c r="AC19" s="1487"/>
      <c r="AD19" s="1487"/>
      <c r="AE19" s="1487"/>
      <c r="AF19" s="1487"/>
      <c r="AG19" s="1487"/>
      <c r="AH19" s="1487"/>
      <c r="AI19" s="1487"/>
      <c r="AJ19" s="1487"/>
      <c r="AK19" s="1487"/>
      <c r="AL19" s="1487"/>
      <c r="AM19" s="1487"/>
      <c r="AN19" s="1487"/>
      <c r="AO19" s="1487"/>
      <c r="AP19" s="1487"/>
      <c r="AQ19" s="1487"/>
    </row>
    <row s="13060" customFormat="1" customHeight="1" ht="17.25" hidden="1">
      <c r="A20" s="544"/>
      <c r="C20" s="543"/>
      <c r="D20" s="2279"/>
      <c r="E20" s="2281"/>
      <c r="F20" s="2283"/>
      <c r="G20" s="2281"/>
      <c r="H20" s="2286"/>
      <c r="I20" s="2288"/>
      <c r="J20" s="2291"/>
      <c r="K20" s="2273"/>
      <c r="L20" s="2273"/>
      <c r="M20" s="2273"/>
      <c r="N20" s="2276"/>
      <c r="O20" s="2273"/>
      <c r="P20" s="1646"/>
      <c r="Q20" s="1525"/>
      <c r="R20" s="1525"/>
      <c r="S20" s="552"/>
      <c r="T20" s="552"/>
      <c r="U20" s="552"/>
      <c r="V20" s="552"/>
      <c r="W20" s="1526"/>
      <c r="X20" s="1487"/>
      <c r="Y20" s="1487"/>
      <c r="Z20" s="1487"/>
      <c r="AA20" s="1487"/>
      <c r="AB20" s="1487"/>
      <c r="AC20" s="1487"/>
      <c r="AD20" s="1487"/>
      <c r="AE20" s="1487"/>
      <c r="AF20" s="1487"/>
      <c r="AG20" s="1487"/>
      <c r="AH20" s="1487"/>
      <c r="AI20" s="1487"/>
      <c r="AJ20" s="1487"/>
      <c r="AK20" s="1487"/>
      <c r="AL20" s="1487"/>
      <c r="AM20" s="1487"/>
      <c r="AN20" s="1487"/>
      <c r="AO20" s="1487"/>
      <c r="AP20" s="1487"/>
      <c r="AQ20" s="1487"/>
    </row>
    <row s="13060" customFormat="1" customHeight="1" ht="17.25" hidden="1">
      <c r="A21" s="544"/>
      <c r="C21" s="543"/>
      <c r="D21" s="2279"/>
      <c r="E21" s="2281"/>
      <c r="F21" s="2283"/>
      <c r="G21" s="2281"/>
      <c r="H21" s="2286"/>
      <c r="I21" s="2288"/>
      <c r="J21" s="2291"/>
      <c r="K21" s="2273"/>
      <c r="L21" s="1525"/>
      <c r="M21" s="1525"/>
      <c r="N21" s="1525"/>
      <c r="O21" s="1525"/>
      <c r="P21" s="1525"/>
      <c r="Q21" s="1525"/>
      <c r="R21" s="1525"/>
      <c r="S21" s="552"/>
      <c r="T21" s="552"/>
      <c r="U21" s="552"/>
      <c r="V21" s="552"/>
      <c r="W21" s="1526"/>
      <c r="X21" s="1487"/>
      <c r="Y21" s="1487"/>
      <c r="Z21" s="1487"/>
      <c r="AA21" s="1487"/>
      <c r="AB21" s="1487"/>
      <c r="AC21" s="1487"/>
      <c r="AD21" s="1487"/>
      <c r="AE21" s="1487"/>
      <c r="AF21" s="1487"/>
      <c r="AG21" s="1487"/>
      <c r="AH21" s="1487"/>
      <c r="AI21" s="1487"/>
      <c r="AJ21" s="1487"/>
      <c r="AK21" s="1487"/>
      <c r="AL21" s="1487"/>
      <c r="AM21" s="1487"/>
      <c r="AN21" s="1487"/>
      <c r="AO21" s="1487"/>
      <c r="AP21" s="1487"/>
      <c r="AQ21" s="1487"/>
    </row>
    <row s="13060" customFormat="1" customHeight="1" ht="17.25" hidden="1">
      <c r="A22" s="544"/>
      <c r="C22" s="543"/>
      <c r="D22" s="2279"/>
      <c r="E22" s="2281"/>
      <c r="F22" s="2284"/>
      <c r="G22" s="2281"/>
      <c r="H22" s="1527"/>
      <c r="I22" s="1528"/>
      <c r="J22" s="1528"/>
      <c r="K22" s="1528"/>
      <c r="L22" s="1528"/>
      <c r="M22" s="1528"/>
      <c r="N22" s="1528"/>
      <c r="O22" s="1528"/>
      <c r="P22" s="1528"/>
      <c r="Q22" s="1528"/>
      <c r="R22" s="1528"/>
      <c r="S22" s="1529"/>
      <c r="T22" s="1529"/>
      <c r="U22" s="1529"/>
      <c r="V22" s="1529"/>
      <c r="W22" s="1530"/>
      <c r="X22" s="1487"/>
      <c r="Y22" s="1487"/>
      <c r="Z22" s="1487"/>
      <c r="AA22" s="1487"/>
      <c r="AB22" s="1487"/>
      <c r="AC22" s="1487"/>
      <c r="AD22" s="1487"/>
      <c r="AE22" s="1487"/>
      <c r="AF22" s="1487"/>
      <c r="AG22" s="1487"/>
      <c r="AH22" s="1487"/>
      <c r="AI22" s="1487"/>
      <c r="AJ22" s="1487"/>
      <c r="AK22" s="1487"/>
      <c r="AL22" s="1487"/>
      <c r="AM22" s="1487"/>
      <c r="AN22" s="1487"/>
      <c r="AO22" s="1487"/>
      <c r="AP22" s="1487"/>
      <c r="AQ22" s="1487"/>
    </row>
    <row s="13060" customFormat="1" customHeight="1" ht="17.25" hidden="1">
      <c r="A23" s="544"/>
      <c r="C23" s="432"/>
      <c r="D23" s="2278">
        <v>3</v>
      </c>
      <c r="E23" s="2280" t="s">
        <v>165</v>
      </c>
      <c r="F23" s="2282" t="s">
        <v>56</v>
      </c>
      <c r="G23" s="2280"/>
      <c r="H23" s="2285"/>
      <c r="I23" s="2287"/>
      <c r="J23" s="2289"/>
      <c r="K23" s="2272"/>
      <c r="L23" s="2272"/>
      <c r="M23" s="2272"/>
      <c r="N23" s="2274"/>
      <c r="O23" s="2272"/>
      <c r="P23" s="2272"/>
      <c r="Q23" s="2272"/>
      <c r="R23" s="2277"/>
      <c r="S23" s="2272"/>
      <c r="T23" s="1648"/>
      <c r="U23" s="1648"/>
      <c r="V23" s="1647"/>
      <c r="W23" s="1524"/>
      <c r="X23" s="1495"/>
      <c r="Y23" s="1495"/>
      <c r="Z23" s="1495"/>
      <c r="AA23" s="1495"/>
      <c r="AB23" s="1495"/>
      <c r="AC23" s="1495" t="s">
        <v>166</v>
      </c>
      <c r="AD23" s="1495" t="s">
        <v>167</v>
      </c>
      <c r="AE23" s="1495" t="s">
        <v>168</v>
      </c>
      <c r="AF23" s="1495" t="s">
        <v>169</v>
      </c>
      <c r="AG23" s="1495" t="s">
        <v>170</v>
      </c>
      <c r="AH23" s="1495" t="str">
        <f>IF($E$23=0,"",$E$23)</f>
        <v>Тарифы на теплоноситель, поставляемый теплоснабжающими организациями потребителям, другим теплоснабжающим организациям</v>
      </c>
      <c r="AI23" s="1495" t="str">
        <f>IF($G$23=0,"",$G$23)</f>
        <v/>
      </c>
      <c r="AJ23" s="1495" t="str">
        <f>IF($J$23=0,"",$J$23)</f>
        <v/>
      </c>
      <c r="AK23" s="1495" t="str">
        <f>IF($K$23="нет","без дифференциации",IF($N$23=0,"",$N$23))</f>
        <v/>
      </c>
      <c r="AL23" s="1495" t="str">
        <f>IF($O$23="нет","без дифференциации",IF($R$23=0,"",$R$23))</f>
        <v/>
      </c>
      <c r="AM23" s="1495" t="str">
        <f>IF($S$23="нет","без дифференциации",IF($V$23=0,"",$V$23))</f>
        <v/>
      </c>
      <c r="AN23" s="2000">
        <f>$I$23</f>
        <v>0</v>
      </c>
      <c r="AO23" s="1495" t="str">
        <f>$I$23&amp;"."&amp;$M$23</f>
        <v>.</v>
      </c>
      <c r="AP23" s="1487" t="str">
        <f>$I$23&amp;"."&amp;$M$23&amp;"."&amp;$Q$23</f>
        <v>..</v>
      </c>
      <c r="AQ23" s="1487" t="str">
        <f>$I$23&amp;"."&amp;$M$23&amp;"."&amp;$Q$23&amp;"."&amp;$U$23</f>
        <v>...</v>
      </c>
    </row>
    <row s="13060" customFormat="1" customHeight="1" ht="17.25" hidden="1">
      <c r="A24" s="544"/>
      <c r="C24" s="543"/>
      <c r="D24" s="2278"/>
      <c r="E24" s="2280"/>
      <c r="F24" s="2283"/>
      <c r="G24" s="2280"/>
      <c r="H24" s="2286"/>
      <c r="I24" s="2288"/>
      <c r="J24" s="2290"/>
      <c r="K24" s="2273"/>
      <c r="L24" s="2273"/>
      <c r="M24" s="2273"/>
      <c r="N24" s="2275"/>
      <c r="O24" s="2273"/>
      <c r="P24" s="2273"/>
      <c r="Q24" s="2273"/>
      <c r="R24" s="2276"/>
      <c r="S24" s="2273"/>
      <c r="T24" s="1525"/>
      <c r="U24" s="1525"/>
      <c r="V24" s="1525"/>
      <c r="W24" s="1526"/>
      <c r="X24" s="1487"/>
      <c r="Y24" s="1487"/>
      <c r="Z24" s="1487"/>
      <c r="AA24" s="1487"/>
      <c r="AB24" s="1487"/>
      <c r="AC24" s="1487"/>
      <c r="AD24" s="1487"/>
      <c r="AE24" s="1487"/>
      <c r="AF24" s="1487"/>
      <c r="AG24" s="1487"/>
      <c r="AH24" s="1487"/>
      <c r="AI24" s="1487"/>
      <c r="AJ24" s="1487"/>
      <c r="AK24" s="1487"/>
      <c r="AL24" s="1487"/>
      <c r="AM24" s="1487"/>
      <c r="AN24" s="1487"/>
      <c r="AO24" s="1487"/>
      <c r="AP24" s="1487"/>
      <c r="AQ24" s="1487"/>
    </row>
    <row s="13060" customFormat="1" customHeight="1" ht="17.25" hidden="1">
      <c r="A25" s="544"/>
      <c r="C25" s="543"/>
      <c r="D25" s="2279"/>
      <c r="E25" s="2281"/>
      <c r="F25" s="2283"/>
      <c r="G25" s="2281"/>
      <c r="H25" s="2286"/>
      <c r="I25" s="2288"/>
      <c r="J25" s="2291"/>
      <c r="K25" s="2273"/>
      <c r="L25" s="2273"/>
      <c r="M25" s="2273"/>
      <c r="N25" s="2276"/>
      <c r="O25" s="2273"/>
      <c r="P25" s="1646"/>
      <c r="Q25" s="1525"/>
      <c r="R25" s="1525"/>
      <c r="S25" s="552"/>
      <c r="T25" s="552"/>
      <c r="U25" s="552"/>
      <c r="V25" s="552"/>
      <c r="W25" s="1526"/>
      <c r="X25" s="1487"/>
      <c r="Y25" s="1487"/>
      <c r="Z25" s="1487"/>
      <c r="AA25" s="1487"/>
      <c r="AB25" s="1487"/>
      <c r="AC25" s="1487"/>
      <c r="AD25" s="1487"/>
      <c r="AE25" s="1487"/>
      <c r="AF25" s="1487"/>
      <c r="AG25" s="1487"/>
      <c r="AH25" s="1487"/>
      <c r="AI25" s="1487"/>
      <c r="AJ25" s="1487"/>
      <c r="AK25" s="1487"/>
      <c r="AL25" s="1487"/>
      <c r="AM25" s="1487"/>
      <c r="AN25" s="1487"/>
      <c r="AO25" s="1487"/>
      <c r="AP25" s="1487"/>
      <c r="AQ25" s="1487"/>
    </row>
    <row s="13060" customFormat="1" customHeight="1" ht="17.25" hidden="1">
      <c r="A26" s="544"/>
      <c r="C26" s="543"/>
      <c r="D26" s="2279"/>
      <c r="E26" s="2281"/>
      <c r="F26" s="2283"/>
      <c r="G26" s="2281"/>
      <c r="H26" s="2286"/>
      <c r="I26" s="2288"/>
      <c r="J26" s="2291"/>
      <c r="K26" s="2273"/>
      <c r="L26" s="1525"/>
      <c r="M26" s="1525"/>
      <c r="N26" s="1525"/>
      <c r="O26" s="1525"/>
      <c r="P26" s="1525"/>
      <c r="Q26" s="1525"/>
      <c r="R26" s="1525"/>
      <c r="S26" s="552"/>
      <c r="T26" s="552"/>
      <c r="U26" s="552"/>
      <c r="V26" s="552"/>
      <c r="W26" s="1526"/>
      <c r="X26" s="1487"/>
      <c r="Y26" s="1487"/>
      <c r="Z26" s="1487"/>
      <c r="AA26" s="1487"/>
      <c r="AB26" s="1487"/>
      <c r="AC26" s="1487"/>
      <c r="AD26" s="1487"/>
      <c r="AE26" s="1487"/>
      <c r="AF26" s="1487"/>
      <c r="AG26" s="1487"/>
      <c r="AH26" s="1487"/>
      <c r="AI26" s="1487"/>
      <c r="AJ26" s="1487"/>
      <c r="AK26" s="1487"/>
      <c r="AL26" s="1487"/>
      <c r="AM26" s="1487"/>
      <c r="AN26" s="1487"/>
      <c r="AO26" s="1487"/>
      <c r="AP26" s="1487"/>
      <c r="AQ26" s="1487"/>
    </row>
    <row s="13060" customFormat="1" customHeight="1" ht="17.25" hidden="1">
      <c r="A27" s="544"/>
      <c r="C27" s="543"/>
      <c r="D27" s="2279"/>
      <c r="E27" s="2281"/>
      <c r="F27" s="2284"/>
      <c r="G27" s="2281"/>
      <c r="H27" s="1527"/>
      <c r="I27" s="1528"/>
      <c r="J27" s="1528"/>
      <c r="K27" s="1528"/>
      <c r="L27" s="1528"/>
      <c r="M27" s="1528"/>
      <c r="N27" s="1528"/>
      <c r="O27" s="1528"/>
      <c r="P27" s="1528"/>
      <c r="Q27" s="1528"/>
      <c r="R27" s="1528"/>
      <c r="S27" s="1529"/>
      <c r="T27" s="1529"/>
      <c r="U27" s="1529"/>
      <c r="V27" s="1529"/>
      <c r="W27" s="1530"/>
      <c r="X27" s="1487"/>
      <c r="Y27" s="1487"/>
      <c r="Z27" s="1487"/>
      <c r="AA27" s="1487"/>
      <c r="AB27" s="1487"/>
      <c r="AC27" s="1487"/>
      <c r="AD27" s="1487"/>
      <c r="AE27" s="1487"/>
      <c r="AF27" s="1487"/>
      <c r="AG27" s="1487"/>
      <c r="AH27" s="1487"/>
      <c r="AI27" s="1487"/>
      <c r="AJ27" s="1487"/>
      <c r="AK27" s="1487"/>
      <c r="AL27" s="1487"/>
      <c r="AM27" s="1487"/>
      <c r="AN27" s="1487"/>
      <c r="AO27" s="1487"/>
      <c r="AP27" s="1487"/>
      <c r="AQ27" s="1487"/>
    </row>
    <row s="13060" customFormat="1" customHeight="1" ht="17.25" hidden="1">
      <c r="A28" s="544"/>
      <c r="C28" s="432"/>
      <c r="D28" s="2278">
        <v>4</v>
      </c>
      <c r="E28" s="2280" t="s">
        <v>171</v>
      </c>
      <c r="F28" s="2282" t="s">
        <v>56</v>
      </c>
      <c r="G28" s="2280"/>
      <c r="H28" s="2285"/>
      <c r="I28" s="2287"/>
      <c r="J28" s="2289"/>
      <c r="K28" s="2272"/>
      <c r="L28" s="2272"/>
      <c r="M28" s="2272"/>
      <c r="N28" s="2274"/>
      <c r="O28" s="2272"/>
      <c r="P28" s="2272"/>
      <c r="Q28" s="2272"/>
      <c r="R28" s="2277"/>
      <c r="S28" s="2272"/>
      <c r="T28" s="1648"/>
      <c r="U28" s="1648"/>
      <c r="V28" s="1647"/>
      <c r="W28" s="1524"/>
      <c r="X28" s="1495"/>
      <c r="Y28" s="1495"/>
      <c r="Z28" s="1495"/>
      <c r="AA28" s="1495"/>
      <c r="AB28" s="1495"/>
      <c r="AC28" s="1495" t="s">
        <v>172</v>
      </c>
      <c r="AD28" s="1495" t="s">
        <v>173</v>
      </c>
      <c r="AE28" s="1495" t="s">
        <v>174</v>
      </c>
      <c r="AF28" s="1495" t="s">
        <v>175</v>
      </c>
      <c r="AG28" s="1495" t="s">
        <v>176</v>
      </c>
      <c r="AH28" s="149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95" t="str">
        <f>IF($G$28=0,"",$G$28)</f>
        <v/>
      </c>
      <c r="AJ28" s="1495" t="str">
        <f>IF($J$28=0,"",$J$28)</f>
        <v/>
      </c>
      <c r="AK28" s="1495" t="str">
        <f>IF($K$28="нет","без дифференциации",IF($N$28=0,"",$N$28))</f>
        <v/>
      </c>
      <c r="AL28" s="1495" t="str">
        <f>IF($O$28="нет","без дифференциации",IF($R$28=0,"",$R$28))</f>
        <v/>
      </c>
      <c r="AM28" s="1495" t="str">
        <f>IF($S$28="нет","без дифференциации",IF($V$28=0,"",$V$28))</f>
        <v/>
      </c>
      <c r="AN28" s="2000">
        <f>$I$28</f>
        <v>0</v>
      </c>
      <c r="AO28" s="1495" t="str">
        <f>$I$28&amp;"."&amp;$M$28</f>
        <v>.</v>
      </c>
      <c r="AP28" s="1487" t="str">
        <f>$I$28&amp;"."&amp;$M$28&amp;"."&amp;$Q$28</f>
        <v>..</v>
      </c>
      <c r="AQ28" s="1487" t="str">
        <f>$I$28&amp;"."&amp;$M$28&amp;"."&amp;$Q$28&amp;"."&amp;$U$28</f>
        <v>...</v>
      </c>
    </row>
    <row s="13060" customFormat="1" customHeight="1" ht="17.25" hidden="1">
      <c r="A29" s="544"/>
      <c r="C29" s="543"/>
      <c r="D29" s="2278"/>
      <c r="E29" s="2280"/>
      <c r="F29" s="2283"/>
      <c r="G29" s="2280"/>
      <c r="H29" s="2286"/>
      <c r="I29" s="2288"/>
      <c r="J29" s="2290"/>
      <c r="K29" s="2273"/>
      <c r="L29" s="2273"/>
      <c r="M29" s="2273"/>
      <c r="N29" s="2275"/>
      <c r="O29" s="2273"/>
      <c r="P29" s="2273"/>
      <c r="Q29" s="2273"/>
      <c r="R29" s="2276"/>
      <c r="S29" s="2273"/>
      <c r="T29" s="1525"/>
      <c r="U29" s="1525"/>
      <c r="V29" s="1525"/>
      <c r="W29" s="1526"/>
      <c r="X29" s="1487"/>
      <c r="Y29" s="1487"/>
      <c r="Z29" s="1487"/>
      <c r="AA29" s="1487"/>
      <c r="AB29" s="1487"/>
      <c r="AC29" s="1487"/>
      <c r="AD29" s="1487"/>
      <c r="AE29" s="1487"/>
      <c r="AF29" s="1487"/>
      <c r="AG29" s="1487"/>
      <c r="AH29" s="1487"/>
      <c r="AI29" s="1487"/>
      <c r="AJ29" s="1487"/>
      <c r="AK29" s="1487"/>
      <c r="AL29" s="1487"/>
      <c r="AM29" s="1487"/>
      <c r="AN29" s="1487"/>
      <c r="AO29" s="1487"/>
      <c r="AP29" s="1487"/>
      <c r="AQ29" s="1487"/>
    </row>
    <row s="13060" customFormat="1" customHeight="1" ht="17.25" hidden="1">
      <c r="A30" s="544"/>
      <c r="C30" s="543"/>
      <c r="D30" s="2279"/>
      <c r="E30" s="2281"/>
      <c r="F30" s="2283"/>
      <c r="G30" s="2281"/>
      <c r="H30" s="2286"/>
      <c r="I30" s="2288"/>
      <c r="J30" s="2291"/>
      <c r="K30" s="2273"/>
      <c r="L30" s="2273"/>
      <c r="M30" s="2273"/>
      <c r="N30" s="2276"/>
      <c r="O30" s="2273"/>
      <c r="P30" s="1646"/>
      <c r="Q30" s="1525"/>
      <c r="R30" s="1525"/>
      <c r="S30" s="552"/>
      <c r="T30" s="552"/>
      <c r="U30" s="552"/>
      <c r="V30" s="552"/>
      <c r="W30" s="1526"/>
      <c r="X30" s="1487"/>
      <c r="Y30" s="1487"/>
      <c r="Z30" s="1487"/>
      <c r="AA30" s="1487"/>
      <c r="AB30" s="1487"/>
      <c r="AC30" s="1487"/>
      <c r="AD30" s="1487"/>
      <c r="AE30" s="1487"/>
      <c r="AF30" s="1487"/>
      <c r="AG30" s="1487"/>
      <c r="AH30" s="1487"/>
      <c r="AI30" s="1487"/>
      <c r="AJ30" s="1487"/>
      <c r="AK30" s="1487"/>
      <c r="AL30" s="1487"/>
      <c r="AM30" s="1487"/>
      <c r="AN30" s="1487"/>
      <c r="AO30" s="1487"/>
      <c r="AP30" s="1487"/>
      <c r="AQ30" s="1487"/>
    </row>
    <row s="13060" customFormat="1" customHeight="1" ht="17.25" hidden="1">
      <c r="A31" s="544"/>
      <c r="C31" s="543"/>
      <c r="D31" s="2279"/>
      <c r="E31" s="2281"/>
      <c r="F31" s="2283"/>
      <c r="G31" s="2281"/>
      <c r="H31" s="2286"/>
      <c r="I31" s="2288"/>
      <c r="J31" s="2291"/>
      <c r="K31" s="2273"/>
      <c r="L31" s="1525"/>
      <c r="M31" s="1525"/>
      <c r="N31" s="1525"/>
      <c r="O31" s="1525"/>
      <c r="P31" s="1525"/>
      <c r="Q31" s="1525"/>
      <c r="R31" s="1525"/>
      <c r="S31" s="552"/>
      <c r="T31" s="552"/>
      <c r="U31" s="552"/>
      <c r="V31" s="552"/>
      <c r="W31" s="1526"/>
      <c r="X31" s="1487"/>
      <c r="Y31" s="1487"/>
      <c r="Z31" s="1487"/>
      <c r="AA31" s="1487"/>
      <c r="AB31" s="1487"/>
      <c r="AC31" s="1487"/>
      <c r="AD31" s="1487"/>
      <c r="AE31" s="1487"/>
      <c r="AF31" s="1487"/>
      <c r="AG31" s="1487"/>
      <c r="AH31" s="1487"/>
      <c r="AI31" s="1487"/>
      <c r="AJ31" s="1487"/>
      <c r="AK31" s="1487"/>
      <c r="AL31" s="1487"/>
      <c r="AM31" s="1487"/>
      <c r="AN31" s="1487"/>
      <c r="AO31" s="1487"/>
      <c r="AP31" s="1487"/>
      <c r="AQ31" s="1487"/>
    </row>
    <row s="13060" customFormat="1" customHeight="1" ht="17.25" hidden="1">
      <c r="A32" s="544"/>
      <c r="C32" s="543"/>
      <c r="D32" s="2279"/>
      <c r="E32" s="2281"/>
      <c r="F32" s="2284"/>
      <c r="G32" s="2281"/>
      <c r="H32" s="1527"/>
      <c r="I32" s="1528"/>
      <c r="J32" s="1528"/>
      <c r="K32" s="1528"/>
      <c r="L32" s="1528"/>
      <c r="M32" s="1528"/>
      <c r="N32" s="1528"/>
      <c r="O32" s="1528"/>
      <c r="P32" s="1528"/>
      <c r="Q32" s="1528"/>
      <c r="R32" s="1528"/>
      <c r="S32" s="1529"/>
      <c r="T32" s="1529"/>
      <c r="U32" s="1529"/>
      <c r="V32" s="1529"/>
      <c r="W32" s="1530"/>
      <c r="X32" s="1487"/>
      <c r="Y32" s="1487"/>
      <c r="Z32" s="1487"/>
      <c r="AA32" s="1487"/>
      <c r="AB32" s="1487"/>
      <c r="AC32" s="1487"/>
      <c r="AD32" s="1487"/>
      <c r="AE32" s="1487"/>
      <c r="AF32" s="1487"/>
      <c r="AG32" s="1487"/>
      <c r="AH32" s="1487"/>
      <c r="AI32" s="1487"/>
      <c r="AJ32" s="1487"/>
      <c r="AK32" s="1487"/>
      <c r="AL32" s="1487"/>
      <c r="AM32" s="1487"/>
      <c r="AN32" s="1487"/>
      <c r="AO32" s="1487"/>
      <c r="AP32" s="1487"/>
      <c r="AQ32" s="1487"/>
    </row>
    <row s="13060" customFormat="1" customHeight="1" ht="17.25" hidden="1">
      <c r="A33" s="544"/>
      <c r="C33" s="432"/>
      <c r="D33" s="2278">
        <v>5</v>
      </c>
      <c r="E33" s="2280" t="s">
        <v>177</v>
      </c>
      <c r="F33" s="2282" t="s">
        <v>56</v>
      </c>
      <c r="G33" s="2280"/>
      <c r="H33" s="2285"/>
      <c r="I33" s="2287"/>
      <c r="J33" s="2289"/>
      <c r="K33" s="2272"/>
      <c r="L33" s="2272"/>
      <c r="M33" s="2272"/>
      <c r="N33" s="2274"/>
      <c r="O33" s="2272"/>
      <c r="P33" s="2272"/>
      <c r="Q33" s="2272"/>
      <c r="R33" s="2277"/>
      <c r="S33" s="2272"/>
      <c r="T33" s="1648"/>
      <c r="U33" s="1648"/>
      <c r="V33" s="1647"/>
      <c r="W33" s="1524"/>
      <c r="X33" s="1495"/>
      <c r="Y33" s="1495"/>
      <c r="Z33" s="1495"/>
      <c r="AA33" s="1495"/>
      <c r="AB33" s="1495"/>
      <c r="AC33" s="1495" t="s">
        <v>178</v>
      </c>
      <c r="AD33" s="1495" t="s">
        <v>179</v>
      </c>
      <c r="AE33" s="1495" t="s">
        <v>180</v>
      </c>
      <c r="AF33" s="1495" t="s">
        <v>181</v>
      </c>
      <c r="AG33" s="1495" t="s">
        <v>182</v>
      </c>
      <c r="AH33" s="1495" t="str">
        <f>IF($E$33=0,"",$E$33)</f>
        <v>Тарифы на услуги по передаче тепловой энергии</v>
      </c>
      <c r="AI33" s="1495" t="str">
        <f>IF($G$33=0,"",$G$33)</f>
        <v/>
      </c>
      <c r="AJ33" s="1495" t="str">
        <f>IF($J$33=0,"",$J$33)</f>
        <v/>
      </c>
      <c r="AK33" s="1495" t="str">
        <f>IF($K$33="нет","без дифференциации",IF($N$33=0,"",$N$33))</f>
        <v/>
      </c>
      <c r="AL33" s="1495" t="str">
        <f>IF($O$33="нет","без дифференциации",IF($R$33=0,"",$R$33))</f>
        <v/>
      </c>
      <c r="AM33" s="1495" t="str">
        <f>IF($S$33="нет","без дифференциации",IF($V$33=0,"",$V$33))</f>
        <v/>
      </c>
      <c r="AN33" s="2000">
        <f>$I$33</f>
        <v>0</v>
      </c>
      <c r="AO33" s="1495" t="str">
        <f>$I$33&amp;"."&amp;$M$33</f>
        <v>.</v>
      </c>
      <c r="AP33" s="1487" t="str">
        <f>$I$33&amp;"."&amp;$M$33&amp;"."&amp;$Q$33</f>
        <v>..</v>
      </c>
      <c r="AQ33" s="1487" t="str">
        <f>$I$33&amp;"."&amp;$M$33&amp;"."&amp;$Q$33&amp;"."&amp;$U$33</f>
        <v>...</v>
      </c>
    </row>
    <row s="13060" customFormat="1" customHeight="1" ht="17.25" hidden="1">
      <c r="A34" s="544"/>
      <c r="C34" s="543"/>
      <c r="D34" s="2278"/>
      <c r="E34" s="2280"/>
      <c r="F34" s="2283"/>
      <c r="G34" s="2280"/>
      <c r="H34" s="2286"/>
      <c r="I34" s="2288"/>
      <c r="J34" s="2290"/>
      <c r="K34" s="2273"/>
      <c r="L34" s="2273"/>
      <c r="M34" s="2273"/>
      <c r="N34" s="2275"/>
      <c r="O34" s="2273"/>
      <c r="P34" s="2273"/>
      <c r="Q34" s="2273"/>
      <c r="R34" s="2276"/>
      <c r="S34" s="2273"/>
      <c r="T34" s="1525"/>
      <c r="U34" s="1525"/>
      <c r="V34" s="1525"/>
      <c r="W34" s="1526"/>
      <c r="X34" s="1487"/>
      <c r="Y34" s="1487"/>
      <c r="Z34" s="1487"/>
      <c r="AA34" s="1487"/>
      <c r="AB34" s="1487"/>
      <c r="AC34" s="1487"/>
      <c r="AD34" s="1487"/>
      <c r="AE34" s="1487"/>
      <c r="AF34" s="1487"/>
      <c r="AG34" s="1487"/>
      <c r="AH34" s="1487"/>
      <c r="AI34" s="1487"/>
      <c r="AJ34" s="1487"/>
      <c r="AK34" s="1487"/>
      <c r="AL34" s="1487"/>
      <c r="AM34" s="1487"/>
      <c r="AN34" s="1487"/>
      <c r="AO34" s="1487"/>
      <c r="AP34" s="1487"/>
      <c r="AQ34" s="1487"/>
    </row>
    <row s="13060" customFormat="1" customHeight="1" ht="17.25" hidden="1">
      <c r="A35" s="544"/>
      <c r="C35" s="543"/>
      <c r="D35" s="2279"/>
      <c r="E35" s="2281"/>
      <c r="F35" s="2283"/>
      <c r="G35" s="2281"/>
      <c r="H35" s="2286"/>
      <c r="I35" s="2288"/>
      <c r="J35" s="2291"/>
      <c r="K35" s="2273"/>
      <c r="L35" s="2273"/>
      <c r="M35" s="2273"/>
      <c r="N35" s="2276"/>
      <c r="O35" s="2273"/>
      <c r="P35" s="1646"/>
      <c r="Q35" s="1525"/>
      <c r="R35" s="1525"/>
      <c r="S35" s="552"/>
      <c r="T35" s="552"/>
      <c r="U35" s="552"/>
      <c r="V35" s="552"/>
      <c r="W35" s="1526"/>
      <c r="X35" s="1487"/>
      <c r="Y35" s="1487"/>
      <c r="Z35" s="1487"/>
      <c r="AA35" s="1487"/>
      <c r="AB35" s="1487"/>
      <c r="AC35" s="1487"/>
      <c r="AD35" s="1487"/>
      <c r="AE35" s="1487"/>
      <c r="AF35" s="1487"/>
      <c r="AG35" s="1487"/>
      <c r="AH35" s="1487"/>
      <c r="AI35" s="1487"/>
      <c r="AJ35" s="1487"/>
      <c r="AK35" s="1487"/>
      <c r="AL35" s="1487"/>
      <c r="AM35" s="1487"/>
      <c r="AN35" s="1487"/>
      <c r="AO35" s="1487"/>
      <c r="AP35" s="1487"/>
      <c r="AQ35" s="1487"/>
    </row>
    <row s="13060" customFormat="1" customHeight="1" ht="17.25" hidden="1">
      <c r="A36" s="544"/>
      <c r="C36" s="543"/>
      <c r="D36" s="2279"/>
      <c r="E36" s="2281"/>
      <c r="F36" s="2283"/>
      <c r="G36" s="2281"/>
      <c r="H36" s="2286"/>
      <c r="I36" s="2288"/>
      <c r="J36" s="2291"/>
      <c r="K36" s="2273"/>
      <c r="L36" s="1525"/>
      <c r="M36" s="1525"/>
      <c r="N36" s="1525"/>
      <c r="O36" s="1525"/>
      <c r="P36" s="1525"/>
      <c r="Q36" s="1525"/>
      <c r="R36" s="1525"/>
      <c r="S36" s="552"/>
      <c r="T36" s="552"/>
      <c r="U36" s="552"/>
      <c r="V36" s="552"/>
      <c r="W36" s="1526"/>
      <c r="X36" s="1487"/>
      <c r="Y36" s="1487"/>
      <c r="Z36" s="1487"/>
      <c r="AA36" s="1487"/>
      <c r="AB36" s="1487"/>
      <c r="AC36" s="1487"/>
      <c r="AD36" s="1487"/>
      <c r="AE36" s="1487"/>
      <c r="AF36" s="1487"/>
      <c r="AG36" s="1487"/>
      <c r="AH36" s="1487"/>
      <c r="AI36" s="1487"/>
      <c r="AJ36" s="1487"/>
      <c r="AK36" s="1487"/>
      <c r="AL36" s="1487"/>
      <c r="AM36" s="1487"/>
      <c r="AN36" s="1487"/>
      <c r="AO36" s="1487"/>
      <c r="AP36" s="1487"/>
      <c r="AQ36" s="1487"/>
    </row>
    <row s="13060" customFormat="1" customHeight="1" ht="17.25" hidden="1">
      <c r="A37" s="544"/>
      <c r="C37" s="543"/>
      <c r="D37" s="2279"/>
      <c r="E37" s="2281"/>
      <c r="F37" s="2284"/>
      <c r="G37" s="2281"/>
      <c r="H37" s="1527"/>
      <c r="I37" s="1528"/>
      <c r="J37" s="1528"/>
      <c r="K37" s="1528"/>
      <c r="L37" s="1528"/>
      <c r="M37" s="1528"/>
      <c r="N37" s="1528"/>
      <c r="O37" s="1528"/>
      <c r="P37" s="1528"/>
      <c r="Q37" s="1528"/>
      <c r="R37" s="1528"/>
      <c r="S37" s="1529"/>
      <c r="T37" s="1529"/>
      <c r="U37" s="1529"/>
      <c r="V37" s="1529"/>
      <c r="W37" s="1530"/>
      <c r="X37" s="1487"/>
      <c r="Y37" s="1487"/>
      <c r="Z37" s="1487"/>
      <c r="AA37" s="1487"/>
      <c r="AB37" s="1487"/>
      <c r="AC37" s="1487"/>
      <c r="AD37" s="1487"/>
      <c r="AE37" s="1487"/>
      <c r="AF37" s="1487"/>
      <c r="AG37" s="1487"/>
      <c r="AH37" s="1487"/>
      <c r="AI37" s="1487"/>
      <c r="AJ37" s="1487"/>
      <c r="AK37" s="1487"/>
      <c r="AL37" s="1487"/>
      <c r="AM37" s="1487"/>
      <c r="AN37" s="1487"/>
      <c r="AO37" s="1487"/>
      <c r="AP37" s="1487"/>
      <c r="AQ37" s="1487"/>
    </row>
    <row s="13060" customFormat="1" customHeight="1" ht="17.25" hidden="1">
      <c r="A38" s="544"/>
      <c r="C38" s="432"/>
      <c r="D38" s="2278">
        <v>6</v>
      </c>
      <c r="E38" s="2280" t="s">
        <v>183</v>
      </c>
      <c r="F38" s="2282" t="s">
        <v>56</v>
      </c>
      <c r="G38" s="2280"/>
      <c r="H38" s="2285"/>
      <c r="I38" s="2287"/>
      <c r="J38" s="2289"/>
      <c r="K38" s="2272"/>
      <c r="L38" s="2272"/>
      <c r="M38" s="2272"/>
      <c r="N38" s="2274"/>
      <c r="O38" s="2272"/>
      <c r="P38" s="2272"/>
      <c r="Q38" s="2272"/>
      <c r="R38" s="2277"/>
      <c r="S38" s="2272"/>
      <c r="T38" s="1648"/>
      <c r="U38" s="1648"/>
      <c r="V38" s="1647"/>
      <c r="W38" s="1524"/>
      <c r="X38" s="1495"/>
      <c r="Y38" s="1495"/>
      <c r="Z38" s="1495"/>
      <c r="AA38" s="1495"/>
      <c r="AB38" s="1495"/>
      <c r="AC38" s="1495" t="s">
        <v>184</v>
      </c>
      <c r="AD38" s="1495" t="s">
        <v>185</v>
      </c>
      <c r="AE38" s="1495" t="s">
        <v>186</v>
      </c>
      <c r="AF38" s="1495" t="s">
        <v>187</v>
      </c>
      <c r="AG38" s="1495" t="s">
        <v>188</v>
      </c>
      <c r="AH38" s="1495" t="str">
        <f>IF($E$38=0,"",$E$38)</f>
        <v>Тарифы на услуги по передаче теплоносителя</v>
      </c>
      <c r="AI38" s="1495" t="str">
        <f>IF($G$38=0,"",$G$38)</f>
        <v/>
      </c>
      <c r="AJ38" s="1495" t="str">
        <f>IF($J$38=0,"",$J$38)</f>
        <v/>
      </c>
      <c r="AK38" s="1495" t="str">
        <f>IF($K$38="нет","без дифференциации",IF($N$38=0,"",$N$38))</f>
        <v/>
      </c>
      <c r="AL38" s="1495" t="str">
        <f>IF($O$38="нет","без дифференциации",IF($R$38=0,"",$R$38))</f>
        <v/>
      </c>
      <c r="AM38" s="1495" t="str">
        <f>IF($S$38="нет","без дифференциации",IF($V$38=0,"",$V$38))</f>
        <v/>
      </c>
      <c r="AN38" s="2000">
        <f>$I$38</f>
        <v>0</v>
      </c>
      <c r="AO38" s="1495" t="str">
        <f>$I$38&amp;"."&amp;$M$38</f>
        <v>.</v>
      </c>
      <c r="AP38" s="1487" t="str">
        <f>$I$38&amp;"."&amp;$M$38&amp;"."&amp;$Q$38</f>
        <v>..</v>
      </c>
      <c r="AQ38" s="1487" t="str">
        <f>$I$38&amp;"."&amp;$M$38&amp;"."&amp;$Q$38&amp;"."&amp;$U$38</f>
        <v>...</v>
      </c>
    </row>
    <row s="13060" customFormat="1" customHeight="1" ht="17.25" hidden="1">
      <c r="A39" s="544"/>
      <c r="C39" s="543"/>
      <c r="D39" s="2278"/>
      <c r="E39" s="2280"/>
      <c r="F39" s="2283"/>
      <c r="G39" s="2280"/>
      <c r="H39" s="2286"/>
      <c r="I39" s="2288"/>
      <c r="J39" s="2290"/>
      <c r="K39" s="2273"/>
      <c r="L39" s="2273"/>
      <c r="M39" s="2273"/>
      <c r="N39" s="2275"/>
      <c r="O39" s="2273"/>
      <c r="P39" s="2273"/>
      <c r="Q39" s="2273"/>
      <c r="R39" s="2276"/>
      <c r="S39" s="2273"/>
      <c r="T39" s="1525"/>
      <c r="U39" s="1525"/>
      <c r="V39" s="1525"/>
      <c r="W39" s="1526"/>
      <c r="X39" s="1487"/>
      <c r="Y39" s="1487"/>
      <c r="Z39" s="1487"/>
      <c r="AA39" s="1487"/>
      <c r="AB39" s="1487"/>
      <c r="AC39" s="1487"/>
      <c r="AD39" s="1487"/>
      <c r="AE39" s="1487"/>
      <c r="AF39" s="1487"/>
      <c r="AG39" s="1487"/>
      <c r="AH39" s="1487"/>
      <c r="AI39" s="1487"/>
      <c r="AJ39" s="1487"/>
      <c r="AK39" s="1487"/>
      <c r="AL39" s="1487"/>
      <c r="AM39" s="1487"/>
      <c r="AN39" s="1487"/>
      <c r="AO39" s="1487"/>
      <c r="AP39" s="1487"/>
      <c r="AQ39" s="1487"/>
    </row>
    <row s="13060" customFormat="1" customHeight="1" ht="17.25" hidden="1">
      <c r="A40" s="544"/>
      <c r="C40" s="543"/>
      <c r="D40" s="2279"/>
      <c r="E40" s="2281"/>
      <c r="F40" s="2283"/>
      <c r="G40" s="2281"/>
      <c r="H40" s="2286"/>
      <c r="I40" s="2288"/>
      <c r="J40" s="2291"/>
      <c r="K40" s="2273"/>
      <c r="L40" s="2273"/>
      <c r="M40" s="2273"/>
      <c r="N40" s="2276"/>
      <c r="O40" s="2273"/>
      <c r="P40" s="1646"/>
      <c r="Q40" s="1525"/>
      <c r="R40" s="1525"/>
      <c r="S40" s="552"/>
      <c r="T40" s="552"/>
      <c r="U40" s="552"/>
      <c r="V40" s="552"/>
      <c r="W40" s="1526"/>
      <c r="X40" s="1487"/>
      <c r="Y40" s="1487"/>
      <c r="Z40" s="1487"/>
      <c r="AA40" s="1487"/>
      <c r="AB40" s="1487"/>
      <c r="AC40" s="1487"/>
      <c r="AD40" s="1487"/>
      <c r="AE40" s="1487"/>
      <c r="AF40" s="1487"/>
      <c r="AG40" s="1487"/>
      <c r="AH40" s="1487"/>
      <c r="AI40" s="1487"/>
      <c r="AJ40" s="1487"/>
      <c r="AK40" s="1487"/>
      <c r="AL40" s="1487"/>
      <c r="AM40" s="1487"/>
      <c r="AN40" s="1487"/>
      <c r="AO40" s="1487"/>
      <c r="AP40" s="1487"/>
      <c r="AQ40" s="1487"/>
    </row>
    <row s="13062" customFormat="1" customHeight="1" ht="17.25" hidden="1">
      <c r="A41" s="544"/>
      <c r="C41" s="432"/>
      <c r="D41" s="2279"/>
      <c r="E41" s="2281"/>
      <c r="F41" s="2283"/>
      <c r="G41" s="2281"/>
      <c r="H41" s="2286"/>
      <c r="I41" s="2288"/>
      <c r="J41" s="2291"/>
      <c r="K41" s="2273"/>
      <c r="L41" s="1525"/>
      <c r="M41" s="1525"/>
      <c r="N41" s="1525"/>
      <c r="O41" s="1525"/>
      <c r="P41" s="1525"/>
      <c r="Q41" s="1525"/>
      <c r="R41" s="1525"/>
      <c r="S41" s="552"/>
      <c r="T41" s="552"/>
      <c r="U41" s="552"/>
      <c r="V41" s="552"/>
      <c r="W41" s="1526"/>
      <c r="Y41" s="1495"/>
      <c r="Z41" s="1495"/>
      <c r="AA41" s="1495"/>
      <c r="AB41" s="1495"/>
      <c r="AC41" s="1495"/>
      <c r="AD41" s="1495"/>
      <c r="AE41" s="1495"/>
      <c r="AF41" s="1495"/>
      <c r="AG41" s="1495"/>
      <c r="AH41" s="1495"/>
      <c r="AI41" s="1495"/>
      <c r="AJ41" s="1495"/>
      <c r="AK41" s="1495"/>
      <c r="AL41" s="1495"/>
      <c r="AM41" s="1495"/>
      <c r="AN41" s="1495"/>
      <c r="AO41" s="1495"/>
      <c r="AP41" s="1495"/>
      <c r="AQ41" s="1495"/>
    </row>
    <row s="13060" customFormat="1" customHeight="1" ht="17.25" hidden="1">
      <c r="A42" s="544"/>
      <c r="C42" s="543"/>
      <c r="D42" s="2279"/>
      <c r="E42" s="2281"/>
      <c r="F42" s="2284"/>
      <c r="G42" s="2281"/>
      <c r="H42" s="1527"/>
      <c r="I42" s="1528"/>
      <c r="J42" s="1528"/>
      <c r="K42" s="1528"/>
      <c r="L42" s="1528"/>
      <c r="M42" s="1528"/>
      <c r="N42" s="1528"/>
      <c r="O42" s="1528"/>
      <c r="P42" s="1528"/>
      <c r="Q42" s="1528"/>
      <c r="R42" s="1528"/>
      <c r="S42" s="1529"/>
      <c r="T42" s="1529"/>
      <c r="U42" s="1529"/>
      <c r="V42" s="1529"/>
      <c r="W42" s="1530"/>
      <c r="X42" s="1487"/>
      <c r="Y42" s="1487"/>
      <c r="Z42" s="1487"/>
      <c r="AA42" s="1487"/>
      <c r="AB42" s="1487"/>
      <c r="AC42" s="1487"/>
      <c r="AD42" s="1487"/>
      <c r="AE42" s="1487"/>
      <c r="AF42" s="1487"/>
      <c r="AG42" s="1487"/>
      <c r="AH42" s="1487"/>
      <c r="AI42" s="1487"/>
      <c r="AJ42" s="1487"/>
      <c r="AK42" s="1487"/>
      <c r="AL42" s="1487"/>
      <c r="AM42" s="1487"/>
      <c r="AN42" s="1487"/>
      <c r="AO42" s="1487"/>
      <c r="AP42" s="1487"/>
      <c r="AQ42" s="1487"/>
    </row>
    <row s="13063" customFormat="1" customHeight="1" ht="17.25" hidden="1">
      <c r="A43" s="544"/>
      <c r="C43" s="432"/>
      <c r="D43" s="2295">
        <v>7</v>
      </c>
      <c r="E43" s="2298" t="s">
        <v>189</v>
      </c>
      <c r="F43" s="2282" t="s">
        <v>56</v>
      </c>
      <c r="G43" s="2298"/>
      <c r="H43" s="2285"/>
      <c r="I43" s="2287"/>
      <c r="J43" s="2289"/>
      <c r="K43" s="2272"/>
      <c r="L43" s="2272"/>
      <c r="M43" s="2272"/>
      <c r="N43" s="2274"/>
      <c r="O43" s="2272"/>
      <c r="P43" s="2272"/>
      <c r="Q43" s="2272"/>
      <c r="R43" s="2277"/>
      <c r="S43" s="2272"/>
      <c r="T43" s="1648"/>
      <c r="U43" s="1648"/>
      <c r="V43" s="1647"/>
      <c r="W43" s="1524"/>
      <c r="X43" s="1495"/>
      <c r="Y43" s="1495"/>
      <c r="Z43" s="1495"/>
      <c r="AA43" s="1495"/>
      <c r="AB43" s="1495"/>
      <c r="AC43" s="1495" t="s">
        <v>190</v>
      </c>
      <c r="AD43" s="1495" t="s">
        <v>191</v>
      </c>
      <c r="AE43" s="1495" t="s">
        <v>192</v>
      </c>
      <c r="AF43" s="1495" t="s">
        <v>193</v>
      </c>
      <c r="AG43" s="1495" t="s">
        <v>194</v>
      </c>
      <c r="AH43" s="1495" t="str">
        <f>IF($E$43=0,"",$E$43)</f>
        <v>Плата за услуги по поддержанию резервной тепловой мощности при отсутствии потребления тепловой энергии</v>
      </c>
      <c r="AI43" s="1495" t="str">
        <f>IF($G$43=0,"",$G$43)</f>
        <v/>
      </c>
      <c r="AJ43" s="1495" t="str">
        <f>IF($J$43=0,"",$J$43)</f>
        <v/>
      </c>
      <c r="AK43" s="1495" t="str">
        <f>IF($K$43="нет","без дифференциации",IF($N$43=0,"",$N$43))</f>
        <v/>
      </c>
      <c r="AL43" s="1495" t="str">
        <f>IF($O$43="нет","без дифференциации",IF($R$43=0,"",$R$43))</f>
        <v/>
      </c>
      <c r="AM43" s="1495" t="str">
        <f>IF($S$43="нет","без дифференциации",IF($V$43=0,"",$V$43))</f>
        <v/>
      </c>
      <c r="AN43" s="2000">
        <f>$I$43</f>
        <v>0</v>
      </c>
      <c r="AO43" s="1495" t="str">
        <f>$I$43&amp;"."&amp;$M$43</f>
        <v>.</v>
      </c>
      <c r="AP43" s="1487" t="str">
        <f>$I$43&amp;"."&amp;$M$43&amp;"."&amp;$Q$43</f>
        <v>..</v>
      </c>
      <c r="AQ43" s="1487" t="str">
        <f>$I$43&amp;"."&amp;$M$43&amp;"."&amp;$Q$43&amp;"."&amp;$U$43</f>
        <v>...</v>
      </c>
    </row>
    <row s="13063" customFormat="1" customHeight="1" ht="17.25" hidden="1">
      <c r="A44" s="544"/>
      <c r="C44" s="543"/>
      <c r="D44" s="2296"/>
      <c r="E44" s="2299"/>
      <c r="F44" s="2283"/>
      <c r="G44" s="2299"/>
      <c r="H44" s="2286"/>
      <c r="I44" s="2288"/>
      <c r="J44" s="2290"/>
      <c r="K44" s="2273"/>
      <c r="L44" s="2273"/>
      <c r="M44" s="2273"/>
      <c r="N44" s="2275"/>
      <c r="O44" s="2273"/>
      <c r="P44" s="2273"/>
      <c r="Q44" s="2273"/>
      <c r="R44" s="2276"/>
      <c r="S44" s="2273"/>
      <c r="T44" s="1525"/>
      <c r="U44" s="1525"/>
      <c r="V44" s="1525"/>
      <c r="W44" s="1526"/>
      <c r="X44" s="1487"/>
      <c r="Y44" s="1487"/>
      <c r="Z44" s="1487"/>
      <c r="AA44" s="1487"/>
      <c r="AB44" s="1487"/>
      <c r="AC44" s="1487"/>
      <c r="AD44" s="1487"/>
      <c r="AE44" s="1487"/>
      <c r="AF44" s="1487"/>
      <c r="AG44" s="1487"/>
      <c r="AH44" s="1487"/>
      <c r="AI44" s="1487"/>
      <c r="AJ44" s="1487"/>
      <c r="AK44" s="1487"/>
      <c r="AL44" s="1487"/>
      <c r="AM44" s="1487"/>
      <c r="AN44" s="1487"/>
      <c r="AO44" s="1487"/>
      <c r="AP44" s="1487"/>
      <c r="AQ44" s="1487"/>
    </row>
    <row s="13063" customFormat="1" customHeight="1" ht="17.25" hidden="1">
      <c r="A45" s="544"/>
      <c r="C45" s="543"/>
      <c r="D45" s="2296"/>
      <c r="E45" s="2299"/>
      <c r="F45" s="2283"/>
      <c r="G45" s="2299"/>
      <c r="H45" s="2286"/>
      <c r="I45" s="2288"/>
      <c r="J45" s="2291"/>
      <c r="K45" s="2273"/>
      <c r="L45" s="2273"/>
      <c r="M45" s="2273"/>
      <c r="N45" s="2276"/>
      <c r="O45" s="2273"/>
      <c r="P45" s="1646"/>
      <c r="Q45" s="1525"/>
      <c r="R45" s="1525"/>
      <c r="S45" s="552"/>
      <c r="T45" s="552"/>
      <c r="U45" s="552"/>
      <c r="V45" s="552"/>
      <c r="W45" s="1526"/>
      <c r="X45" s="1487"/>
      <c r="Y45" s="1487"/>
      <c r="Z45" s="1487"/>
      <c r="AA45" s="1487"/>
      <c r="AB45" s="1487"/>
      <c r="AC45" s="1487"/>
      <c r="AD45" s="1487"/>
      <c r="AE45" s="1487"/>
      <c r="AF45" s="1487"/>
      <c r="AG45" s="1487"/>
      <c r="AH45" s="1487"/>
      <c r="AI45" s="1487"/>
      <c r="AJ45" s="1487"/>
      <c r="AK45" s="1487"/>
      <c r="AL45" s="1487"/>
      <c r="AM45" s="1487"/>
      <c r="AN45" s="1487"/>
      <c r="AO45" s="1487"/>
      <c r="AP45" s="1487"/>
      <c r="AQ45" s="1487"/>
    </row>
    <row s="13062" customFormat="1" customHeight="1" ht="17.25" hidden="1">
      <c r="A46" s="544"/>
      <c r="C46" s="432"/>
      <c r="D46" s="2296"/>
      <c r="E46" s="2299"/>
      <c r="F46" s="2283"/>
      <c r="G46" s="2299"/>
      <c r="H46" s="2286"/>
      <c r="I46" s="2288"/>
      <c r="J46" s="2291"/>
      <c r="K46" s="2273"/>
      <c r="L46" s="1525"/>
      <c r="M46" s="1525"/>
      <c r="N46" s="1525"/>
      <c r="O46" s="1525"/>
      <c r="P46" s="1525"/>
      <c r="Q46" s="1525"/>
      <c r="R46" s="1525"/>
      <c r="S46" s="552"/>
      <c r="T46" s="552"/>
      <c r="U46" s="552"/>
      <c r="V46" s="552"/>
      <c r="W46" s="1526"/>
      <c r="Y46" s="1495"/>
      <c r="Z46" s="1495"/>
      <c r="AA46" s="1495"/>
      <c r="AB46" s="1495"/>
      <c r="AC46" s="1495"/>
      <c r="AD46" s="1495"/>
      <c r="AE46" s="1495"/>
      <c r="AF46" s="1495"/>
      <c r="AG46" s="1495"/>
      <c r="AH46" s="1495"/>
      <c r="AI46" s="1495"/>
      <c r="AJ46" s="1495"/>
      <c r="AK46" s="1495"/>
      <c r="AL46" s="1495"/>
      <c r="AM46" s="1495"/>
      <c r="AN46" s="1495"/>
      <c r="AO46" s="1495"/>
      <c r="AP46" s="1495"/>
      <c r="AQ46" s="1495"/>
    </row>
    <row s="13063" customFormat="1" customHeight="1" ht="17.25" hidden="1">
      <c r="A47" s="544"/>
      <c r="C47" s="543"/>
      <c r="D47" s="2297"/>
      <c r="E47" s="2300"/>
      <c r="F47" s="2284"/>
      <c r="G47" s="2300"/>
      <c r="H47" s="1527"/>
      <c r="I47" s="1528"/>
      <c r="J47" s="1528"/>
      <c r="K47" s="1528"/>
      <c r="L47" s="1528"/>
      <c r="M47" s="1528"/>
      <c r="N47" s="1528"/>
      <c r="O47" s="1528"/>
      <c r="P47" s="1528"/>
      <c r="Q47" s="1528"/>
      <c r="R47" s="1528"/>
      <c r="S47" s="1529"/>
      <c r="T47" s="1529"/>
      <c r="U47" s="1529"/>
      <c r="V47" s="1529"/>
      <c r="W47" s="1530"/>
      <c r="X47" s="1487"/>
      <c r="Y47" s="1487"/>
      <c r="Z47" s="1487"/>
      <c r="AA47" s="1487"/>
      <c r="AB47" s="1487"/>
      <c r="AC47" s="1487"/>
      <c r="AD47" s="1487"/>
      <c r="AE47" s="1487"/>
      <c r="AF47" s="1487"/>
      <c r="AG47" s="1487"/>
      <c r="AH47" s="1487"/>
      <c r="AI47" s="1487"/>
      <c r="AJ47" s="1487"/>
      <c r="AK47" s="1487"/>
      <c r="AL47" s="1487"/>
      <c r="AM47" s="1487"/>
      <c r="AN47" s="1487"/>
      <c r="AO47" s="1487"/>
      <c r="AP47" s="1487"/>
      <c r="AQ47" s="1487"/>
    </row>
    <row s="13063" customFormat="1" customHeight="1" ht="17.25" hidden="1">
      <c r="A48" s="544"/>
      <c r="C48" s="432"/>
      <c r="D48" s="2278">
        <v>8</v>
      </c>
      <c r="E48" s="2280" t="s">
        <v>195</v>
      </c>
      <c r="F48" s="2282" t="s">
        <v>56</v>
      </c>
      <c r="G48" s="2280"/>
      <c r="H48" s="2285"/>
      <c r="I48" s="2287"/>
      <c r="J48" s="2289"/>
      <c r="K48" s="2272"/>
      <c r="L48" s="2272"/>
      <c r="M48" s="2272"/>
      <c r="N48" s="2274"/>
      <c r="O48" s="2272"/>
      <c r="P48" s="2272"/>
      <c r="Q48" s="2272"/>
      <c r="R48" s="2277"/>
      <c r="S48" s="2272"/>
      <c r="T48" s="1698"/>
      <c r="U48" s="1698"/>
      <c r="V48" s="1700"/>
      <c r="W48" s="1524"/>
      <c r="X48" s="1495"/>
      <c r="Y48" s="1495"/>
      <c r="Z48" s="1495"/>
      <c r="AA48" s="1495"/>
      <c r="AB48" s="1495"/>
      <c r="AC48" s="1495" t="s">
        <v>196</v>
      </c>
      <c r="AD48" s="1495" t="s">
        <v>197</v>
      </c>
      <c r="AE48" s="1495" t="s">
        <v>198</v>
      </c>
      <c r="AF48" s="1495" t="s">
        <v>199</v>
      </c>
      <c r="AG48" s="1495" t="s">
        <v>200</v>
      </c>
      <c r="AH48" s="1495" t="str">
        <f>IF($E$48=0,"",$E$48)</f>
        <v>Плата за подключение (технологическое присоединение) к системе теплоснабжения</v>
      </c>
      <c r="AI48" s="1495" t="str">
        <f>IF($G$48=0,"",$G$48)</f>
        <v/>
      </c>
      <c r="AJ48" s="1495" t="str">
        <f>IF($J$48=0,"",$J$48)</f>
        <v/>
      </c>
      <c r="AK48" s="1495" t="str">
        <f>IF($K$48="нет","без дифференциации",IF($N$48=0,"",$N$48))</f>
        <v/>
      </c>
      <c r="AL48" s="1495" t="str">
        <f>IF($O$48="нет","без дифференциации",IF($R$48=0,"",$R$48))</f>
        <v/>
      </c>
      <c r="AM48" s="1495" t="str">
        <f>IF($S$48="нет","без дифференциации",IF($V$48=0,"",$V$48))</f>
        <v/>
      </c>
      <c r="AN48" s="2000">
        <f>$I$48</f>
        <v>0</v>
      </c>
      <c r="AO48" s="1495" t="str">
        <f>$I$48&amp;"."&amp;$M$48</f>
        <v>.</v>
      </c>
      <c r="AP48" s="1487" t="str">
        <f>$I$48&amp;"."&amp;$M$48&amp;"."&amp;$Q$48</f>
        <v>..</v>
      </c>
      <c r="AQ48" s="1487" t="str">
        <f>$I$48&amp;"."&amp;$M$48&amp;"."&amp;$Q$48&amp;"."&amp;$U$48</f>
        <v>...</v>
      </c>
    </row>
    <row s="13063" customFormat="1" customHeight="1" ht="17.25" hidden="1">
      <c r="A49" s="544"/>
      <c r="C49" s="543"/>
      <c r="D49" s="2278"/>
      <c r="E49" s="2280"/>
      <c r="F49" s="2283"/>
      <c r="G49" s="2280"/>
      <c r="H49" s="2286"/>
      <c r="I49" s="2288"/>
      <c r="J49" s="2290"/>
      <c r="K49" s="2273"/>
      <c r="L49" s="2273"/>
      <c r="M49" s="2273"/>
      <c r="N49" s="2275"/>
      <c r="O49" s="2273"/>
      <c r="P49" s="2273"/>
      <c r="Q49" s="2273"/>
      <c r="R49" s="2276"/>
      <c r="S49" s="2273"/>
      <c r="T49" s="1525"/>
      <c r="U49" s="1525"/>
      <c r="V49" s="1525"/>
      <c r="W49" s="1526"/>
      <c r="X49" s="1487"/>
      <c r="Y49" s="1487"/>
      <c r="Z49" s="1487"/>
      <c r="AA49" s="1487"/>
      <c r="AB49" s="1487"/>
      <c r="AC49" s="1487"/>
      <c r="AD49" s="1487"/>
      <c r="AE49" s="1487"/>
      <c r="AF49" s="1487"/>
      <c r="AG49" s="1487"/>
      <c r="AH49" s="1487"/>
      <c r="AI49" s="1487"/>
      <c r="AJ49" s="1487"/>
      <c r="AK49" s="1487"/>
      <c r="AL49" s="1487"/>
      <c r="AM49" s="1487"/>
      <c r="AN49" s="1487"/>
      <c r="AO49" s="1487"/>
      <c r="AP49" s="1487"/>
      <c r="AQ49" s="1487"/>
    </row>
    <row s="13063" customFormat="1" customHeight="1" ht="17.25" hidden="1">
      <c r="A50" s="544"/>
      <c r="C50" s="543"/>
      <c r="D50" s="2279"/>
      <c r="E50" s="2281"/>
      <c r="F50" s="2283"/>
      <c r="G50" s="2281"/>
      <c r="H50" s="2286"/>
      <c r="I50" s="2288"/>
      <c r="J50" s="2291"/>
      <c r="K50" s="2273"/>
      <c r="L50" s="2273"/>
      <c r="M50" s="2273"/>
      <c r="N50" s="2276"/>
      <c r="O50" s="2273"/>
      <c r="P50" s="1699"/>
      <c r="Q50" s="1525"/>
      <c r="R50" s="1525"/>
      <c r="S50" s="552"/>
      <c r="T50" s="552"/>
      <c r="U50" s="552"/>
      <c r="V50" s="552"/>
      <c r="W50" s="1526"/>
      <c r="X50" s="1487"/>
      <c r="Y50" s="1487"/>
      <c r="Z50" s="1487"/>
      <c r="AA50" s="1487"/>
      <c r="AB50" s="1487"/>
      <c r="AC50" s="1487"/>
      <c r="AD50" s="1487"/>
      <c r="AE50" s="1487"/>
      <c r="AF50" s="1487"/>
      <c r="AG50" s="1487"/>
      <c r="AH50" s="1487"/>
      <c r="AI50" s="1487"/>
      <c r="AJ50" s="1487"/>
      <c r="AK50" s="1487"/>
      <c r="AL50" s="1487"/>
      <c r="AM50" s="1487"/>
      <c r="AN50" s="1487"/>
      <c r="AO50" s="1487"/>
      <c r="AP50" s="1487"/>
      <c r="AQ50" s="1487"/>
    </row>
    <row s="13062" customFormat="1" customHeight="1" ht="17.25" hidden="1">
      <c r="A51" s="544"/>
      <c r="C51" s="432"/>
      <c r="D51" s="2279"/>
      <c r="E51" s="2281"/>
      <c r="F51" s="2283"/>
      <c r="G51" s="2281"/>
      <c r="H51" s="2286"/>
      <c r="I51" s="2288"/>
      <c r="J51" s="2291"/>
      <c r="K51" s="2273"/>
      <c r="L51" s="1525"/>
      <c r="M51" s="1525"/>
      <c r="N51" s="1525"/>
      <c r="O51" s="1525"/>
      <c r="P51" s="1525"/>
      <c r="Q51" s="1525"/>
      <c r="R51" s="1525"/>
      <c r="S51" s="552"/>
      <c r="T51" s="552"/>
      <c r="U51" s="552"/>
      <c r="V51" s="552"/>
      <c r="W51" s="1526"/>
      <c r="Y51" s="1495"/>
      <c r="Z51" s="1495"/>
      <c r="AA51" s="1495"/>
      <c r="AB51" s="1495"/>
      <c r="AC51" s="1495"/>
      <c r="AD51" s="1495"/>
      <c r="AE51" s="1495"/>
      <c r="AF51" s="1495"/>
      <c r="AG51" s="1495"/>
      <c r="AH51" s="1495"/>
      <c r="AI51" s="1495"/>
      <c r="AJ51" s="1495"/>
      <c r="AK51" s="1495"/>
      <c r="AL51" s="1495"/>
      <c r="AM51" s="1495"/>
      <c r="AN51" s="1495"/>
      <c r="AO51" s="1495"/>
      <c r="AP51" s="1495"/>
      <c r="AQ51" s="1495"/>
    </row>
    <row s="13063" customFormat="1" customHeight="1" ht="17.25" hidden="1">
      <c r="A52" s="544"/>
      <c r="C52" s="543"/>
      <c r="D52" s="2279"/>
      <c r="E52" s="2281"/>
      <c r="F52" s="2284"/>
      <c r="G52" s="2281"/>
      <c r="H52" s="1527"/>
      <c r="I52" s="1528"/>
      <c r="J52" s="1528"/>
      <c r="K52" s="1528"/>
      <c r="L52" s="1528"/>
      <c r="M52" s="1528"/>
      <c r="N52" s="1528"/>
      <c r="O52" s="1528"/>
      <c r="P52" s="1528"/>
      <c r="Q52" s="1528"/>
      <c r="R52" s="1528"/>
      <c r="S52" s="1529"/>
      <c r="T52" s="1529"/>
      <c r="U52" s="1529"/>
      <c r="V52" s="1529"/>
      <c r="W52" s="1530"/>
      <c r="X52" s="1487"/>
      <c r="Y52" s="1487"/>
      <c r="Z52" s="1487"/>
      <c r="AA52" s="1487"/>
      <c r="AB52" s="1487"/>
      <c r="AC52" s="1487"/>
      <c r="AD52" s="1487"/>
      <c r="AE52" s="1487"/>
      <c r="AF52" s="1487"/>
      <c r="AG52" s="1487"/>
      <c r="AH52" s="1487"/>
      <c r="AI52" s="1487"/>
      <c r="AJ52" s="1487"/>
      <c r="AK52" s="1487"/>
      <c r="AL52" s="1487"/>
      <c r="AM52" s="1487"/>
      <c r="AN52" s="1487"/>
      <c r="AO52" s="1487"/>
      <c r="AP52" s="1487"/>
      <c r="AQ52" s="1487"/>
    </row>
    <row s="13073" customFormat="1" customHeight="1" ht="17.25" hidden="1">
      <c r="A53" s="544"/>
      <c r="C53" s="432"/>
      <c r="D53" s="2278">
        <v>9</v>
      </c>
      <c r="E53" s="2280" t="s">
        <v>201</v>
      </c>
      <c r="F53" s="2282" t="s">
        <v>56</v>
      </c>
      <c r="G53" s="2280"/>
      <c r="H53" s="2285"/>
      <c r="I53" s="2287"/>
      <c r="J53" s="2289"/>
      <c r="K53" s="2272"/>
      <c r="L53" s="2272"/>
      <c r="M53" s="2272"/>
      <c r="N53" s="2274"/>
      <c r="O53" s="2272"/>
      <c r="P53" s="2272"/>
      <c r="Q53" s="2272"/>
      <c r="R53" s="2277"/>
      <c r="S53" s="2272"/>
      <c r="T53" s="2160"/>
      <c r="U53" s="2160"/>
      <c r="V53" s="2162"/>
      <c r="W53" s="1524"/>
      <c r="X53" s="1495"/>
      <c r="Y53" s="1495"/>
      <c r="Z53" s="1495"/>
      <c r="AA53" s="1495"/>
      <c r="AB53" s="1495"/>
      <c r="AC53" s="1495" t="s">
        <v>202</v>
      </c>
      <c r="AD53" s="1495" t="s">
        <v>203</v>
      </c>
      <c r="AE53" s="1495" t="s">
        <v>204</v>
      </c>
      <c r="AF53" s="1495" t="s">
        <v>205</v>
      </c>
      <c r="AG53" s="1495" t="s">
        <v>206</v>
      </c>
      <c r="AH53" s="1495" t="str">
        <f>IF($E$53=0,"",$E$53)</f>
        <v>Плата за подключение к системе теплоснабжения (индивидуальная)</v>
      </c>
      <c r="AI53" s="1495" t="str">
        <f>IF($G$53=0,"",$G$53)</f>
        <v/>
      </c>
      <c r="AJ53" s="1495" t="str">
        <f>IF($J$53=0,"",$J$53)</f>
        <v/>
      </c>
      <c r="AK53" s="1495" t="str">
        <f>IF($K$53="нет","без дифференциации",IF($N$53=0,"",$N$53))</f>
        <v/>
      </c>
      <c r="AL53" s="1495" t="str">
        <f>IF($O$53="нет","без дифференциации",IF($R$53=0,"",$R$53))</f>
        <v/>
      </c>
      <c r="AM53" s="1495" t="str">
        <f>IF($S$53="нет","без дифференциации",IF($V$53=0,"",$V$53))</f>
        <v/>
      </c>
      <c r="AN53" s="2000">
        <f>$I$53</f>
        <v>0</v>
      </c>
      <c r="AO53" s="1495" t="str">
        <f>$I$53&amp;"."&amp;$M$53</f>
        <v>.</v>
      </c>
      <c r="AP53" s="1494" t="str">
        <f>$I$53&amp;"."&amp;$M$53&amp;"."&amp;$Q$53</f>
        <v>..</v>
      </c>
      <c r="AQ53" s="1494" t="str">
        <f>$I$53&amp;"."&amp;$M$53&amp;"."&amp;$Q$53&amp;"."&amp;$U$53</f>
        <v>...</v>
      </c>
    </row>
    <row s="13073" customFormat="1" customHeight="1" ht="17.25" hidden="1">
      <c r="A54" s="544"/>
      <c r="C54" s="543"/>
      <c r="D54" s="2278"/>
      <c r="E54" s="2280"/>
      <c r="F54" s="2283"/>
      <c r="G54" s="2280"/>
      <c r="H54" s="2286"/>
      <c r="I54" s="2288"/>
      <c r="J54" s="2290"/>
      <c r="K54" s="2273"/>
      <c r="L54" s="2273"/>
      <c r="M54" s="2273"/>
      <c r="N54" s="2275"/>
      <c r="O54" s="2273"/>
      <c r="P54" s="2273"/>
      <c r="Q54" s="2273"/>
      <c r="R54" s="2276"/>
      <c r="S54" s="2273"/>
      <c r="T54" s="2163"/>
      <c r="U54" s="2163"/>
      <c r="V54" s="2163"/>
      <c r="W54" s="2164"/>
      <c r="X54" s="1494"/>
      <c r="Y54" s="1494"/>
      <c r="Z54" s="1494"/>
      <c r="AA54" s="1494"/>
      <c r="AB54" s="1494"/>
      <c r="AC54" s="1494"/>
      <c r="AD54" s="1494"/>
      <c r="AE54" s="1494"/>
      <c r="AF54" s="1494"/>
      <c r="AG54" s="1494"/>
      <c r="AH54" s="1494"/>
      <c r="AI54" s="1494"/>
      <c r="AJ54" s="1494"/>
      <c r="AK54" s="1494"/>
      <c r="AL54" s="1494"/>
      <c r="AM54" s="1494"/>
      <c r="AN54" s="1494"/>
      <c r="AO54" s="1494"/>
      <c r="AP54" s="1494"/>
      <c r="AQ54" s="1494"/>
    </row>
    <row s="13073" customFormat="1" customHeight="1" ht="17.25" hidden="1">
      <c r="A55" s="544"/>
      <c r="C55" s="543"/>
      <c r="D55" s="2279"/>
      <c r="E55" s="2281"/>
      <c r="F55" s="2283"/>
      <c r="G55" s="2281"/>
      <c r="H55" s="2286"/>
      <c r="I55" s="2288"/>
      <c r="J55" s="2291"/>
      <c r="K55" s="2273"/>
      <c r="L55" s="2273"/>
      <c r="M55" s="2273"/>
      <c r="N55" s="2276"/>
      <c r="O55" s="2273"/>
      <c r="P55" s="2161"/>
      <c r="Q55" s="2163"/>
      <c r="R55" s="2163"/>
      <c r="S55" s="552"/>
      <c r="T55" s="552"/>
      <c r="U55" s="552"/>
      <c r="V55" s="552"/>
      <c r="W55" s="2164"/>
      <c r="X55" s="1494"/>
      <c r="Y55" s="1494"/>
      <c r="Z55" s="1494"/>
      <c r="AA55" s="1494"/>
      <c r="AB55" s="1494"/>
      <c r="AC55" s="1494"/>
      <c r="AD55" s="1494"/>
      <c r="AE55" s="1494"/>
      <c r="AF55" s="1494"/>
      <c r="AG55" s="1494"/>
      <c r="AH55" s="1494"/>
      <c r="AI55" s="1494"/>
      <c r="AJ55" s="1494"/>
      <c r="AK55" s="1494"/>
      <c r="AL55" s="1494"/>
      <c r="AM55" s="1494"/>
      <c r="AN55" s="1494"/>
      <c r="AO55" s="1494"/>
      <c r="AP55" s="1494"/>
      <c r="AQ55" s="1494"/>
    </row>
    <row s="13073" customFormat="1" customHeight="1" ht="17.25" hidden="1">
      <c r="A56" s="544"/>
      <c r="C56" s="432"/>
      <c r="D56" s="2279"/>
      <c r="E56" s="2281"/>
      <c r="F56" s="2283"/>
      <c r="G56" s="2281"/>
      <c r="H56" s="2286"/>
      <c r="I56" s="2288"/>
      <c r="J56" s="2291"/>
      <c r="K56" s="2273"/>
      <c r="L56" s="2163"/>
      <c r="M56" s="2163"/>
      <c r="N56" s="2163"/>
      <c r="O56" s="2163"/>
      <c r="P56" s="2163"/>
      <c r="Q56" s="2163"/>
      <c r="R56" s="2163"/>
      <c r="S56" s="552"/>
      <c r="T56" s="552"/>
      <c r="U56" s="552"/>
      <c r="V56" s="552"/>
      <c r="W56" s="2164"/>
      <c r="Y56" s="1495"/>
      <c r="Z56" s="1495"/>
      <c r="AA56" s="1495"/>
      <c r="AB56" s="1495"/>
      <c r="AC56" s="1495"/>
      <c r="AD56" s="1495"/>
      <c r="AE56" s="1495"/>
      <c r="AF56" s="1495"/>
      <c r="AG56" s="1495"/>
      <c r="AH56" s="1495"/>
      <c r="AI56" s="1495"/>
      <c r="AJ56" s="1495"/>
      <c r="AK56" s="1495"/>
      <c r="AL56" s="1495"/>
      <c r="AM56" s="1495"/>
      <c r="AN56" s="1495"/>
      <c r="AO56" s="1495"/>
      <c r="AP56" s="1495"/>
      <c r="AQ56" s="1495"/>
    </row>
    <row s="13073" customFormat="1" customHeight="1" ht="17.25" hidden="1">
      <c r="A57" s="544"/>
      <c r="C57" s="543"/>
      <c r="D57" s="2279"/>
      <c r="E57" s="2281"/>
      <c r="F57" s="2284"/>
      <c r="G57" s="2281"/>
      <c r="H57" s="1527"/>
      <c r="I57" s="2165"/>
      <c r="J57" s="2165"/>
      <c r="K57" s="2165"/>
      <c r="L57" s="2165"/>
      <c r="M57" s="2165"/>
      <c r="N57" s="2165"/>
      <c r="O57" s="2165"/>
      <c r="P57" s="2165"/>
      <c r="Q57" s="2165"/>
      <c r="R57" s="2165"/>
      <c r="S57" s="1529"/>
      <c r="T57" s="1529"/>
      <c r="U57" s="1529"/>
      <c r="V57" s="1529"/>
      <c r="W57" s="2166"/>
      <c r="X57" s="1494"/>
      <c r="Y57" s="1494"/>
      <c r="Z57" s="1494"/>
      <c r="AA57" s="1494"/>
      <c r="AB57" s="1494"/>
      <c r="AC57" s="1494"/>
      <c r="AD57" s="1494"/>
      <c r="AE57" s="1494"/>
      <c r="AF57" s="1494"/>
      <c r="AG57" s="1494"/>
      <c r="AH57" s="1494"/>
      <c r="AI57" s="1494"/>
      <c r="AJ57" s="1494"/>
      <c r="AK57" s="1494"/>
      <c r="AL57" s="1494"/>
      <c r="AM57" s="1494"/>
      <c r="AN57" s="1494"/>
      <c r="AO57" s="1494"/>
      <c r="AP57" s="1494"/>
      <c r="AQ57" s="1494"/>
    </row>
    <row s="13073" customFormat="1" customHeight="1" ht="17.25" hidden="1">
      <c r="A58" s="544"/>
      <c r="C58" s="432"/>
      <c r="D58" s="2278">
        <v>10</v>
      </c>
      <c r="E58" s="2280" t="s">
        <v>207</v>
      </c>
      <c r="F58" s="2282" t="s">
        <v>56</v>
      </c>
      <c r="G58" s="2280"/>
      <c r="H58" s="2285"/>
      <c r="I58" s="2287"/>
      <c r="J58" s="2289"/>
      <c r="K58" s="2272"/>
      <c r="L58" s="2272"/>
      <c r="M58" s="2272"/>
      <c r="N58" s="2274"/>
      <c r="O58" s="2272"/>
      <c r="P58" s="2272"/>
      <c r="Q58" s="2272"/>
      <c r="R58" s="2277"/>
      <c r="S58" s="2272"/>
      <c r="T58" s="2160"/>
      <c r="U58" s="2160"/>
      <c r="V58" s="2162"/>
      <c r="W58" s="1524"/>
      <c r="X58" s="1495"/>
      <c r="Y58" s="1495"/>
      <c r="Z58" s="1495"/>
      <c r="AA58" s="1495"/>
      <c r="AB58" s="1495"/>
      <c r="AC58" s="1495" t="s">
        <v>208</v>
      </c>
      <c r="AD58" s="1495" t="s">
        <v>209</v>
      </c>
      <c r="AE58" s="1495" t="s">
        <v>210</v>
      </c>
      <c r="AF58" s="1495" t="s">
        <v>211</v>
      </c>
      <c r="AG58" s="1495" t="s">
        <v>212</v>
      </c>
      <c r="AH58" s="1495" t="str">
        <f>IF($E$58=0,"",$E$58)</f>
        <v>Предельный уровень цены на тепловую энергию (мощность), поставляемую теплоснабжающими организациями потребителям</v>
      </c>
      <c r="AI58" s="1495" t="str">
        <f>IF($G$58=0,"",$G$58)</f>
        <v/>
      </c>
      <c r="AJ58" s="1495" t="str">
        <f>IF($J$58=0,"",$J$58)</f>
        <v/>
      </c>
      <c r="AK58" s="1495" t="str">
        <f>IF($K$58="нет","без дифференциации",IF($N$58=0,"",$N$58))</f>
        <v/>
      </c>
      <c r="AL58" s="1495" t="str">
        <f>IF($O$58="нет","без дифференциации",IF($R$58=0,"",$R$58))</f>
        <v/>
      </c>
      <c r="AM58" s="1495" t="str">
        <f>IF($S$58="нет","без дифференциации",IF($V$58=0,"",$V$58))</f>
        <v/>
      </c>
      <c r="AN58" s="2000">
        <f>$I$58</f>
        <v>0</v>
      </c>
      <c r="AO58" s="1495" t="str">
        <f>$I$58&amp;"."&amp;$M$58</f>
        <v>.</v>
      </c>
      <c r="AP58" s="1494" t="str">
        <f>$I$58&amp;"."&amp;$M$58&amp;"."&amp;$Q$58</f>
        <v>..</v>
      </c>
      <c r="AQ58" s="1494" t="str">
        <f>$I$58&amp;"."&amp;$M$58&amp;"."&amp;$Q$58&amp;"."&amp;$U$58</f>
        <v>...</v>
      </c>
    </row>
    <row s="13073" customFormat="1" customHeight="1" ht="17.25" hidden="1">
      <c r="A59" s="544"/>
      <c r="C59" s="543"/>
      <c r="D59" s="2278"/>
      <c r="E59" s="2280"/>
      <c r="F59" s="2283"/>
      <c r="G59" s="2280"/>
      <c r="H59" s="2286"/>
      <c r="I59" s="2288"/>
      <c r="J59" s="2290"/>
      <c r="K59" s="2273"/>
      <c r="L59" s="2273"/>
      <c r="M59" s="2273"/>
      <c r="N59" s="2275"/>
      <c r="O59" s="2273"/>
      <c r="P59" s="2273"/>
      <c r="Q59" s="2273"/>
      <c r="R59" s="2276"/>
      <c r="S59" s="2273"/>
      <c r="T59" s="2163"/>
      <c r="U59" s="2163"/>
      <c r="V59" s="2163"/>
      <c r="W59" s="2164"/>
      <c r="X59" s="1494"/>
      <c r="Y59" s="1494"/>
      <c r="Z59" s="1494"/>
      <c r="AA59" s="1494"/>
      <c r="AB59" s="1494"/>
      <c r="AC59" s="1494"/>
      <c r="AD59" s="1494"/>
      <c r="AE59" s="1494"/>
      <c r="AF59" s="1494"/>
      <c r="AG59" s="1494"/>
      <c r="AH59" s="1494"/>
      <c r="AI59" s="1494"/>
      <c r="AJ59" s="1494"/>
      <c r="AK59" s="1494"/>
      <c r="AL59" s="1494"/>
      <c r="AM59" s="1494"/>
      <c r="AN59" s="1494"/>
      <c r="AO59" s="1494"/>
      <c r="AP59" s="1494"/>
      <c r="AQ59" s="1494"/>
    </row>
    <row s="13073" customFormat="1" customHeight="1" ht="17.25" hidden="1">
      <c r="A60" s="544"/>
      <c r="C60" s="543"/>
      <c r="D60" s="2279"/>
      <c r="E60" s="2281"/>
      <c r="F60" s="2283"/>
      <c r="G60" s="2281"/>
      <c r="H60" s="2286"/>
      <c r="I60" s="2288"/>
      <c r="J60" s="2291"/>
      <c r="K60" s="2273"/>
      <c r="L60" s="2273"/>
      <c r="M60" s="2273"/>
      <c r="N60" s="2276"/>
      <c r="O60" s="2273"/>
      <c r="P60" s="2161"/>
      <c r="Q60" s="2163"/>
      <c r="R60" s="2163"/>
      <c r="S60" s="552"/>
      <c r="T60" s="552"/>
      <c r="U60" s="552"/>
      <c r="V60" s="552"/>
      <c r="W60" s="2164"/>
      <c r="X60" s="1494"/>
      <c r="Y60" s="1494"/>
      <c r="Z60" s="1494"/>
      <c r="AA60" s="1494"/>
      <c r="AB60" s="1494"/>
      <c r="AC60" s="1494"/>
      <c r="AD60" s="1494"/>
      <c r="AE60" s="1494"/>
      <c r="AF60" s="1494"/>
      <c r="AG60" s="1494"/>
      <c r="AH60" s="1494"/>
      <c r="AI60" s="1494"/>
      <c r="AJ60" s="1494"/>
      <c r="AK60" s="1494"/>
      <c r="AL60" s="1494"/>
      <c r="AM60" s="1494"/>
      <c r="AN60" s="1494"/>
      <c r="AO60" s="1494"/>
      <c r="AP60" s="1494"/>
      <c r="AQ60" s="1494"/>
    </row>
    <row s="13073" customFormat="1" customHeight="1" ht="17.25" hidden="1">
      <c r="A61" s="544"/>
      <c r="C61" s="432"/>
      <c r="D61" s="2279"/>
      <c r="E61" s="2281"/>
      <c r="F61" s="2283"/>
      <c r="G61" s="2281"/>
      <c r="H61" s="2286"/>
      <c r="I61" s="2288"/>
      <c r="J61" s="2291"/>
      <c r="K61" s="2273"/>
      <c r="L61" s="2163"/>
      <c r="M61" s="2163"/>
      <c r="N61" s="2163"/>
      <c r="O61" s="2163"/>
      <c r="P61" s="2163"/>
      <c r="Q61" s="2163"/>
      <c r="R61" s="2163"/>
      <c r="S61" s="552"/>
      <c r="T61" s="552"/>
      <c r="U61" s="552"/>
      <c r="V61" s="552"/>
      <c r="W61" s="2164"/>
      <c r="Y61" s="1495"/>
      <c r="Z61" s="1495"/>
      <c r="AA61" s="1495"/>
      <c r="AB61" s="1495"/>
      <c r="AC61" s="1495"/>
      <c r="AD61" s="1495"/>
      <c r="AE61" s="1495"/>
      <c r="AF61" s="1495"/>
      <c r="AG61" s="1495"/>
      <c r="AH61" s="1495"/>
      <c r="AI61" s="1495"/>
      <c r="AJ61" s="1495"/>
      <c r="AK61" s="1495"/>
      <c r="AL61" s="1495"/>
      <c r="AM61" s="1495"/>
      <c r="AN61" s="1495"/>
      <c r="AO61" s="1495"/>
      <c r="AP61" s="1495"/>
      <c r="AQ61" s="1495"/>
    </row>
    <row s="13073" customFormat="1" customHeight="1" ht="17.25" hidden="1">
      <c r="A62" s="544"/>
      <c r="C62" s="543"/>
      <c r="D62" s="2279"/>
      <c r="E62" s="2281"/>
      <c r="F62" s="2284"/>
      <c r="G62" s="2281"/>
      <c r="H62" s="1527"/>
      <c r="I62" s="2165"/>
      <c r="J62" s="2165"/>
      <c r="K62" s="2165"/>
      <c r="L62" s="2165"/>
      <c r="M62" s="2165"/>
      <c r="N62" s="2165"/>
      <c r="O62" s="2165"/>
      <c r="P62" s="2165"/>
      <c r="Q62" s="2165"/>
      <c r="R62" s="2165"/>
      <c r="S62" s="1529"/>
      <c r="T62" s="1529"/>
      <c r="U62" s="1529"/>
      <c r="V62" s="1529"/>
      <c r="W62" s="2166"/>
      <c r="X62" s="1494"/>
      <c r="Y62" s="1494"/>
      <c r="Z62" s="1494"/>
      <c r="AA62" s="1494"/>
      <c r="AB62" s="1494"/>
      <c r="AC62" s="1494"/>
      <c r="AD62" s="1494"/>
      <c r="AE62" s="1494"/>
      <c r="AF62" s="1494"/>
      <c r="AG62" s="1494"/>
      <c r="AH62" s="1494"/>
      <c r="AI62" s="1494"/>
      <c r="AJ62" s="1494"/>
      <c r="AK62" s="1494"/>
      <c r="AL62" s="1494"/>
      <c r="AM62" s="1494"/>
      <c r="AN62" s="1494"/>
      <c r="AO62" s="1494"/>
      <c r="AP62" s="1494"/>
      <c r="AQ62" s="1494"/>
    </row>
    <row customHeight="1" ht="11.25" hidden="1"/>
    <row customHeight="1" ht="11.25" hidden="1">
      <c r="E64" s="2294" t="s">
        <v>213</v>
      </c>
      <c r="F64" s="2294"/>
      <c r="G64" s="2294"/>
      <c r="H64" s="2294"/>
      <c r="I64" s="2294"/>
      <c r="J64" s="2294"/>
      <c r="K64" s="2294"/>
      <c r="L64" s="2294"/>
      <c r="M64" s="2294"/>
      <c r="N64" s="2294"/>
      <c r="O64" s="2294"/>
      <c r="P64" s="2294"/>
      <c r="Q64" s="2294"/>
      <c r="R64" s="2294"/>
      <c r="S64" s="2294"/>
      <c r="T64" s="2294"/>
      <c r="U64" s="2294"/>
      <c r="V64" s="2294"/>
      <c r="W64" s="2294"/>
    </row>
    <row customHeight="1" ht="36.75" hidden="1">
      <c r="E65" s="2292" t="s">
        <v>214</v>
      </c>
      <c r="F65" s="2292"/>
      <c r="G65" s="2293"/>
      <c r="H65" s="2293"/>
      <c r="I65" s="2293"/>
      <c r="J65" s="2293"/>
      <c r="K65" s="2293"/>
      <c r="L65" s="2293"/>
      <c r="M65" s="2293"/>
      <c r="N65" s="2293"/>
      <c r="O65" s="2293"/>
      <c r="P65" s="2293"/>
      <c r="Q65" s="2293"/>
      <c r="R65" s="2293"/>
      <c r="S65" s="2293"/>
      <c r="T65" s="2293"/>
      <c r="U65" s="2293"/>
      <c r="V65" s="2293"/>
      <c r="W65" s="2293"/>
    </row>
    <row customHeight="1" ht="28.5" hidden="1">
      <c r="E66" s="2292" t="s">
        <v>215</v>
      </c>
      <c r="F66" s="2292"/>
      <c r="G66" s="2293"/>
      <c r="H66" s="2293"/>
      <c r="I66" s="2293"/>
      <c r="J66" s="2293"/>
      <c r="K66" s="2293"/>
      <c r="L66" s="2293"/>
      <c r="M66" s="2293"/>
      <c r="N66" s="2293"/>
      <c r="O66" s="2293"/>
      <c r="P66" s="2293"/>
      <c r="Q66" s="2293"/>
      <c r="R66" s="2293"/>
      <c r="S66" s="2293"/>
      <c r="T66" s="2293"/>
      <c r="U66" s="2293"/>
      <c r="V66" s="2293"/>
      <c r="W66" s="2293"/>
    </row>
    <row customHeight="1" ht="27" hidden="1">
      <c r="E67" s="2292" t="s">
        <v>216</v>
      </c>
      <c r="F67" s="2292"/>
      <c r="G67" s="2293"/>
      <c r="H67" s="2293"/>
      <c r="I67" s="2293"/>
      <c r="J67" s="2293"/>
      <c r="K67" s="2293"/>
      <c r="L67" s="2293"/>
      <c r="M67" s="2293"/>
      <c r="N67" s="2293"/>
      <c r="O67" s="2293"/>
      <c r="P67" s="2293"/>
      <c r="Q67" s="2293"/>
      <c r="R67" s="2293"/>
      <c r="S67" s="2293"/>
      <c r="T67" s="2293"/>
      <c r="U67" s="2293"/>
      <c r="V67" s="2293"/>
      <c r="W67" s="2293"/>
    </row>
    <row customHeight="1" ht="17.25" hidden="1">
      <c r="E68" s="2292" t="s">
        <v>217</v>
      </c>
      <c r="F68" s="2292"/>
      <c r="G68" s="2293"/>
      <c r="H68" s="2293"/>
      <c r="I68" s="2293"/>
      <c r="J68" s="2293"/>
      <c r="K68" s="2293"/>
      <c r="L68" s="2293"/>
      <c r="M68" s="2293"/>
      <c r="N68" s="2293"/>
      <c r="O68" s="2293"/>
      <c r="P68" s="2293"/>
      <c r="Q68" s="2293"/>
      <c r="R68" s="2293"/>
      <c r="S68" s="2293"/>
      <c r="T68" s="2293"/>
      <c r="U68" s="2293"/>
      <c r="V68" s="2293"/>
      <c r="W68" s="2293"/>
    </row>
    <row customHeight="1" ht="15" hidden="1">
      <c r="E69" s="563"/>
      <c r="F69" s="1513"/>
      <c r="G69" s="381"/>
      <c r="H69" s="381"/>
      <c r="I69" s="381"/>
      <c r="J69" s="381"/>
      <c r="K69" s="381"/>
      <c r="L69" s="381"/>
      <c r="M69" s="381"/>
      <c r="N69" s="381"/>
      <c r="O69" s="381"/>
      <c r="P69" s="381"/>
      <c r="Q69" s="381"/>
      <c r="R69" s="381"/>
      <c r="S69" s="381"/>
      <c r="T69" s="381"/>
      <c r="U69" s="381"/>
      <c r="V69" s="381"/>
      <c r="W69" s="381"/>
    </row>
    <row customHeight="1" ht="15" hidden="1">
      <c r="E70" s="2294" t="s">
        <v>218</v>
      </c>
      <c r="F70" s="2294"/>
      <c r="G70" s="2294"/>
      <c r="H70" s="2294"/>
      <c r="I70" s="2294"/>
      <c r="J70" s="2294"/>
      <c r="K70" s="2294"/>
      <c r="L70" s="2294"/>
      <c r="M70" s="2294"/>
      <c r="N70" s="2294"/>
      <c r="O70" s="2294"/>
      <c r="P70" s="2294"/>
      <c r="Q70" s="2294"/>
      <c r="R70" s="2294"/>
      <c r="S70" s="2294"/>
      <c r="T70" s="2294"/>
      <c r="U70" s="2294"/>
      <c r="V70" s="2294"/>
      <c r="W70" s="2294"/>
    </row>
    <row customHeight="1" ht="17.25" hidden="1">
      <c r="E71" s="2292" t="s">
        <v>219</v>
      </c>
      <c r="F71" s="2292"/>
      <c r="G71" s="2293"/>
      <c r="H71" s="2293"/>
      <c r="I71" s="2293"/>
      <c r="J71" s="2293"/>
      <c r="K71" s="2293"/>
      <c r="L71" s="2293"/>
      <c r="M71" s="2293"/>
      <c r="N71" s="2293"/>
      <c r="O71" s="2293"/>
      <c r="P71" s="2293"/>
      <c r="Q71" s="2293"/>
      <c r="R71" s="2293"/>
      <c r="S71" s="2293"/>
      <c r="T71" s="2293"/>
      <c r="U71" s="2293"/>
      <c r="V71" s="2293"/>
      <c r="W71" s="2293"/>
    </row>
    <row customHeight="1" ht="17.25" hidden="1">
      <c r="E72" s="2292" t="s">
        <v>220</v>
      </c>
      <c r="F72" s="2292"/>
      <c r="G72" s="2293"/>
      <c r="H72" s="2293"/>
      <c r="I72" s="2293"/>
      <c r="J72" s="2293"/>
      <c r="K72" s="2293"/>
      <c r="L72" s="2293"/>
      <c r="M72" s="2293"/>
      <c r="N72" s="2293"/>
      <c r="O72" s="2293"/>
      <c r="P72" s="2293"/>
      <c r="Q72" s="2293"/>
      <c r="R72" s="2293"/>
      <c r="S72" s="2293"/>
      <c r="T72" s="2293"/>
      <c r="U72" s="2293"/>
      <c r="V72" s="2293"/>
      <c r="W72" s="2293"/>
    </row>
    <row s="13087" customFormat="1" customHeight="1" ht="11.25" hidden="1">
      <c r="A73" s="500"/>
      <c r="B73" s="500"/>
      <c r="Y73" s="1487"/>
      <c r="Z73" s="1487"/>
      <c r="AA73" s="1487"/>
      <c r="AB73" s="1487"/>
      <c r="AC73" s="1487"/>
      <c r="AD73" s="1487"/>
      <c r="AE73" s="1487"/>
      <c r="AF73" s="1487"/>
      <c r="AG73" s="1487"/>
      <c r="AH73" s="1487"/>
      <c r="AI73" s="1487"/>
      <c r="AJ73" s="1487"/>
      <c r="AK73" s="1487"/>
      <c r="AL73" s="1487"/>
      <c r="AM73" s="1487"/>
      <c r="AN73" s="1487"/>
      <c r="AO73" s="1487"/>
      <c r="AP73" s="1487"/>
      <c r="AQ73" s="1487"/>
    </row>
    <row s="13087" customFormat="1" customHeight="1" ht="17.25" hidden="1">
      <c r="A74" s="544"/>
      <c r="C74" s="432"/>
      <c r="D74" s="2278">
        <v>1</v>
      </c>
      <c r="E74" s="2280" t="s">
        <v>221</v>
      </c>
      <c r="F74" s="2282" t="s">
        <v>56</v>
      </c>
      <c r="G74" s="2280"/>
      <c r="H74" s="2285"/>
      <c r="I74" s="2287"/>
      <c r="J74" s="2289"/>
      <c r="K74" s="2272"/>
      <c r="L74" s="2272"/>
      <c r="M74" s="2272"/>
      <c r="N74" s="2274"/>
      <c r="O74" s="2272"/>
      <c r="P74" s="2272"/>
      <c r="Q74" s="2272"/>
      <c r="R74" s="2277"/>
      <c r="S74" s="2272"/>
      <c r="T74" s="1698"/>
      <c r="U74" s="1698"/>
      <c r="V74" s="1700"/>
      <c r="W74" s="1524"/>
      <c r="Y74" s="1495"/>
      <c r="Z74" s="1495"/>
      <c r="AA74" s="1495"/>
      <c r="AB74" s="1495"/>
      <c r="AC74" s="1495" t="s">
        <v>222</v>
      </c>
      <c r="AD74" s="1495" t="s">
        <v>223</v>
      </c>
      <c r="AE74" s="1495" t="s">
        <v>224</v>
      </c>
      <c r="AF74" s="1495" t="s">
        <v>225</v>
      </c>
      <c r="AG74" s="1495"/>
      <c r="AH74" s="1495" t="str">
        <f>IF($E$74=0,"",$E$74)</f>
        <v>Тариф на питьевую воду (питьевое водоснабжение)</v>
      </c>
      <c r="AI74" s="1495" t="str">
        <f>IF($G$74=0,"",$G$74)</f>
        <v/>
      </c>
      <c r="AJ74" s="1495" t="str">
        <f>IF($J$74=0,"",$J$74)</f>
        <v/>
      </c>
      <c r="AK74" s="1495" t="str">
        <f>IF($K$74="нет","без дифференциации",IF($N$74=0,"",$N$74))</f>
        <v/>
      </c>
      <c r="AL74" s="1495" t="str">
        <f>IF($O$74="нет","без дифференциации",IF($R$74=0,"",$R$74))</f>
        <v/>
      </c>
      <c r="AM74" s="1495" t="str">
        <f>IF($S$74="нет","без дифференциации",IF($V$74=0,"",$V$74))</f>
        <v/>
      </c>
      <c r="AN74" s="1495">
        <f>$I$74</f>
        <v>0</v>
      </c>
      <c r="AO74" s="1495" t="str">
        <f>$I$74&amp;"."&amp;$M$74</f>
        <v>.</v>
      </c>
      <c r="AP74" s="1495" t="str">
        <f>$I$74&amp;"."&amp;$M$74&amp;"."&amp;$Q$74</f>
        <v>..</v>
      </c>
      <c r="AQ74" s="1495" t="str">
        <f>$I$74&amp;"."&amp;$M$74&amp;"."&amp;$Q$74&amp;"."&amp;$U$74</f>
        <v>...</v>
      </c>
    </row>
    <row s="13087" customFormat="1" customHeight="1" ht="17.25" hidden="1">
      <c r="A75" s="544"/>
      <c r="C75" s="543"/>
      <c r="D75" s="2278"/>
      <c r="E75" s="2280"/>
      <c r="F75" s="2283"/>
      <c r="G75" s="2280"/>
      <c r="H75" s="2286"/>
      <c r="I75" s="2288"/>
      <c r="J75" s="2290"/>
      <c r="K75" s="2273"/>
      <c r="L75" s="2273"/>
      <c r="M75" s="2273"/>
      <c r="N75" s="2275"/>
      <c r="O75" s="2273"/>
      <c r="P75" s="2273"/>
      <c r="Q75" s="2273"/>
      <c r="R75" s="2276"/>
      <c r="S75" s="2273"/>
      <c r="T75" s="1525"/>
      <c r="U75" s="1525"/>
      <c r="V75" s="1525"/>
      <c r="W75" s="1526"/>
      <c r="Y75" s="1487"/>
      <c r="Z75" s="1487"/>
      <c r="AA75" s="1487"/>
      <c r="AB75" s="1487"/>
      <c r="AC75" s="1487"/>
      <c r="AD75" s="1487"/>
      <c r="AE75" s="1487"/>
      <c r="AF75" s="1487"/>
      <c r="AG75" s="1487"/>
      <c r="AH75" s="1487"/>
      <c r="AI75" s="1487"/>
      <c r="AJ75" s="1487"/>
      <c r="AK75" s="1487"/>
      <c r="AL75" s="1487"/>
      <c r="AM75" s="1487"/>
      <c r="AN75" s="1487"/>
      <c r="AO75" s="1487"/>
      <c r="AP75" s="1487"/>
      <c r="AQ75" s="1487"/>
    </row>
    <row s="13089" customFormat="1" customHeight="1" ht="17.25" hidden="1">
      <c r="A76" s="544"/>
      <c r="C76" s="432"/>
      <c r="D76" s="2278"/>
      <c r="E76" s="2280"/>
      <c r="F76" s="2283"/>
      <c r="G76" s="2280"/>
      <c r="H76" s="2286"/>
      <c r="I76" s="2288"/>
      <c r="J76" s="2291"/>
      <c r="K76" s="2273"/>
      <c r="L76" s="2273"/>
      <c r="M76" s="2273"/>
      <c r="N76" s="2276"/>
      <c r="O76" s="2273"/>
      <c r="P76" s="1699"/>
      <c r="Q76" s="1525"/>
      <c r="R76" s="1525"/>
      <c r="S76" s="552"/>
      <c r="T76" s="552"/>
      <c r="U76" s="552"/>
      <c r="V76" s="552"/>
      <c r="W76" s="1526"/>
      <c r="Y76" s="1495"/>
      <c r="Z76" s="1495"/>
      <c r="AA76" s="1495"/>
      <c r="AB76" s="1495"/>
      <c r="AC76" s="1495"/>
      <c r="AD76" s="1495"/>
      <c r="AE76" s="1495"/>
      <c r="AF76" s="1495"/>
      <c r="AG76" s="1495"/>
      <c r="AH76" s="1495"/>
      <c r="AI76" s="1495"/>
      <c r="AJ76" s="1495"/>
      <c r="AK76" s="1495"/>
      <c r="AL76" s="1495"/>
      <c r="AM76" s="1495"/>
      <c r="AN76" s="1495"/>
      <c r="AO76" s="1495"/>
      <c r="AP76" s="1495"/>
      <c r="AQ76" s="1495"/>
    </row>
    <row s="13089" customFormat="1" customHeight="1" ht="17.25" hidden="1">
      <c r="A77" s="544"/>
      <c r="C77" s="543"/>
      <c r="D77" s="2278"/>
      <c r="E77" s="2280"/>
      <c r="F77" s="2283"/>
      <c r="G77" s="2280"/>
      <c r="H77" s="2286"/>
      <c r="I77" s="2288"/>
      <c r="J77" s="2291"/>
      <c r="K77" s="2273"/>
      <c r="L77" s="1525"/>
      <c r="M77" s="1525"/>
      <c r="N77" s="1525"/>
      <c r="O77" s="1525"/>
      <c r="P77" s="1525"/>
      <c r="Q77" s="1525"/>
      <c r="R77" s="1525"/>
      <c r="S77" s="552"/>
      <c r="T77" s="552"/>
      <c r="U77" s="552"/>
      <c r="V77" s="552"/>
      <c r="W77" s="1526"/>
      <c r="Y77" s="1487"/>
      <c r="Z77" s="1487"/>
      <c r="AA77" s="1487"/>
      <c r="AB77" s="1487"/>
      <c r="AC77" s="1487"/>
      <c r="AD77" s="1487"/>
      <c r="AE77" s="1487"/>
      <c r="AF77" s="1487"/>
      <c r="AG77" s="1487"/>
      <c r="AH77" s="1487"/>
      <c r="AI77" s="1487"/>
      <c r="AJ77" s="1487"/>
      <c r="AK77" s="1487"/>
      <c r="AL77" s="1487"/>
      <c r="AM77" s="1487"/>
      <c r="AN77" s="1487"/>
      <c r="AO77" s="1487"/>
      <c r="AP77" s="1487"/>
      <c r="AQ77" s="1487"/>
    </row>
    <row s="13087" customFormat="1" customHeight="1" ht="17.25" hidden="1">
      <c r="A78" s="544"/>
      <c r="C78" s="543"/>
      <c r="D78" s="2279"/>
      <c r="E78" s="2281"/>
      <c r="F78" s="2284"/>
      <c r="G78" s="2281"/>
      <c r="H78" s="1527"/>
      <c r="I78" s="1528"/>
      <c r="J78" s="1528"/>
      <c r="K78" s="1528"/>
      <c r="L78" s="1528"/>
      <c r="M78" s="1528"/>
      <c r="N78" s="1528"/>
      <c r="O78" s="1528"/>
      <c r="P78" s="1528"/>
      <c r="Q78" s="1528"/>
      <c r="R78" s="1528"/>
      <c r="S78" s="1529"/>
      <c r="T78" s="1529"/>
      <c r="U78" s="1529"/>
      <c r="V78" s="1529"/>
      <c r="W78" s="1530"/>
      <c r="Y78" s="1487"/>
      <c r="Z78" s="1487"/>
      <c r="AA78" s="1487"/>
      <c r="AB78" s="1487"/>
      <c r="AC78" s="1487"/>
      <c r="AD78" s="1487"/>
      <c r="AE78" s="1487"/>
      <c r="AF78" s="1487"/>
      <c r="AG78" s="1487"/>
      <c r="AH78" s="1487"/>
      <c r="AI78" s="1487"/>
      <c r="AJ78" s="1487"/>
      <c r="AK78" s="1487"/>
      <c r="AL78" s="1487"/>
      <c r="AM78" s="1487"/>
      <c r="AN78" s="1487"/>
      <c r="AO78" s="1487"/>
      <c r="AP78" s="1487"/>
      <c r="AQ78" s="1487"/>
    </row>
    <row s="13087" customFormat="1" customHeight="1" ht="17.25" hidden="1">
      <c r="A79" s="544"/>
      <c r="C79" s="432"/>
      <c r="D79" s="2278">
        <v>2</v>
      </c>
      <c r="E79" s="2280" t="s">
        <v>226</v>
      </c>
      <c r="F79" s="2282" t="s">
        <v>56</v>
      </c>
      <c r="G79" s="2280"/>
      <c r="H79" s="2285"/>
      <c r="I79" s="2287"/>
      <c r="J79" s="2289"/>
      <c r="K79" s="2272"/>
      <c r="L79" s="2272"/>
      <c r="M79" s="2272"/>
      <c r="N79" s="2274"/>
      <c r="O79" s="2272"/>
      <c r="P79" s="2272"/>
      <c r="Q79" s="2272"/>
      <c r="R79" s="2277"/>
      <c r="S79" s="2272"/>
      <c r="T79" s="1671"/>
      <c r="U79" s="1671"/>
      <c r="V79" s="1673"/>
      <c r="W79" s="1524"/>
      <c r="X79" s="1495"/>
      <c r="Y79" s="1495"/>
      <c r="Z79" s="1495"/>
      <c r="AA79" s="1495"/>
      <c r="AB79" s="1495"/>
      <c r="AC79" s="1495" t="s">
        <v>227</v>
      </c>
      <c r="AD79" s="1495" t="s">
        <v>228</v>
      </c>
      <c r="AE79" s="1495" t="s">
        <v>229</v>
      </c>
      <c r="AF79" s="1495" t="s">
        <v>230</v>
      </c>
      <c r="AG79" s="1495"/>
      <c r="AH79" s="1495" t="str">
        <f>IF($E$79=0,"",$E$79)</f>
        <v>Тариф на техническую воду</v>
      </c>
      <c r="AI79" s="1495" t="str">
        <f>IF($G$79=0,"",$G$79)</f>
        <v/>
      </c>
      <c r="AJ79" s="1495" t="str">
        <f>IF($J$79=0,"",$J$79)</f>
        <v/>
      </c>
      <c r="AK79" s="1495" t="str">
        <f>IF($K$79="нет","без дифференциации",IF($N$79=0,"",$N$79))</f>
        <v/>
      </c>
      <c r="AL79" s="1495" t="str">
        <f>IF($O$79="нет","без дифференциации",IF($R$79=0,"",$R$79))</f>
        <v/>
      </c>
      <c r="AM79" s="1495" t="str">
        <f>IF($S$79="нет","без дифференциации",IF($V$79=0,"",$V$79))</f>
        <v/>
      </c>
      <c r="AN79" s="2000">
        <f>$I$79</f>
        <v>0</v>
      </c>
      <c r="AO79" s="1495" t="str">
        <f>$I$79&amp;"."&amp;$M$79</f>
        <v>.</v>
      </c>
      <c r="AP79" s="1487" t="str">
        <f>$I$79&amp;"."&amp;$M$79&amp;"."&amp;$Q$79</f>
        <v>..</v>
      </c>
      <c r="AQ79" s="1487" t="str">
        <f>$I$79&amp;"."&amp;$M$79&amp;"."&amp;$Q$79&amp;"."&amp;$U$79</f>
        <v>...</v>
      </c>
    </row>
    <row s="13087" customFormat="1" customHeight="1" ht="17.25" hidden="1">
      <c r="A80" s="544"/>
      <c r="C80" s="543"/>
      <c r="D80" s="2278"/>
      <c r="E80" s="2280"/>
      <c r="F80" s="2283"/>
      <c r="G80" s="2280"/>
      <c r="H80" s="2286"/>
      <c r="I80" s="2288"/>
      <c r="J80" s="2290"/>
      <c r="K80" s="2273"/>
      <c r="L80" s="2273"/>
      <c r="M80" s="2273"/>
      <c r="N80" s="2275"/>
      <c r="O80" s="2273"/>
      <c r="P80" s="2273"/>
      <c r="Q80" s="2273"/>
      <c r="R80" s="2276"/>
      <c r="S80" s="2273"/>
      <c r="T80" s="1525"/>
      <c r="U80" s="1525"/>
      <c r="V80" s="1525"/>
      <c r="W80" s="1526"/>
      <c r="X80" s="1487"/>
      <c r="Y80" s="1487"/>
      <c r="Z80" s="1487"/>
      <c r="AA80" s="1487"/>
      <c r="AB80" s="1487"/>
      <c r="AC80" s="1487"/>
      <c r="AD80" s="1487"/>
      <c r="AE80" s="1487"/>
      <c r="AF80" s="1487"/>
      <c r="AG80" s="1487"/>
      <c r="AH80" s="1487"/>
      <c r="AI80" s="1487"/>
      <c r="AJ80" s="1487"/>
      <c r="AK80" s="1487"/>
      <c r="AL80" s="1487"/>
      <c r="AM80" s="1487"/>
      <c r="AN80" s="1487"/>
      <c r="AO80" s="1487"/>
      <c r="AP80" s="1487"/>
      <c r="AQ80" s="1487"/>
    </row>
    <row s="13087" customFormat="1" customHeight="1" ht="17.25" hidden="1">
      <c r="A81" s="544"/>
      <c r="C81" s="543"/>
      <c r="D81" s="2279"/>
      <c r="E81" s="2281"/>
      <c r="F81" s="2283"/>
      <c r="G81" s="2281"/>
      <c r="H81" s="2286"/>
      <c r="I81" s="2288"/>
      <c r="J81" s="2291"/>
      <c r="K81" s="2273"/>
      <c r="L81" s="2273"/>
      <c r="M81" s="2273"/>
      <c r="N81" s="2276"/>
      <c r="O81" s="2273"/>
      <c r="P81" s="1672"/>
      <c r="Q81" s="1525"/>
      <c r="R81" s="1525"/>
      <c r="S81" s="552"/>
      <c r="T81" s="552"/>
      <c r="U81" s="552"/>
      <c r="V81" s="552"/>
      <c r="W81" s="1526"/>
      <c r="X81" s="1487"/>
      <c r="Y81" s="1487"/>
      <c r="Z81" s="1487"/>
      <c r="AA81" s="1487"/>
      <c r="AB81" s="1487"/>
      <c r="AC81" s="1487"/>
      <c r="AD81" s="1487"/>
      <c r="AE81" s="1487"/>
      <c r="AF81" s="1487"/>
      <c r="AG81" s="1487"/>
      <c r="AH81" s="1487"/>
      <c r="AI81" s="1487"/>
      <c r="AJ81" s="1487"/>
      <c r="AK81" s="1487"/>
      <c r="AL81" s="1487"/>
      <c r="AM81" s="1487"/>
      <c r="AN81" s="1487"/>
      <c r="AO81" s="1487"/>
      <c r="AP81" s="1487"/>
      <c r="AQ81" s="1487"/>
    </row>
    <row s="13087" customFormat="1" customHeight="1" ht="17.25" hidden="1">
      <c r="A82" s="544"/>
      <c r="C82" s="543"/>
      <c r="D82" s="2279"/>
      <c r="E82" s="2281"/>
      <c r="F82" s="2283"/>
      <c r="G82" s="2281"/>
      <c r="H82" s="2286"/>
      <c r="I82" s="2288"/>
      <c r="J82" s="2291"/>
      <c r="K82" s="2273"/>
      <c r="L82" s="1525"/>
      <c r="M82" s="1525"/>
      <c r="N82" s="1525"/>
      <c r="O82" s="1525"/>
      <c r="P82" s="1525"/>
      <c r="Q82" s="1525"/>
      <c r="R82" s="1525"/>
      <c r="S82" s="552"/>
      <c r="T82" s="552"/>
      <c r="U82" s="552"/>
      <c r="V82" s="552"/>
      <c r="W82" s="1526"/>
      <c r="X82" s="1487"/>
      <c r="Y82" s="1487"/>
      <c r="Z82" s="1487"/>
      <c r="AA82" s="1487"/>
      <c r="AB82" s="1487"/>
      <c r="AC82" s="1487"/>
      <c r="AD82" s="1487"/>
      <c r="AE82" s="1487"/>
      <c r="AF82" s="1487"/>
      <c r="AG82" s="1487"/>
      <c r="AH82" s="1487"/>
      <c r="AI82" s="1487"/>
      <c r="AJ82" s="1487"/>
      <c r="AK82" s="1487"/>
      <c r="AL82" s="1487"/>
      <c r="AM82" s="1487"/>
      <c r="AN82" s="1487"/>
      <c r="AO82" s="1487"/>
      <c r="AP82" s="1487"/>
      <c r="AQ82" s="1487"/>
    </row>
    <row s="13087" customFormat="1" customHeight="1" ht="17.25" hidden="1">
      <c r="A83" s="544"/>
      <c r="C83" s="543"/>
      <c r="D83" s="2279"/>
      <c r="E83" s="2281"/>
      <c r="F83" s="2284"/>
      <c r="G83" s="2281"/>
      <c r="H83" s="1527"/>
      <c r="I83" s="1528"/>
      <c r="J83" s="1528"/>
      <c r="K83" s="1528"/>
      <c r="L83" s="1528"/>
      <c r="M83" s="1528"/>
      <c r="N83" s="1528"/>
      <c r="O83" s="1528"/>
      <c r="P83" s="1528"/>
      <c r="Q83" s="1528"/>
      <c r="R83" s="1528"/>
      <c r="S83" s="1529"/>
      <c r="T83" s="1529"/>
      <c r="U83" s="1529"/>
      <c r="V83" s="1529"/>
      <c r="W83" s="1530"/>
      <c r="X83" s="1487"/>
      <c r="Y83" s="1487"/>
      <c r="Z83" s="1487"/>
      <c r="AA83" s="1487"/>
      <c r="AB83" s="1487"/>
      <c r="AC83" s="1487"/>
      <c r="AD83" s="1487"/>
      <c r="AE83" s="1487"/>
      <c r="AF83" s="1487"/>
      <c r="AG83" s="1487"/>
      <c r="AH83" s="1487"/>
      <c r="AI83" s="1487"/>
      <c r="AJ83" s="1487"/>
      <c r="AK83" s="1487"/>
      <c r="AL83" s="1487"/>
      <c r="AM83" s="1487"/>
      <c r="AN83" s="1487"/>
      <c r="AO83" s="1487"/>
      <c r="AP83" s="1487"/>
      <c r="AQ83" s="1487"/>
    </row>
    <row s="13087" customFormat="1" customHeight="1" ht="17.25" hidden="1">
      <c r="A84" s="544"/>
      <c r="C84" s="432"/>
      <c r="D84" s="2278">
        <v>3</v>
      </c>
      <c r="E84" s="2280" t="s">
        <v>231</v>
      </c>
      <c r="F84" s="2282" t="s">
        <v>56</v>
      </c>
      <c r="G84" s="2280"/>
      <c r="H84" s="2285"/>
      <c r="I84" s="2287"/>
      <c r="J84" s="2289"/>
      <c r="K84" s="2272"/>
      <c r="L84" s="2272"/>
      <c r="M84" s="2272"/>
      <c r="N84" s="2274"/>
      <c r="O84" s="2272"/>
      <c r="P84" s="2272"/>
      <c r="Q84" s="2272"/>
      <c r="R84" s="2277"/>
      <c r="S84" s="2272"/>
      <c r="T84" s="1671"/>
      <c r="U84" s="1671"/>
      <c r="V84" s="1673"/>
      <c r="W84" s="1524"/>
      <c r="X84" s="1495"/>
      <c r="Y84" s="1495"/>
      <c r="Z84" s="1495"/>
      <c r="AA84" s="1495"/>
      <c r="AB84" s="1495"/>
      <c r="AC84" s="1495" t="s">
        <v>232</v>
      </c>
      <c r="AD84" s="1495" t="s">
        <v>233</v>
      </c>
      <c r="AE84" s="1495" t="s">
        <v>234</v>
      </c>
      <c r="AF84" s="1495" t="s">
        <v>235</v>
      </c>
      <c r="AG84" s="1495"/>
      <c r="AH84" s="1495" t="str">
        <f>IF($E$84=0,"",$E$84)</f>
        <v>Тариф на транспортировку воды</v>
      </c>
      <c r="AI84" s="1495" t="str">
        <f>IF($G$84=0,"",$G$84)</f>
        <v/>
      </c>
      <c r="AJ84" s="1495" t="str">
        <f>IF($J$84=0,"",$J$84)</f>
        <v/>
      </c>
      <c r="AK84" s="1495" t="str">
        <f>IF($K$84="нет","без дифференциации",IF($N$84=0,"",$N$84))</f>
        <v/>
      </c>
      <c r="AL84" s="1495" t="str">
        <f>IF($O$84="нет","без дифференциации",IF($R$84=0,"",$R$84))</f>
        <v/>
      </c>
      <c r="AM84" s="1495" t="str">
        <f>IF($S$84="нет","без дифференциации",IF($V$84=0,"",$V$84))</f>
        <v/>
      </c>
      <c r="AN84" s="2000">
        <f>$I$84</f>
        <v>0</v>
      </c>
      <c r="AO84" s="1495" t="str">
        <f>$I$84&amp;"."&amp;$M$84</f>
        <v>.</v>
      </c>
      <c r="AP84" s="1487" t="str">
        <f>$I$84&amp;"."&amp;$M$84&amp;"."&amp;$Q$84</f>
        <v>..</v>
      </c>
      <c r="AQ84" s="1487" t="str">
        <f>$I$84&amp;"."&amp;$M$84&amp;"."&amp;$Q$84&amp;"."&amp;$U$84</f>
        <v>...</v>
      </c>
    </row>
    <row s="13087" customFormat="1" customHeight="1" ht="17.25" hidden="1">
      <c r="A85" s="544"/>
      <c r="C85" s="543"/>
      <c r="D85" s="2278"/>
      <c r="E85" s="2280"/>
      <c r="F85" s="2283"/>
      <c r="G85" s="2280"/>
      <c r="H85" s="2286"/>
      <c r="I85" s="2288"/>
      <c r="J85" s="2290"/>
      <c r="K85" s="2273"/>
      <c r="L85" s="2273"/>
      <c r="M85" s="2273"/>
      <c r="N85" s="2275"/>
      <c r="O85" s="2273"/>
      <c r="P85" s="2273"/>
      <c r="Q85" s="2273"/>
      <c r="R85" s="2276"/>
      <c r="S85" s="2273"/>
      <c r="T85" s="1525"/>
      <c r="U85" s="1525"/>
      <c r="V85" s="1525"/>
      <c r="W85" s="1526"/>
      <c r="X85" s="1487"/>
      <c r="Y85" s="1487"/>
      <c r="Z85" s="1487"/>
      <c r="AA85" s="1487"/>
      <c r="AB85" s="1487"/>
      <c r="AC85" s="1487"/>
      <c r="AD85" s="1487"/>
      <c r="AE85" s="1487"/>
      <c r="AF85" s="1487"/>
      <c r="AG85" s="1487"/>
      <c r="AH85" s="1487"/>
      <c r="AI85" s="1487"/>
      <c r="AJ85" s="1487"/>
      <c r="AK85" s="1487"/>
      <c r="AL85" s="1487"/>
      <c r="AM85" s="1487"/>
      <c r="AN85" s="1487"/>
      <c r="AO85" s="1487"/>
      <c r="AP85" s="1487"/>
      <c r="AQ85" s="1487"/>
    </row>
    <row s="13087" customFormat="1" customHeight="1" ht="17.25" hidden="1">
      <c r="A86" s="544"/>
      <c r="C86" s="543"/>
      <c r="D86" s="2279"/>
      <c r="E86" s="2281"/>
      <c r="F86" s="2283"/>
      <c r="G86" s="2281"/>
      <c r="H86" s="2286"/>
      <c r="I86" s="2288"/>
      <c r="J86" s="2291"/>
      <c r="K86" s="2273"/>
      <c r="L86" s="2273"/>
      <c r="M86" s="2273"/>
      <c r="N86" s="2276"/>
      <c r="O86" s="2273"/>
      <c r="P86" s="1672"/>
      <c r="Q86" s="1525"/>
      <c r="R86" s="1525"/>
      <c r="S86" s="552"/>
      <c r="T86" s="552"/>
      <c r="U86" s="552"/>
      <c r="V86" s="552"/>
      <c r="W86" s="1526"/>
      <c r="X86" s="1487"/>
      <c r="Y86" s="1487"/>
      <c r="Z86" s="1487"/>
      <c r="AA86" s="1487"/>
      <c r="AB86" s="1487"/>
      <c r="AC86" s="1487"/>
      <c r="AD86" s="1487"/>
      <c r="AE86" s="1487"/>
      <c r="AF86" s="1487"/>
      <c r="AG86" s="1487"/>
      <c r="AH86" s="1487"/>
      <c r="AI86" s="1487"/>
      <c r="AJ86" s="1487"/>
      <c r="AK86" s="1487"/>
      <c r="AL86" s="1487"/>
      <c r="AM86" s="1487"/>
      <c r="AN86" s="1487"/>
      <c r="AO86" s="1487"/>
      <c r="AP86" s="1487"/>
      <c r="AQ86" s="1487"/>
    </row>
    <row s="13087" customFormat="1" customHeight="1" ht="17.25" hidden="1">
      <c r="A87" s="544"/>
      <c r="C87" s="543"/>
      <c r="D87" s="2279"/>
      <c r="E87" s="2281"/>
      <c r="F87" s="2283"/>
      <c r="G87" s="2281"/>
      <c r="H87" s="2286"/>
      <c r="I87" s="2288"/>
      <c r="J87" s="2291"/>
      <c r="K87" s="2273"/>
      <c r="L87" s="1525"/>
      <c r="M87" s="1525"/>
      <c r="N87" s="1525"/>
      <c r="O87" s="1525"/>
      <c r="P87" s="1525"/>
      <c r="Q87" s="1525"/>
      <c r="R87" s="1525"/>
      <c r="S87" s="552"/>
      <c r="T87" s="552"/>
      <c r="U87" s="552"/>
      <c r="V87" s="552"/>
      <c r="W87" s="1526"/>
      <c r="X87" s="1487"/>
      <c r="Y87" s="1487"/>
      <c r="Z87" s="1487"/>
      <c r="AA87" s="1487"/>
      <c r="AB87" s="1487"/>
      <c r="AC87" s="1487"/>
      <c r="AD87" s="1487"/>
      <c r="AE87" s="1487"/>
      <c r="AF87" s="1487"/>
      <c r="AG87" s="1487"/>
      <c r="AH87" s="1487"/>
      <c r="AI87" s="1487"/>
      <c r="AJ87" s="1487"/>
      <c r="AK87" s="1487"/>
      <c r="AL87" s="1487"/>
      <c r="AM87" s="1487"/>
      <c r="AN87" s="1487"/>
      <c r="AO87" s="1487"/>
      <c r="AP87" s="1487"/>
      <c r="AQ87" s="1487"/>
    </row>
    <row s="13087" customFormat="1" customHeight="1" ht="17.25" hidden="1">
      <c r="A88" s="544"/>
      <c r="C88" s="543"/>
      <c r="D88" s="2279"/>
      <c r="E88" s="2281"/>
      <c r="F88" s="2284"/>
      <c r="G88" s="2281"/>
      <c r="H88" s="1527"/>
      <c r="I88" s="1528"/>
      <c r="J88" s="1528"/>
      <c r="K88" s="1528"/>
      <c r="L88" s="1528"/>
      <c r="M88" s="1528"/>
      <c r="N88" s="1528"/>
      <c r="O88" s="1528"/>
      <c r="P88" s="1528"/>
      <c r="Q88" s="1528"/>
      <c r="R88" s="1528"/>
      <c r="S88" s="1529"/>
      <c r="T88" s="1529"/>
      <c r="U88" s="1529"/>
      <c r="V88" s="1529"/>
      <c r="W88" s="1530"/>
      <c r="X88" s="1487"/>
      <c r="Y88" s="1487"/>
      <c r="Z88" s="1487"/>
      <c r="AA88" s="1487"/>
      <c r="AB88" s="1487"/>
      <c r="AC88" s="1487"/>
      <c r="AD88" s="1487"/>
      <c r="AE88" s="1487"/>
      <c r="AF88" s="1487"/>
      <c r="AG88" s="1487"/>
      <c r="AH88" s="1487"/>
      <c r="AI88" s="1487"/>
      <c r="AJ88" s="1487"/>
      <c r="AK88" s="1487"/>
      <c r="AL88" s="1487"/>
      <c r="AM88" s="1487"/>
      <c r="AN88" s="1487"/>
      <c r="AO88" s="1487"/>
      <c r="AP88" s="1487"/>
      <c r="AQ88" s="1487"/>
    </row>
    <row s="13087" customFormat="1" customHeight="1" ht="17.25" hidden="1">
      <c r="A89" s="544"/>
      <c r="C89" s="432"/>
      <c r="D89" s="2278">
        <v>4</v>
      </c>
      <c r="E89" s="2280" t="s">
        <v>236</v>
      </c>
      <c r="F89" s="2282" t="s">
        <v>56</v>
      </c>
      <c r="G89" s="2280"/>
      <c r="H89" s="2285"/>
      <c r="I89" s="2287"/>
      <c r="J89" s="2289"/>
      <c r="K89" s="2272"/>
      <c r="L89" s="2272"/>
      <c r="M89" s="2272"/>
      <c r="N89" s="2274"/>
      <c r="O89" s="2272"/>
      <c r="P89" s="2272"/>
      <c r="Q89" s="2272"/>
      <c r="R89" s="2277"/>
      <c r="S89" s="2272"/>
      <c r="T89" s="1671"/>
      <c r="U89" s="1671"/>
      <c r="V89" s="1673"/>
      <c r="W89" s="1524"/>
      <c r="X89" s="1495"/>
      <c r="Y89" s="1495"/>
      <c r="Z89" s="1495"/>
      <c r="AA89" s="1495"/>
      <c r="AB89" s="1495"/>
      <c r="AC89" s="1495" t="s">
        <v>237</v>
      </c>
      <c r="AD89" s="1495" t="s">
        <v>238</v>
      </c>
      <c r="AE89" s="1495" t="s">
        <v>239</v>
      </c>
      <c r="AF89" s="1495" t="s">
        <v>240</v>
      </c>
      <c r="AG89" s="1495"/>
      <c r="AH89" s="1495" t="str">
        <f>IF($E$89=0,"",$E$89)</f>
        <v>Тариф на подвоз воды</v>
      </c>
      <c r="AI89" s="1495" t="str">
        <f>IF($G$89=0,"",$G$89)</f>
        <v/>
      </c>
      <c r="AJ89" s="1495" t="str">
        <f>IF($J$89=0,"",$J$89)</f>
        <v/>
      </c>
      <c r="AK89" s="1495" t="str">
        <f>IF($K$89="нет","без дифференциации",IF($N$89=0,"",$N$89))</f>
        <v/>
      </c>
      <c r="AL89" s="1495" t="str">
        <f>IF($O$89="нет","без дифференциации",IF($R$89=0,"",$R$89))</f>
        <v/>
      </c>
      <c r="AM89" s="1495" t="str">
        <f>IF($S$89="нет","без дифференциации",IF($V$89=0,"",$V$89))</f>
        <v/>
      </c>
      <c r="AN89" s="2000">
        <f>$I$89</f>
        <v>0</v>
      </c>
      <c r="AO89" s="1495" t="str">
        <f>$I$89&amp;"."&amp;$M$89</f>
        <v>.</v>
      </c>
      <c r="AP89" s="1487" t="str">
        <f>$I$89&amp;"."&amp;$M$89&amp;"."&amp;$Q$89</f>
        <v>..</v>
      </c>
      <c r="AQ89" s="1487" t="str">
        <f>$I$89&amp;"."&amp;$M$89&amp;"."&amp;$Q$89&amp;"."&amp;$U$89</f>
        <v>...</v>
      </c>
    </row>
    <row s="13087" customFormat="1" customHeight="1" ht="17.25" hidden="1">
      <c r="A90" s="544"/>
      <c r="C90" s="543"/>
      <c r="D90" s="2278"/>
      <c r="E90" s="2280"/>
      <c r="F90" s="2283"/>
      <c r="G90" s="2280"/>
      <c r="H90" s="2286"/>
      <c r="I90" s="2288"/>
      <c r="J90" s="2290"/>
      <c r="K90" s="2273"/>
      <c r="L90" s="2273"/>
      <c r="M90" s="2273"/>
      <c r="N90" s="2275"/>
      <c r="O90" s="2273"/>
      <c r="P90" s="2273"/>
      <c r="Q90" s="2273"/>
      <c r="R90" s="2276"/>
      <c r="S90" s="2273"/>
      <c r="T90" s="1525"/>
      <c r="U90" s="1525"/>
      <c r="V90" s="1525"/>
      <c r="W90" s="1526"/>
      <c r="X90" s="1487"/>
      <c r="Y90" s="1487"/>
      <c r="Z90" s="1487"/>
      <c r="AA90" s="1487"/>
      <c r="AB90" s="1487"/>
      <c r="AC90" s="1487"/>
      <c r="AD90" s="1487"/>
      <c r="AE90" s="1487"/>
      <c r="AF90" s="1487"/>
      <c r="AG90" s="1487"/>
      <c r="AH90" s="1487"/>
      <c r="AI90" s="1487"/>
      <c r="AJ90" s="1487"/>
      <c r="AK90" s="1487"/>
      <c r="AL90" s="1487"/>
      <c r="AM90" s="1487"/>
      <c r="AN90" s="1487"/>
      <c r="AO90" s="1487"/>
      <c r="AP90" s="1487"/>
      <c r="AQ90" s="1487"/>
    </row>
    <row s="13087" customFormat="1" customHeight="1" ht="17.25" hidden="1">
      <c r="A91" s="544"/>
      <c r="C91" s="543"/>
      <c r="D91" s="2279"/>
      <c r="E91" s="2281"/>
      <c r="F91" s="2283"/>
      <c r="G91" s="2281"/>
      <c r="H91" s="2286"/>
      <c r="I91" s="2288"/>
      <c r="J91" s="2291"/>
      <c r="K91" s="2273"/>
      <c r="L91" s="2273"/>
      <c r="M91" s="2273"/>
      <c r="N91" s="2276"/>
      <c r="O91" s="2273"/>
      <c r="P91" s="1672"/>
      <c r="Q91" s="1525"/>
      <c r="R91" s="1525"/>
      <c r="S91" s="552"/>
      <c r="T91" s="552"/>
      <c r="U91" s="552"/>
      <c r="V91" s="552"/>
      <c r="W91" s="1526"/>
      <c r="X91" s="1487"/>
      <c r="Y91" s="1487"/>
      <c r="Z91" s="1487"/>
      <c r="AA91" s="1487"/>
      <c r="AB91" s="1487"/>
      <c r="AC91" s="1487"/>
      <c r="AD91" s="1487"/>
      <c r="AE91" s="1487"/>
      <c r="AF91" s="1487"/>
      <c r="AG91" s="1487"/>
      <c r="AH91" s="1487"/>
      <c r="AI91" s="1487"/>
      <c r="AJ91" s="1487"/>
      <c r="AK91" s="1487"/>
      <c r="AL91" s="1487"/>
      <c r="AM91" s="1487"/>
      <c r="AN91" s="1487"/>
      <c r="AO91" s="1487"/>
      <c r="AP91" s="1487"/>
      <c r="AQ91" s="1487"/>
    </row>
    <row s="13087" customFormat="1" customHeight="1" ht="17.25" hidden="1">
      <c r="A92" s="544"/>
      <c r="C92" s="543"/>
      <c r="D92" s="2279"/>
      <c r="E92" s="2281"/>
      <c r="F92" s="2283"/>
      <c r="G92" s="2281"/>
      <c r="H92" s="2286"/>
      <c r="I92" s="2288"/>
      <c r="J92" s="2291"/>
      <c r="K92" s="2273"/>
      <c r="L92" s="1525"/>
      <c r="M92" s="1525"/>
      <c r="N92" s="1525"/>
      <c r="O92" s="1525"/>
      <c r="P92" s="1525"/>
      <c r="Q92" s="1525"/>
      <c r="R92" s="1525"/>
      <c r="S92" s="552"/>
      <c r="T92" s="552"/>
      <c r="U92" s="552"/>
      <c r="V92" s="552"/>
      <c r="W92" s="1526"/>
      <c r="X92" s="1487"/>
      <c r="Y92" s="1487"/>
      <c r="Z92" s="1487"/>
      <c r="AA92" s="1487"/>
      <c r="AB92" s="1487"/>
      <c r="AC92" s="1487"/>
      <c r="AD92" s="1487"/>
      <c r="AE92" s="1487"/>
      <c r="AF92" s="1487"/>
      <c r="AG92" s="1487"/>
      <c r="AH92" s="1487"/>
      <c r="AI92" s="1487"/>
      <c r="AJ92" s="1487"/>
      <c r="AK92" s="1487"/>
      <c r="AL92" s="1487"/>
      <c r="AM92" s="1487"/>
      <c r="AN92" s="1487"/>
      <c r="AO92" s="1487"/>
      <c r="AP92" s="1487"/>
      <c r="AQ92" s="1487"/>
    </row>
    <row s="13087" customFormat="1" customHeight="1" ht="17.25" hidden="1">
      <c r="A93" s="544"/>
      <c r="C93" s="543"/>
      <c r="D93" s="2279"/>
      <c r="E93" s="2281"/>
      <c r="F93" s="2284"/>
      <c r="G93" s="2281"/>
      <c r="H93" s="1527"/>
      <c r="I93" s="1528"/>
      <c r="J93" s="1528"/>
      <c r="K93" s="1528"/>
      <c r="L93" s="1528"/>
      <c r="M93" s="1528"/>
      <c r="N93" s="1528"/>
      <c r="O93" s="1528"/>
      <c r="P93" s="1528"/>
      <c r="Q93" s="1528"/>
      <c r="R93" s="1528"/>
      <c r="S93" s="1529"/>
      <c r="T93" s="1529"/>
      <c r="U93" s="1529"/>
      <c r="V93" s="1529"/>
      <c r="W93" s="1530"/>
      <c r="X93" s="1487"/>
      <c r="Y93" s="1487"/>
      <c r="Z93" s="1487"/>
      <c r="AA93" s="1487"/>
      <c r="AB93" s="1487"/>
      <c r="AC93" s="1487"/>
      <c r="AD93" s="1487"/>
      <c r="AE93" s="1487"/>
      <c r="AF93" s="1487"/>
      <c r="AG93" s="1487"/>
      <c r="AH93" s="1487"/>
      <c r="AI93" s="1487"/>
      <c r="AJ93" s="1487"/>
      <c r="AK93" s="1487"/>
      <c r="AL93" s="1487"/>
      <c r="AM93" s="1487"/>
      <c r="AN93" s="1487"/>
      <c r="AO93" s="1487"/>
      <c r="AP93" s="1487"/>
      <c r="AQ93" s="1487"/>
    </row>
    <row s="13073" customFormat="1" customHeight="1" ht="17.25" hidden="1">
      <c r="A94" s="544"/>
      <c r="C94" s="432"/>
      <c r="D94" s="2278">
        <v>5</v>
      </c>
      <c r="E94" s="2280" t="s">
        <v>241</v>
      </c>
      <c r="F94" s="2282" t="s">
        <v>56</v>
      </c>
      <c r="G94" s="2280"/>
      <c r="H94" s="2285"/>
      <c r="I94" s="2287"/>
      <c r="J94" s="2289"/>
      <c r="K94" s="2272"/>
      <c r="L94" s="2272"/>
      <c r="M94" s="2272"/>
      <c r="N94" s="2274"/>
      <c r="O94" s="2272"/>
      <c r="P94" s="2272"/>
      <c r="Q94" s="2272"/>
      <c r="R94" s="2277"/>
      <c r="S94" s="2272"/>
      <c r="T94" s="2172"/>
      <c r="U94" s="2172"/>
      <c r="V94" s="2174"/>
      <c r="W94" s="1524"/>
      <c r="X94" s="1495"/>
      <c r="Y94" s="1495"/>
      <c r="Z94" s="1495"/>
      <c r="AA94" s="1495"/>
      <c r="AB94" s="1495"/>
      <c r="AC94" s="1495" t="s">
        <v>242</v>
      </c>
      <c r="AD94" s="1495" t="s">
        <v>243</v>
      </c>
      <c r="AE94" s="1495" t="s">
        <v>244</v>
      </c>
      <c r="AF94" s="1495" t="s">
        <v>245</v>
      </c>
      <c r="AG94" s="1495"/>
      <c r="AH94" s="1495" t="str">
        <f>IF($E$94=0,"",$E$94)</f>
        <v>Тариф на подключение (технологическое присоединение) к централизованной системе холодного водоснабжения</v>
      </c>
      <c r="AI94" s="1495" t="str">
        <f>IF($G$94=0,"",$G$94)</f>
        <v/>
      </c>
      <c r="AJ94" s="1495" t="str">
        <f>IF($J$94=0,"",$J$94)</f>
        <v/>
      </c>
      <c r="AK94" s="1495" t="str">
        <f>IF($K$94="нет","без дифференциации",IF($N$94=0,"",$N$94))</f>
        <v/>
      </c>
      <c r="AL94" s="1495" t="str">
        <f>IF($O$94="нет","без дифференциации",IF($R$94=0,"",$R$94))</f>
        <v/>
      </c>
      <c r="AM94" s="1495" t="str">
        <f>IF($S$94="нет","без дифференциации",IF($V$94=0,"",$V$94))</f>
        <v/>
      </c>
      <c r="AN94" s="2000">
        <f>$I$94</f>
        <v>0</v>
      </c>
      <c r="AO94" s="1495" t="str">
        <f>$I$94&amp;"."&amp;$M$94</f>
        <v>.</v>
      </c>
      <c r="AP94" s="1494" t="str">
        <f>$I$94&amp;"."&amp;$M$94&amp;"."&amp;$Q$94</f>
        <v>..</v>
      </c>
      <c r="AQ94" s="1494" t="str">
        <f>$I$94&amp;"."&amp;$M$94&amp;"."&amp;$Q$94&amp;"."&amp;$U$94</f>
        <v>...</v>
      </c>
    </row>
    <row s="13073" customFormat="1" customHeight="1" ht="17.25" hidden="1">
      <c r="A95" s="544"/>
      <c r="C95" s="543"/>
      <c r="D95" s="2278"/>
      <c r="E95" s="2280"/>
      <c r="F95" s="2283"/>
      <c r="G95" s="2280"/>
      <c r="H95" s="2286"/>
      <c r="I95" s="2288"/>
      <c r="J95" s="2290"/>
      <c r="K95" s="2273"/>
      <c r="L95" s="2273"/>
      <c r="M95" s="2273"/>
      <c r="N95" s="2275"/>
      <c r="O95" s="2273"/>
      <c r="P95" s="2273"/>
      <c r="Q95" s="2273"/>
      <c r="R95" s="2276"/>
      <c r="S95" s="2273"/>
      <c r="T95" s="2177"/>
      <c r="U95" s="2177"/>
      <c r="V95" s="2177"/>
      <c r="W95" s="2178"/>
      <c r="X95" s="1494"/>
      <c r="Y95" s="1494"/>
      <c r="Z95" s="1494"/>
      <c r="AA95" s="1494"/>
      <c r="AB95" s="1494"/>
      <c r="AC95" s="1494"/>
      <c r="AD95" s="1494"/>
      <c r="AE95" s="1494"/>
      <c r="AF95" s="1494"/>
      <c r="AG95" s="1494"/>
      <c r="AH95" s="1494"/>
      <c r="AI95" s="1494"/>
      <c r="AJ95" s="1494"/>
      <c r="AK95" s="1494"/>
      <c r="AL95" s="1494"/>
      <c r="AM95" s="1494"/>
      <c r="AN95" s="1494"/>
      <c r="AO95" s="1494"/>
      <c r="AP95" s="1494"/>
      <c r="AQ95" s="1494"/>
    </row>
    <row s="13073" customFormat="1" customHeight="1" ht="17.25" hidden="1">
      <c r="A96" s="544"/>
      <c r="C96" s="543"/>
      <c r="D96" s="2279"/>
      <c r="E96" s="2281"/>
      <c r="F96" s="2283"/>
      <c r="G96" s="2281"/>
      <c r="H96" s="2286"/>
      <c r="I96" s="2288"/>
      <c r="J96" s="2291"/>
      <c r="K96" s="2273"/>
      <c r="L96" s="2273"/>
      <c r="M96" s="2273"/>
      <c r="N96" s="2276"/>
      <c r="O96" s="2273"/>
      <c r="P96" s="2173"/>
      <c r="Q96" s="2177"/>
      <c r="R96" s="2177"/>
      <c r="S96" s="552"/>
      <c r="T96" s="552"/>
      <c r="U96" s="552"/>
      <c r="V96" s="552"/>
      <c r="W96" s="2178"/>
      <c r="X96" s="1494"/>
      <c r="Y96" s="1494"/>
      <c r="Z96" s="1494"/>
      <c r="AA96" s="1494"/>
      <c r="AB96" s="1494"/>
      <c r="AC96" s="1494"/>
      <c r="AD96" s="1494"/>
      <c r="AE96" s="1494"/>
      <c r="AF96" s="1494"/>
      <c r="AG96" s="1494"/>
      <c r="AH96" s="1494"/>
      <c r="AI96" s="1494"/>
      <c r="AJ96" s="1494"/>
      <c r="AK96" s="1494"/>
      <c r="AL96" s="1494"/>
      <c r="AM96" s="1494"/>
      <c r="AN96" s="1494"/>
      <c r="AO96" s="1494"/>
      <c r="AP96" s="1494"/>
      <c r="AQ96" s="1494"/>
    </row>
    <row s="13073" customFormat="1" customHeight="1" ht="17.25" hidden="1">
      <c r="A97" s="544"/>
      <c r="C97" s="543"/>
      <c r="D97" s="2279"/>
      <c r="E97" s="2281"/>
      <c r="F97" s="2283"/>
      <c r="G97" s="2281"/>
      <c r="H97" s="2286"/>
      <c r="I97" s="2288"/>
      <c r="J97" s="2291"/>
      <c r="K97" s="2273"/>
      <c r="L97" s="2177"/>
      <c r="M97" s="2177"/>
      <c r="N97" s="2177"/>
      <c r="O97" s="2177"/>
      <c r="P97" s="2177"/>
      <c r="Q97" s="2177"/>
      <c r="R97" s="2177"/>
      <c r="S97" s="552"/>
      <c r="T97" s="552"/>
      <c r="U97" s="552"/>
      <c r="V97" s="552"/>
      <c r="W97" s="2178"/>
      <c r="X97" s="1494"/>
      <c r="Y97" s="1494"/>
      <c r="Z97" s="1494"/>
      <c r="AA97" s="1494"/>
      <c r="AB97" s="1494"/>
      <c r="AC97" s="1494"/>
      <c r="AD97" s="1494"/>
      <c r="AE97" s="1494"/>
      <c r="AF97" s="1494"/>
      <c r="AG97" s="1494"/>
      <c r="AH97" s="1494"/>
      <c r="AI97" s="1494"/>
      <c r="AJ97" s="1494"/>
      <c r="AK97" s="1494"/>
      <c r="AL97" s="1494"/>
      <c r="AM97" s="1494"/>
      <c r="AN97" s="1494"/>
      <c r="AO97" s="1494"/>
      <c r="AP97" s="1494"/>
      <c r="AQ97" s="1494"/>
    </row>
    <row s="13073" customFormat="1" customHeight="1" ht="17.25" hidden="1">
      <c r="A98" s="544"/>
      <c r="C98" s="543"/>
      <c r="D98" s="2279"/>
      <c r="E98" s="2281"/>
      <c r="F98" s="2284"/>
      <c r="G98" s="2281"/>
      <c r="H98" s="1527"/>
      <c r="I98" s="2175"/>
      <c r="J98" s="2175"/>
      <c r="K98" s="2175"/>
      <c r="L98" s="2175"/>
      <c r="M98" s="2175"/>
      <c r="N98" s="2175"/>
      <c r="O98" s="2175"/>
      <c r="P98" s="2175"/>
      <c r="Q98" s="2175"/>
      <c r="R98" s="2175"/>
      <c r="S98" s="1529"/>
      <c r="T98" s="1529"/>
      <c r="U98" s="1529"/>
      <c r="V98" s="1529"/>
      <c r="W98" s="2176"/>
      <c r="X98" s="1494"/>
      <c r="Y98" s="1494"/>
      <c r="Z98" s="1494"/>
      <c r="AA98" s="1494"/>
      <c r="AB98" s="1494"/>
      <c r="AC98" s="1494"/>
      <c r="AD98" s="1494"/>
      <c r="AE98" s="1494"/>
      <c r="AF98" s="1494"/>
      <c r="AG98" s="1494"/>
      <c r="AH98" s="1494"/>
      <c r="AI98" s="1494"/>
      <c r="AJ98" s="1494"/>
      <c r="AK98" s="1494"/>
      <c r="AL98" s="1494"/>
      <c r="AM98" s="1494"/>
      <c r="AN98" s="1494"/>
      <c r="AO98" s="1494"/>
      <c r="AP98" s="1494"/>
      <c r="AQ98" s="1494"/>
    </row>
    <row s="13073" customFormat="1" customHeight="1" ht="11.25" hidden="1">
      <c r="A99" s="500"/>
      <c r="B99" s="500"/>
      <c r="Y99" s="1487"/>
      <c r="Z99" s="1487"/>
      <c r="AA99" s="1487"/>
      <c r="AB99" s="1487"/>
      <c r="AC99" s="1487"/>
      <c r="AD99" s="1487"/>
      <c r="AE99" s="1487"/>
      <c r="AF99" s="1487"/>
      <c r="AG99" s="1487"/>
      <c r="AH99" s="1487"/>
      <c r="AI99" s="1487"/>
      <c r="AJ99" s="1487"/>
      <c r="AK99" s="1487"/>
      <c r="AL99" s="1487"/>
      <c r="AM99" s="1487"/>
      <c r="AN99" s="1487"/>
      <c r="AO99" s="1487"/>
      <c r="AP99" s="1487"/>
      <c r="AQ99" s="1487"/>
    </row>
    <row s="13073" customFormat="1" customHeight="1" ht="17.25">
      <c r="A100" s="544"/>
      <c r="C100" s="432"/>
      <c r="D100" s="2278">
        <v>1</v>
      </c>
      <c r="E100" s="2280" t="s">
        <v>246</v>
      </c>
      <c r="F100" s="2282" t="s">
        <v>66</v>
      </c>
      <c r="G100" s="5632" t="str">
        <f>INDEX(HOTVSNA_PT_VED_NAME,MATCH(4189706,HOTVSNA_PT_VED_ID,0))</f>
        <v>Горячее водоснабжение</v>
      </c>
      <c r="H100" s="5633"/>
      <c r="I100" s="5633">
        <v>1</v>
      </c>
      <c r="J100" s="5634"/>
      <c r="K100" s="5635" t="s">
        <v>66</v>
      </c>
      <c r="L100" s="5636"/>
      <c r="M100" s="5636" t="s">
        <v>108</v>
      </c>
      <c r="N100" s="5637" t="str">
        <f>IF(Z100="","",INDEX(TERRITORY_MR_LIST,MATCH(Z100,TERRITORY_LIST_ID,0)))</f>
        <v>Территория 1</v>
      </c>
      <c r="O100" s="5635" t="s">
        <v>56</v>
      </c>
      <c r="P100" s="5636"/>
      <c r="Q100" s="5636" t="s">
        <v>108</v>
      </c>
      <c r="R100" s="5638" t="s">
        <v>24</v>
      </c>
      <c r="S100" s="5639" t="s">
        <v>56</v>
      </c>
      <c r="T100" s="5639"/>
      <c r="U100" s="5639" t="s">
        <v>108</v>
      </c>
      <c r="V100" s="5640"/>
      <c r="W100" s="5634"/>
      <c r="Y100" s="1495"/>
      <c r="Z100" s="1495" t="s">
        <v>97</v>
      </c>
      <c r="AA100" s="1495"/>
      <c r="AB100" s="1495" t="s">
        <v>247</v>
      </c>
      <c r="AC100" s="1495" t="s">
        <v>248</v>
      </c>
      <c r="AD100" s="1495" t="s">
        <v>249</v>
      </c>
      <c r="AE100" s="1495" t="s">
        <v>250</v>
      </c>
      <c r="AF100" s="1495" t="s">
        <v>251</v>
      </c>
      <c r="AG100" s="1495"/>
      <c r="AH100" s="1495" t="str">
        <f>IF($E$100=0,"",$E$100)</f>
        <v>Тариф на горячую воду (горячее водоснабжение)</v>
      </c>
      <c r="AI100" s="1495" t="str">
        <f>IF($G$100=0,"",$G$100)</f>
        <v>Горячее водоснабжение</v>
      </c>
      <c r="AJ100" s="1495" t="str">
        <f>IF($J$100=0,"",$J$100)</f>
        <v/>
      </c>
      <c r="AK100" s="1495" t="str">
        <f>IF($K$100="нет","без дифференциации",IF($N$100=0,"",$N$100))</f>
        <v>Территория 1</v>
      </c>
      <c r="AL100" s="1495" t="str">
        <f>IF($O$100="нет","без дифференциации",IF($R$100=0,"",$R$100))</f>
        <v>без дифференциации</v>
      </c>
      <c r="AM100" s="1495" t="str">
        <f>IF($S$100="нет","без дифференциации",IF($V$100=0,"",$V$100))</f>
        <v>без дифференциации</v>
      </c>
      <c r="AN100" s="1495">
        <f>$I$100</f>
        <v>1</v>
      </c>
      <c r="AO100" s="1495" t="str">
        <f>$I$100&amp;"."&amp;$M$100</f>
        <v>1.1</v>
      </c>
      <c r="AP100" s="1495" t="str">
        <f>$I$100&amp;"."&amp;$M$100&amp;"."&amp;$Q$100</f>
        <v>1.1.1</v>
      </c>
      <c r="AQ100" s="1495" t="str">
        <f>$I$100&amp;"."&amp;$M$100&amp;"."&amp;$Q$100&amp;"."&amp;$U$100</f>
        <v>1.1.1.1</v>
      </c>
    </row>
    <row s="13073" customFormat="1" customHeight="1" ht="17.25">
      <c r="A101" s="544"/>
      <c r="C101" s="543"/>
      <c r="D101" s="2278"/>
      <c r="E101" s="2280"/>
      <c r="F101" s="2283"/>
      <c r="G101" s="5632"/>
      <c r="H101" s="5633"/>
      <c r="I101" s="5633"/>
      <c r="J101" s="5634"/>
      <c r="K101" s="5641"/>
      <c r="L101" s="5636"/>
      <c r="M101" s="5636"/>
      <c r="N101" s="5637"/>
      <c r="O101" s="5641"/>
      <c r="P101" s="5636"/>
      <c r="Q101" s="5636"/>
      <c r="R101" s="5638" t="s">
        <v>24</v>
      </c>
      <c r="S101" s="5639"/>
      <c r="T101" s="5642"/>
      <c r="U101" s="5643"/>
      <c r="V101" s="5643"/>
      <c r="W101" s="5634"/>
      <c r="Y101" s="1487"/>
      <c r="Z101" s="1487"/>
      <c r="AA101" s="1487"/>
      <c r="AB101" s="1487"/>
      <c r="AC101" s="1487"/>
      <c r="AD101" s="1487"/>
      <c r="AE101" s="1487"/>
      <c r="AF101" s="1487"/>
      <c r="AG101" s="1487"/>
      <c r="AH101" s="1487"/>
      <c r="AI101" s="1487"/>
      <c r="AJ101" s="1487"/>
      <c r="AK101" s="1487"/>
      <c r="AL101" s="1487"/>
      <c r="AM101" s="1487"/>
      <c r="AN101" s="1487"/>
      <c r="AO101" s="1487"/>
      <c r="AP101" s="1487"/>
      <c r="AQ101" s="1487"/>
    </row>
    <row s="13073" customFormat="1" customHeight="1" ht="17.25">
      <c r="A102" s="544"/>
      <c r="C102" s="432"/>
      <c r="D102" s="2278"/>
      <c r="E102" s="2280"/>
      <c r="F102" s="2283"/>
      <c r="G102" s="5632"/>
      <c r="H102" s="5644"/>
      <c r="I102" s="5644"/>
      <c r="J102" s="5645"/>
      <c r="K102" s="5641"/>
      <c r="L102" s="5644"/>
      <c r="M102" s="5644"/>
      <c r="N102" s="5646"/>
      <c r="O102" s="5647"/>
      <c r="P102" s="5648"/>
      <c r="Q102" s="5649"/>
      <c r="R102" s="5650" t="s">
        <v>252</v>
      </c>
      <c r="S102" s="5651"/>
      <c r="T102" s="5652"/>
      <c r="U102" s="5653"/>
      <c r="V102" s="5654"/>
      <c r="W102" s="5655"/>
      <c r="Y102" s="1495"/>
      <c r="Z102" s="1495"/>
      <c r="AA102" s="1495"/>
      <c r="AB102" s="1495"/>
      <c r="AC102" s="1495"/>
      <c r="AD102" s="1495"/>
      <c r="AE102" s="1495"/>
      <c r="AF102" s="1495"/>
      <c r="AG102" s="1495"/>
      <c r="AH102" s="1495"/>
      <c r="AI102" s="1495"/>
      <c r="AJ102" s="1495"/>
      <c r="AK102" s="1495"/>
      <c r="AL102" s="1495"/>
      <c r="AM102" s="1495"/>
      <c r="AN102" s="1495"/>
      <c r="AO102" s="1495"/>
      <c r="AP102" s="1495"/>
      <c r="AQ102" s="1495"/>
    </row>
    <row s="13073" customFormat="1" customHeight="1" ht="17.25">
      <c r="A103" s="544"/>
      <c r="C103" s="543"/>
      <c r="D103" s="2278"/>
      <c r="E103" s="2280"/>
      <c r="F103" s="2283"/>
      <c r="G103" s="5632"/>
      <c r="H103" s="5644"/>
      <c r="I103" s="5644"/>
      <c r="J103" s="5645"/>
      <c r="K103" s="5647"/>
      <c r="L103" s="5656"/>
      <c r="M103" s="5657"/>
      <c r="N103" s="5658" t="s">
        <v>253</v>
      </c>
      <c r="O103" s="5659"/>
      <c r="P103" s="5660"/>
      <c r="Q103" s="5661"/>
      <c r="R103" s="5662"/>
      <c r="S103" s="5663"/>
      <c r="T103" s="5664"/>
      <c r="U103" s="5665"/>
      <c r="V103" s="5666"/>
      <c r="W103" s="5667"/>
      <c r="Y103" s="1487"/>
      <c r="Z103" s="1487"/>
      <c r="AA103" s="1487"/>
      <c r="AB103" s="1487"/>
      <c r="AC103" s="1487"/>
      <c r="AD103" s="1487"/>
      <c r="AE103" s="1487"/>
      <c r="AF103" s="1487"/>
      <c r="AG103" s="1487"/>
      <c r="AH103" s="1487"/>
      <c r="AI103" s="1487"/>
      <c r="AJ103" s="1487"/>
      <c r="AK103" s="1487"/>
      <c r="AL103" s="1487"/>
      <c r="AM103" s="1487"/>
      <c r="AN103" s="1487"/>
      <c r="AO103" s="1487"/>
      <c r="AP103" s="1487"/>
      <c r="AQ103" s="1487"/>
    </row>
    <row s="13073" customFormat="1" customHeight="1" ht="17.25">
      <c r="A104" s="544"/>
      <c r="C104" s="543"/>
      <c r="D104" s="2279"/>
      <c r="E104" s="2281"/>
      <c r="F104" s="2284"/>
      <c r="G104" s="5668"/>
      <c r="H104" s="5669"/>
      <c r="I104" s="5670"/>
      <c r="J104" s="5671" t="s">
        <v>254</v>
      </c>
      <c r="K104" s="5672"/>
      <c r="L104" s="5673"/>
      <c r="M104" s="5674"/>
      <c r="N104" s="5675"/>
      <c r="O104" s="5676"/>
      <c r="P104" s="5677"/>
      <c r="Q104" s="5678"/>
      <c r="R104" s="5679"/>
      <c r="S104" s="5680"/>
      <c r="T104" s="5681"/>
      <c r="U104" s="5682"/>
      <c r="V104" s="5683"/>
      <c r="W104" s="5684"/>
      <c r="Y104" s="1487"/>
      <c r="Z104" s="1487"/>
      <c r="AA104" s="1487"/>
      <c r="AB104" s="1487"/>
      <c r="AC104" s="1487"/>
      <c r="AD104" s="1487"/>
      <c r="AE104" s="1487"/>
      <c r="AF104" s="1487"/>
      <c r="AG104" s="1487"/>
      <c r="AH104" s="1487"/>
      <c r="AI104" s="1487"/>
      <c r="AJ104" s="1487"/>
      <c r="AK104" s="1487"/>
      <c r="AL104" s="1487"/>
      <c r="AM104" s="1487"/>
      <c r="AN104" s="1487"/>
      <c r="AO104" s="1487"/>
      <c r="AP104" s="1487"/>
      <c r="AQ104" s="1487"/>
    </row>
    <row s="13073" customFormat="1" customHeight="1" ht="17.25">
      <c r="A105" s="544"/>
      <c r="C105" s="432"/>
      <c r="D105" s="2278">
        <v>2</v>
      </c>
      <c r="E105" s="2280" t="s">
        <v>255</v>
      </c>
      <c r="F105" s="2282" t="s">
        <v>56</v>
      </c>
      <c r="G105" s="2280"/>
      <c r="H105" s="2285"/>
      <c r="I105" s="2287"/>
      <c r="J105" s="2289"/>
      <c r="K105" s="2272"/>
      <c r="L105" s="2272"/>
      <c r="M105" s="2272"/>
      <c r="N105" s="2274"/>
      <c r="O105" s="2272"/>
      <c r="P105" s="2272"/>
      <c r="Q105" s="2272"/>
      <c r="R105" s="2277"/>
      <c r="S105" s="2272"/>
      <c r="T105" s="1698"/>
      <c r="U105" s="1698"/>
      <c r="V105" s="1700"/>
      <c r="W105" s="1524"/>
      <c r="X105" s="1495"/>
      <c r="Y105" s="1495"/>
      <c r="Z105" s="1495"/>
      <c r="AA105" s="1495"/>
      <c r="AB105" s="1495"/>
      <c r="AC105" s="1495" t="s">
        <v>256</v>
      </c>
      <c r="AD105" s="1495" t="s">
        <v>257</v>
      </c>
      <c r="AE105" s="1495" t="s">
        <v>258</v>
      </c>
      <c r="AF105" s="1495" t="s">
        <v>259</v>
      </c>
      <c r="AG105" s="1495"/>
      <c r="AH105" s="1495" t="str">
        <f>IF($E$105=0,"",$E$105)</f>
        <v>Тариф на транспортировку горячей воды</v>
      </c>
      <c r="AI105" s="1495" t="str">
        <f>IF($G$105=0,"",$G$105)</f>
        <v/>
      </c>
      <c r="AJ105" s="1495" t="str">
        <f>IF($J$105=0,"",$J$105)</f>
        <v/>
      </c>
      <c r="AK105" s="1495" t="str">
        <f>IF($K$105="нет","без дифференциации",IF($N$105=0,"",$N$105))</f>
        <v/>
      </c>
      <c r="AL105" s="1495" t="str">
        <f>IF($O$105="нет","без дифференциации",IF($R$105=0,"",$R$105))</f>
        <v/>
      </c>
      <c r="AM105" s="1495" t="str">
        <f>IF($S$105="нет","без дифференциации",IF($V$105=0,"",$V$105))</f>
        <v/>
      </c>
      <c r="AN105" s="2000">
        <f>$I$105</f>
        <v>0</v>
      </c>
      <c r="AO105" s="1495" t="str">
        <f>$I$105&amp;"."&amp;$M$105</f>
        <v>.</v>
      </c>
      <c r="AP105" s="1487" t="str">
        <f>$I$105&amp;"."&amp;$M$105&amp;"."&amp;$Q$105</f>
        <v>..</v>
      </c>
      <c r="AQ105" s="1487" t="str">
        <f>$I$105&amp;"."&amp;$M$105&amp;"."&amp;$Q$105&amp;"."&amp;$U$105</f>
        <v>...</v>
      </c>
    </row>
    <row s="13073" customFormat="1" customHeight="1" ht="17.25">
      <c r="A106" s="544"/>
      <c r="C106" s="543"/>
      <c r="D106" s="2278"/>
      <c r="E106" s="2280"/>
      <c r="F106" s="2283"/>
      <c r="G106" s="2280"/>
      <c r="H106" s="2286"/>
      <c r="I106" s="2288"/>
      <c r="J106" s="2290"/>
      <c r="K106" s="2273"/>
      <c r="L106" s="2273"/>
      <c r="M106" s="2273"/>
      <c r="N106" s="2275"/>
      <c r="O106" s="2273"/>
      <c r="P106" s="2273"/>
      <c r="Q106" s="2273"/>
      <c r="R106" s="2276"/>
      <c r="S106" s="2273"/>
      <c r="T106" s="1525"/>
      <c r="U106" s="1525"/>
      <c r="V106" s="1525"/>
      <c r="W106" s="1526"/>
      <c r="X106" s="1487"/>
      <c r="Y106" s="1487"/>
      <c r="Z106" s="1487"/>
      <c r="AA106" s="1487"/>
      <c r="AB106" s="1487"/>
      <c r="AC106" s="1487"/>
      <c r="AD106" s="1487"/>
      <c r="AE106" s="1487"/>
      <c r="AF106" s="1487"/>
      <c r="AG106" s="1487"/>
      <c r="AH106" s="1487"/>
      <c r="AI106" s="1487"/>
      <c r="AJ106" s="1487"/>
      <c r="AK106" s="1487"/>
      <c r="AL106" s="1487"/>
      <c r="AM106" s="1487"/>
      <c r="AN106" s="1487"/>
      <c r="AO106" s="1487"/>
      <c r="AP106" s="1487"/>
      <c r="AQ106" s="1487"/>
    </row>
    <row s="13073" customFormat="1" customHeight="1" ht="17.25">
      <c r="A107" s="544"/>
      <c r="C107" s="543"/>
      <c r="D107" s="2279"/>
      <c r="E107" s="2281"/>
      <c r="F107" s="2283"/>
      <c r="G107" s="2281"/>
      <c r="H107" s="2286"/>
      <c r="I107" s="2288"/>
      <c r="J107" s="2291"/>
      <c r="K107" s="2273"/>
      <c r="L107" s="2273"/>
      <c r="M107" s="2273"/>
      <c r="N107" s="2276"/>
      <c r="O107" s="2273"/>
      <c r="P107" s="1699"/>
      <c r="Q107" s="1525"/>
      <c r="R107" s="1525"/>
      <c r="S107" s="552"/>
      <c r="T107" s="552"/>
      <c r="U107" s="552"/>
      <c r="V107" s="552"/>
      <c r="W107" s="1526"/>
      <c r="X107" s="1487"/>
      <c r="Y107" s="1487"/>
      <c r="Z107" s="1487"/>
      <c r="AA107" s="1487"/>
      <c r="AB107" s="1487"/>
      <c r="AC107" s="1487"/>
      <c r="AD107" s="1487"/>
      <c r="AE107" s="1487"/>
      <c r="AF107" s="1487"/>
      <c r="AG107" s="1487"/>
      <c r="AH107" s="1487"/>
      <c r="AI107" s="1487"/>
      <c r="AJ107" s="1487"/>
      <c r="AK107" s="1487"/>
      <c r="AL107" s="1487"/>
      <c r="AM107" s="1487"/>
      <c r="AN107" s="1487"/>
      <c r="AO107" s="1487"/>
      <c r="AP107" s="1487"/>
      <c r="AQ107" s="1487"/>
    </row>
    <row s="13073" customFormat="1" customHeight="1" ht="17.25">
      <c r="A108" s="544"/>
      <c r="C108" s="543"/>
      <c r="D108" s="2279"/>
      <c r="E108" s="2281"/>
      <c r="F108" s="2283"/>
      <c r="G108" s="2281"/>
      <c r="H108" s="2286"/>
      <c r="I108" s="2288"/>
      <c r="J108" s="2291"/>
      <c r="K108" s="2273"/>
      <c r="L108" s="1525"/>
      <c r="M108" s="1525"/>
      <c r="N108" s="1525"/>
      <c r="O108" s="1525"/>
      <c r="P108" s="1525"/>
      <c r="Q108" s="1525"/>
      <c r="R108" s="1525"/>
      <c r="S108" s="552"/>
      <c r="T108" s="552"/>
      <c r="U108" s="552"/>
      <c r="V108" s="552"/>
      <c r="W108" s="1526"/>
      <c r="X108" s="1487"/>
      <c r="Y108" s="1487"/>
      <c r="Z108" s="1487"/>
      <c r="AA108" s="1487"/>
      <c r="AB108" s="1487"/>
      <c r="AC108" s="1487"/>
      <c r="AD108" s="1487"/>
      <c r="AE108" s="1487"/>
      <c r="AF108" s="1487"/>
      <c r="AG108" s="1487"/>
      <c r="AH108" s="1487"/>
      <c r="AI108" s="1487"/>
      <c r="AJ108" s="1487"/>
      <c r="AK108" s="1487"/>
      <c r="AL108" s="1487"/>
      <c r="AM108" s="1487"/>
      <c r="AN108" s="1487"/>
      <c r="AO108" s="1487"/>
      <c r="AP108" s="1487"/>
      <c r="AQ108" s="1487"/>
    </row>
    <row s="13073" customFormat="1" customHeight="1" ht="17.25">
      <c r="A109" s="544"/>
      <c r="C109" s="543"/>
      <c r="D109" s="2279"/>
      <c r="E109" s="2281"/>
      <c r="F109" s="2284"/>
      <c r="G109" s="2281"/>
      <c r="H109" s="1527"/>
      <c r="I109" s="1528"/>
      <c r="J109" s="1528"/>
      <c r="K109" s="1528"/>
      <c r="L109" s="1528"/>
      <c r="M109" s="1528"/>
      <c r="N109" s="1528"/>
      <c r="O109" s="1528"/>
      <c r="P109" s="1528"/>
      <c r="Q109" s="1528"/>
      <c r="R109" s="1528"/>
      <c r="S109" s="1529"/>
      <c r="T109" s="1529"/>
      <c r="U109" s="1529"/>
      <c r="V109" s="1529"/>
      <c r="W109" s="1530"/>
      <c r="X109" s="1487"/>
      <c r="Y109" s="1487"/>
      <c r="Z109" s="1487"/>
      <c r="AA109" s="1487"/>
      <c r="AB109" s="1487"/>
      <c r="AC109" s="1487"/>
      <c r="AD109" s="1487"/>
      <c r="AE109" s="1487"/>
      <c r="AF109" s="1487"/>
      <c r="AG109" s="1487"/>
      <c r="AH109" s="1487"/>
      <c r="AI109" s="1487"/>
      <c r="AJ109" s="1487"/>
      <c r="AK109" s="1487"/>
      <c r="AL109" s="1487"/>
      <c r="AM109" s="1487"/>
      <c r="AN109" s="1487"/>
      <c r="AO109" s="1487"/>
      <c r="AP109" s="1487"/>
      <c r="AQ109" s="1487"/>
    </row>
    <row s="13073" customFormat="1" customHeight="1" ht="17.25">
      <c r="A110" s="544"/>
      <c r="C110" s="432"/>
      <c r="D110" s="2278">
        <v>3</v>
      </c>
      <c r="E110" s="2280" t="s">
        <v>260</v>
      </c>
      <c r="F110" s="2282" t="s">
        <v>56</v>
      </c>
      <c r="G110" s="2280"/>
      <c r="H110" s="2285"/>
      <c r="I110" s="2287"/>
      <c r="J110" s="2289"/>
      <c r="K110" s="2272"/>
      <c r="L110" s="2272"/>
      <c r="M110" s="2272"/>
      <c r="N110" s="2274"/>
      <c r="O110" s="2272"/>
      <c r="P110" s="2272"/>
      <c r="Q110" s="2272"/>
      <c r="R110" s="2277"/>
      <c r="S110" s="2272"/>
      <c r="T110" s="2172"/>
      <c r="U110" s="2172"/>
      <c r="V110" s="2174"/>
      <c r="W110" s="1524"/>
      <c r="X110" s="1495"/>
      <c r="Y110" s="1495"/>
      <c r="Z110" s="1495"/>
      <c r="AA110" s="1495"/>
      <c r="AB110" s="1495"/>
      <c r="AC110" s="1495" t="s">
        <v>261</v>
      </c>
      <c r="AD110" s="1495" t="s">
        <v>262</v>
      </c>
      <c r="AE110" s="1495" t="s">
        <v>263</v>
      </c>
      <c r="AF110" s="1495" t="s">
        <v>264</v>
      </c>
      <c r="AG110" s="1495"/>
      <c r="AH110" s="1495" t="str">
        <f>IF($E$110=0,"",$E$110)</f>
        <v>Тариф на подключение (технологическое присоединение) к централизованной системе горячего водоснабжения</v>
      </c>
      <c r="AI110" s="1495" t="str">
        <f>IF($G$110=0,"",$G$110)</f>
        <v/>
      </c>
      <c r="AJ110" s="1495" t="str">
        <f>IF($J$110=0,"",$J$110)</f>
        <v/>
      </c>
      <c r="AK110" s="1495" t="str">
        <f>IF($K$110="нет","без дифференциации",IF($N$110=0,"",$N$110))</f>
        <v/>
      </c>
      <c r="AL110" s="1495" t="str">
        <f>IF($O$110="нет","без дифференциации",IF($R$110=0,"",$R$110))</f>
        <v/>
      </c>
      <c r="AM110" s="1495" t="str">
        <f>IF($S$110="нет","без дифференциации",IF($V$110=0,"",$V$110))</f>
        <v/>
      </c>
      <c r="AN110" s="2000">
        <f>$I$110</f>
        <v>0</v>
      </c>
      <c r="AO110" s="1495" t="str">
        <f>$I$110&amp;"."&amp;$M$110</f>
        <v>.</v>
      </c>
      <c r="AP110" s="1494" t="str">
        <f>$I$110&amp;"."&amp;$M$110&amp;"."&amp;$Q$110</f>
        <v>..</v>
      </c>
      <c r="AQ110" s="1494" t="str">
        <f>$I$110&amp;"."&amp;$M$110&amp;"."&amp;$Q$110&amp;"."&amp;$U$110</f>
        <v>...</v>
      </c>
    </row>
    <row s="13073" customFormat="1" customHeight="1" ht="17.25">
      <c r="A111" s="544"/>
      <c r="C111" s="543"/>
      <c r="D111" s="2278"/>
      <c r="E111" s="2280"/>
      <c r="F111" s="2283"/>
      <c r="G111" s="2280"/>
      <c r="H111" s="2286"/>
      <c r="I111" s="2288"/>
      <c r="J111" s="2290"/>
      <c r="K111" s="2273"/>
      <c r="L111" s="2273"/>
      <c r="M111" s="2273"/>
      <c r="N111" s="2275"/>
      <c r="O111" s="2273"/>
      <c r="P111" s="2273"/>
      <c r="Q111" s="2273"/>
      <c r="R111" s="2276"/>
      <c r="S111" s="2273"/>
      <c r="T111" s="2177"/>
      <c r="U111" s="2177"/>
      <c r="V111" s="2177"/>
      <c r="W111" s="2178"/>
      <c r="X111" s="1494"/>
      <c r="Y111" s="1494"/>
      <c r="Z111" s="1494"/>
      <c r="AA111" s="1494"/>
      <c r="AB111" s="1494"/>
      <c r="AC111" s="1494"/>
      <c r="AD111" s="1494"/>
      <c r="AE111" s="1494"/>
      <c r="AF111" s="1494"/>
      <c r="AG111" s="1494"/>
      <c r="AH111" s="1494"/>
      <c r="AI111" s="1494"/>
      <c r="AJ111" s="1494"/>
      <c r="AK111" s="1494"/>
      <c r="AL111" s="1494"/>
      <c r="AM111" s="1494"/>
      <c r="AN111" s="1494"/>
      <c r="AO111" s="1494"/>
      <c r="AP111" s="1494"/>
      <c r="AQ111" s="1494"/>
    </row>
    <row s="13073" customFormat="1" customHeight="1" ht="17.25">
      <c r="A112" s="544"/>
      <c r="C112" s="543"/>
      <c r="D112" s="2279"/>
      <c r="E112" s="2281"/>
      <c r="F112" s="2283"/>
      <c r="G112" s="2281"/>
      <c r="H112" s="2286"/>
      <c r="I112" s="2288"/>
      <c r="J112" s="2291"/>
      <c r="K112" s="2273"/>
      <c r="L112" s="2273"/>
      <c r="M112" s="2273"/>
      <c r="N112" s="2276"/>
      <c r="O112" s="2273"/>
      <c r="P112" s="2173"/>
      <c r="Q112" s="2177"/>
      <c r="R112" s="2177"/>
      <c r="S112" s="552"/>
      <c r="T112" s="552"/>
      <c r="U112" s="552"/>
      <c r="V112" s="552"/>
      <c r="W112" s="2178"/>
      <c r="X112" s="1494"/>
      <c r="Y112" s="1494"/>
      <c r="Z112" s="1494"/>
      <c r="AA112" s="1494"/>
      <c r="AB112" s="1494"/>
      <c r="AC112" s="1494"/>
      <c r="AD112" s="1494"/>
      <c r="AE112" s="1494"/>
      <c r="AF112" s="1494"/>
      <c r="AG112" s="1494"/>
      <c r="AH112" s="1494"/>
      <c r="AI112" s="1494"/>
      <c r="AJ112" s="1494"/>
      <c r="AK112" s="1494"/>
      <c r="AL112" s="1494"/>
      <c r="AM112" s="1494"/>
      <c r="AN112" s="1494"/>
      <c r="AO112" s="1494"/>
      <c r="AP112" s="1494"/>
      <c r="AQ112" s="1494"/>
    </row>
    <row s="13073" customFormat="1" customHeight="1" ht="17.25">
      <c r="A113" s="544"/>
      <c r="C113" s="543"/>
      <c r="D113" s="2279"/>
      <c r="E113" s="2281"/>
      <c r="F113" s="2283"/>
      <c r="G113" s="2281"/>
      <c r="H113" s="2286"/>
      <c r="I113" s="2288"/>
      <c r="J113" s="2291"/>
      <c r="K113" s="2273"/>
      <c r="L113" s="2177"/>
      <c r="M113" s="2177"/>
      <c r="N113" s="2177"/>
      <c r="O113" s="2177"/>
      <c r="P113" s="2177"/>
      <c r="Q113" s="2177"/>
      <c r="R113" s="2177"/>
      <c r="S113" s="552"/>
      <c r="T113" s="552"/>
      <c r="U113" s="552"/>
      <c r="V113" s="552"/>
      <c r="W113" s="2178"/>
      <c r="X113" s="1494"/>
      <c r="Y113" s="1494"/>
      <c r="Z113" s="1494"/>
      <c r="AA113" s="1494"/>
      <c r="AB113" s="1494"/>
      <c r="AC113" s="1494"/>
      <c r="AD113" s="1494"/>
      <c r="AE113" s="1494"/>
      <c r="AF113" s="1494"/>
      <c r="AG113" s="1494"/>
      <c r="AH113" s="1494"/>
      <c r="AI113" s="1494"/>
      <c r="AJ113" s="1494"/>
      <c r="AK113" s="1494"/>
      <c r="AL113" s="1494"/>
      <c r="AM113" s="1494"/>
      <c r="AN113" s="1494"/>
      <c r="AO113" s="1494"/>
      <c r="AP113" s="1494"/>
      <c r="AQ113" s="1494"/>
    </row>
    <row s="13073" customFormat="1" customHeight="1" ht="17.25">
      <c r="A114" s="544"/>
      <c r="C114" s="543"/>
      <c r="D114" s="2279"/>
      <c r="E114" s="2281"/>
      <c r="F114" s="2284"/>
      <c r="G114" s="2281"/>
      <c r="H114" s="1527"/>
      <c r="I114" s="2175"/>
      <c r="J114" s="2175"/>
      <c r="K114" s="2175"/>
      <c r="L114" s="2175"/>
      <c r="M114" s="2175"/>
      <c r="N114" s="2175"/>
      <c r="O114" s="2175"/>
      <c r="P114" s="2175"/>
      <c r="Q114" s="2175"/>
      <c r="R114" s="2175"/>
      <c r="S114" s="1529"/>
      <c r="T114" s="1529"/>
      <c r="U114" s="1529"/>
      <c r="V114" s="1529"/>
      <c r="W114" s="2176"/>
      <c r="X114" s="1494"/>
      <c r="Y114" s="1494"/>
      <c r="Z114" s="1494"/>
      <c r="AA114" s="1494"/>
      <c r="AB114" s="1494"/>
      <c r="AC114" s="1494"/>
      <c r="AD114" s="1494"/>
      <c r="AE114" s="1494"/>
      <c r="AF114" s="1494"/>
      <c r="AG114" s="1494"/>
      <c r="AH114" s="1494"/>
      <c r="AI114" s="1494"/>
      <c r="AJ114" s="1494"/>
      <c r="AK114" s="1494"/>
      <c r="AL114" s="1494"/>
      <c r="AM114" s="1494"/>
      <c r="AN114" s="1494"/>
      <c r="AO114" s="1494"/>
      <c r="AP114" s="1494"/>
      <c r="AQ114" s="1494"/>
    </row>
    <row s="13073" customFormat="1" customHeight="1" ht="11.25" hidden="1">
      <c r="A115" s="500"/>
      <c r="B115" s="500"/>
      <c r="Y115" s="1487"/>
      <c r="Z115" s="1487"/>
      <c r="AA115" s="1487"/>
      <c r="AB115" s="1487"/>
      <c r="AC115" s="1487"/>
      <c r="AD115" s="1487"/>
      <c r="AE115" s="1487"/>
      <c r="AF115" s="1487"/>
      <c r="AG115" s="1487"/>
      <c r="AH115" s="1487"/>
      <c r="AI115" s="1487"/>
      <c r="AJ115" s="1487"/>
      <c r="AK115" s="1487"/>
      <c r="AL115" s="1487"/>
      <c r="AM115" s="1487"/>
      <c r="AN115" s="1487"/>
      <c r="AO115" s="1487"/>
      <c r="AP115" s="1487"/>
      <c r="AQ115" s="1487"/>
    </row>
    <row s="13073" customFormat="1" customHeight="1" ht="17.25" hidden="1">
      <c r="A116" s="544"/>
      <c r="C116" s="432"/>
      <c r="D116" s="2278">
        <v>1</v>
      </c>
      <c r="E116" s="2280" t="s">
        <v>265</v>
      </c>
      <c r="F116" s="2282" t="s">
        <v>56</v>
      </c>
      <c r="G116" s="2280"/>
      <c r="H116" s="2285"/>
      <c r="I116" s="2287"/>
      <c r="J116" s="2289"/>
      <c r="K116" s="2272"/>
      <c r="L116" s="2272"/>
      <c r="M116" s="2272"/>
      <c r="N116" s="2274"/>
      <c r="O116" s="2272"/>
      <c r="P116" s="2272"/>
      <c r="Q116" s="2272"/>
      <c r="R116" s="2277"/>
      <c r="S116" s="2272"/>
      <c r="T116" s="1698"/>
      <c r="U116" s="1698"/>
      <c r="V116" s="1700"/>
      <c r="W116" s="1524"/>
      <c r="Y116" s="1495"/>
      <c r="Z116" s="1495"/>
      <c r="AA116" s="1495"/>
      <c r="AB116" s="1495"/>
      <c r="AC116" s="1495" t="s">
        <v>266</v>
      </c>
      <c r="AD116" s="1495" t="s">
        <v>267</v>
      </c>
      <c r="AE116" s="1495" t="s">
        <v>268</v>
      </c>
      <c r="AF116" s="1495" t="s">
        <v>269</v>
      </c>
      <c r="AG116" s="1495"/>
      <c r="AH116" s="1495" t="str">
        <f>IF($E$116=0,"",$E$116)</f>
        <v>Тариф на водоотведение</v>
      </c>
      <c r="AI116" s="1495" t="str">
        <f>IF($G$116=0,"",$G$116)</f>
        <v/>
      </c>
      <c r="AJ116" s="1495" t="str">
        <f>IF($J$116=0,"",$J$116)</f>
        <v/>
      </c>
      <c r="AK116" s="1495" t="str">
        <f>IF($K$116="нет","без дифференциации",IF($N$116=0,"",$N$116))</f>
        <v/>
      </c>
      <c r="AL116" s="1495" t="str">
        <f>IF($O$116="нет","без дифференциации",IF($R$116=0,"",$R$116))</f>
        <v/>
      </c>
      <c r="AM116" s="1495" t="str">
        <f>IF($S$116="нет","без дифференциации",IF($V$116=0,"",$V$116))</f>
        <v/>
      </c>
      <c r="AN116" s="1495">
        <f>$I$116</f>
        <v>0</v>
      </c>
      <c r="AO116" s="1495" t="str">
        <f>$I$116&amp;"."&amp;$M$116</f>
        <v>.</v>
      </c>
      <c r="AP116" s="1495" t="str">
        <f>$I$116&amp;"."&amp;$M$116&amp;"."&amp;$Q$116</f>
        <v>..</v>
      </c>
      <c r="AQ116" s="1495" t="str">
        <f>$I$116&amp;"."&amp;$M$116&amp;"."&amp;$Q$116&amp;"."&amp;$U$116</f>
        <v>...</v>
      </c>
    </row>
    <row s="13073" customFormat="1" customHeight="1" ht="17.25" hidden="1">
      <c r="A117" s="544"/>
      <c r="C117" s="543"/>
      <c r="D117" s="2278"/>
      <c r="E117" s="2280"/>
      <c r="F117" s="2283"/>
      <c r="G117" s="2280"/>
      <c r="H117" s="2286"/>
      <c r="I117" s="2288"/>
      <c r="J117" s="2290"/>
      <c r="K117" s="2273"/>
      <c r="L117" s="2273"/>
      <c r="M117" s="2273"/>
      <c r="N117" s="2275"/>
      <c r="O117" s="2273"/>
      <c r="P117" s="2273"/>
      <c r="Q117" s="2273"/>
      <c r="R117" s="2276"/>
      <c r="S117" s="2273"/>
      <c r="T117" s="1525"/>
      <c r="U117" s="1525"/>
      <c r="V117" s="1525"/>
      <c r="W117" s="1526"/>
      <c r="Y117" s="1487"/>
      <c r="Z117" s="1487"/>
      <c r="AA117" s="1487"/>
      <c r="AB117" s="1487"/>
      <c r="AC117" s="1487"/>
      <c r="AD117" s="1487"/>
      <c r="AE117" s="1487"/>
      <c r="AF117" s="1487"/>
      <c r="AG117" s="1487"/>
      <c r="AH117" s="1487"/>
      <c r="AI117" s="1487"/>
      <c r="AJ117" s="1487"/>
      <c r="AK117" s="1487"/>
      <c r="AL117" s="1487"/>
      <c r="AM117" s="1487"/>
      <c r="AN117" s="1487"/>
      <c r="AO117" s="1487"/>
      <c r="AP117" s="1487"/>
      <c r="AQ117" s="1487"/>
    </row>
    <row s="13073" customFormat="1" customHeight="1" ht="17.25" hidden="1">
      <c r="A118" s="544"/>
      <c r="C118" s="432"/>
      <c r="D118" s="2278"/>
      <c r="E118" s="2280"/>
      <c r="F118" s="2283"/>
      <c r="G118" s="2280"/>
      <c r="H118" s="2286"/>
      <c r="I118" s="2288"/>
      <c r="J118" s="2291"/>
      <c r="K118" s="2273"/>
      <c r="L118" s="2273"/>
      <c r="M118" s="2273"/>
      <c r="N118" s="2276"/>
      <c r="O118" s="2273"/>
      <c r="P118" s="1699"/>
      <c r="Q118" s="1525"/>
      <c r="R118" s="1525"/>
      <c r="S118" s="552"/>
      <c r="T118" s="552"/>
      <c r="U118" s="552"/>
      <c r="V118" s="552"/>
      <c r="W118" s="1526"/>
      <c r="Y118" s="1495"/>
      <c r="Z118" s="1495"/>
      <c r="AA118" s="1495"/>
      <c r="AB118" s="1495"/>
      <c r="AC118" s="1495"/>
      <c r="AD118" s="1495"/>
      <c r="AE118" s="1495"/>
      <c r="AF118" s="1495"/>
      <c r="AG118" s="1495"/>
      <c r="AH118" s="1495"/>
      <c r="AI118" s="1495"/>
      <c r="AJ118" s="1495"/>
      <c r="AK118" s="1495"/>
      <c r="AL118" s="1495"/>
      <c r="AM118" s="1495"/>
      <c r="AN118" s="1495"/>
      <c r="AO118" s="1495"/>
      <c r="AP118" s="1495"/>
      <c r="AQ118" s="1495"/>
    </row>
    <row s="13073" customFormat="1" customHeight="1" ht="17.25" hidden="1">
      <c r="A119" s="544"/>
      <c r="C119" s="543"/>
      <c r="D119" s="2278"/>
      <c r="E119" s="2280"/>
      <c r="F119" s="2283"/>
      <c r="G119" s="2280"/>
      <c r="H119" s="2286"/>
      <c r="I119" s="2288"/>
      <c r="J119" s="2291"/>
      <c r="K119" s="2273"/>
      <c r="L119" s="1525"/>
      <c r="M119" s="1525"/>
      <c r="N119" s="1525"/>
      <c r="O119" s="1525"/>
      <c r="P119" s="1525"/>
      <c r="Q119" s="1525"/>
      <c r="R119" s="1525"/>
      <c r="S119" s="552"/>
      <c r="T119" s="552"/>
      <c r="U119" s="552"/>
      <c r="V119" s="552"/>
      <c r="W119" s="1526"/>
      <c r="Y119" s="1487"/>
      <c r="Z119" s="1487"/>
      <c r="AA119" s="1487"/>
      <c r="AB119" s="1487"/>
      <c r="AC119" s="1487"/>
      <c r="AD119" s="1487"/>
      <c r="AE119" s="1487"/>
      <c r="AF119" s="1487"/>
      <c r="AG119" s="1487"/>
      <c r="AH119" s="1487"/>
      <c r="AI119" s="1487"/>
      <c r="AJ119" s="1487"/>
      <c r="AK119" s="1487"/>
      <c r="AL119" s="1487"/>
      <c r="AM119" s="1487"/>
      <c r="AN119" s="1487"/>
      <c r="AO119" s="1487"/>
      <c r="AP119" s="1487"/>
      <c r="AQ119" s="1487"/>
    </row>
    <row s="13073" customFormat="1" customHeight="1" ht="17.25" hidden="1">
      <c r="A120" s="544"/>
      <c r="C120" s="543"/>
      <c r="D120" s="2279"/>
      <c r="E120" s="2281"/>
      <c r="F120" s="2284"/>
      <c r="G120" s="2281"/>
      <c r="H120" s="1527"/>
      <c r="I120" s="1528"/>
      <c r="J120" s="1528"/>
      <c r="K120" s="1528"/>
      <c r="L120" s="1528"/>
      <c r="M120" s="1528"/>
      <c r="N120" s="1528"/>
      <c r="O120" s="1528"/>
      <c r="P120" s="1528"/>
      <c r="Q120" s="1528"/>
      <c r="R120" s="1528"/>
      <c r="S120" s="1529"/>
      <c r="T120" s="1529"/>
      <c r="U120" s="1529"/>
      <c r="V120" s="1529"/>
      <c r="W120" s="1530"/>
      <c r="Y120" s="1487"/>
      <c r="Z120" s="1487"/>
      <c r="AA120" s="1487"/>
      <c r="AB120" s="1487"/>
      <c r="AC120" s="1487"/>
      <c r="AD120" s="1487"/>
      <c r="AE120" s="1487"/>
      <c r="AF120" s="1487"/>
      <c r="AG120" s="1487"/>
      <c r="AH120" s="1487"/>
      <c r="AI120" s="1487"/>
      <c r="AJ120" s="1487"/>
      <c r="AK120" s="1487"/>
      <c r="AL120" s="1487"/>
      <c r="AM120" s="1487"/>
      <c r="AN120" s="1487"/>
      <c r="AO120" s="1487"/>
      <c r="AP120" s="1487"/>
      <c r="AQ120" s="1487"/>
    </row>
    <row s="13073" customFormat="1" customHeight="1" ht="17.25" hidden="1">
      <c r="A121" s="544"/>
      <c r="C121" s="432"/>
      <c r="D121" s="2278">
        <v>2</v>
      </c>
      <c r="E121" s="2280" t="s">
        <v>270</v>
      </c>
      <c r="F121" s="2282" t="s">
        <v>56</v>
      </c>
      <c r="G121" s="2280"/>
      <c r="H121" s="2285"/>
      <c r="I121" s="2287"/>
      <c r="J121" s="2289"/>
      <c r="K121" s="2272"/>
      <c r="L121" s="2272"/>
      <c r="M121" s="2272"/>
      <c r="N121" s="2274"/>
      <c r="O121" s="2272"/>
      <c r="P121" s="2272"/>
      <c r="Q121" s="2272"/>
      <c r="R121" s="2277"/>
      <c r="S121" s="2272"/>
      <c r="T121" s="1698"/>
      <c r="U121" s="1698"/>
      <c r="V121" s="1700"/>
      <c r="W121" s="1524"/>
      <c r="X121" s="1495"/>
      <c r="Y121" s="1495"/>
      <c r="Z121" s="1495"/>
      <c r="AA121" s="1495"/>
      <c r="AB121" s="1495"/>
      <c r="AC121" s="1495" t="s">
        <v>271</v>
      </c>
      <c r="AD121" s="1495" t="s">
        <v>272</v>
      </c>
      <c r="AE121" s="1495" t="s">
        <v>273</v>
      </c>
      <c r="AF121" s="1495" t="s">
        <v>274</v>
      </c>
      <c r="AG121" s="1495"/>
      <c r="AH121" s="1495" t="str">
        <f>IF($E$121=0,"",$E$121)</f>
        <v>Тариф на транспортировку сточных вод</v>
      </c>
      <c r="AI121" s="1495" t="str">
        <f>IF($G$121=0,"",$G$121)</f>
        <v/>
      </c>
      <c r="AJ121" s="1495" t="str">
        <f>IF($J$121=0,"",$J$121)</f>
        <v/>
      </c>
      <c r="AK121" s="1495" t="str">
        <f>IF($K$121="нет","без дифференциации",IF($N$121=0,"",$N$121))</f>
        <v/>
      </c>
      <c r="AL121" s="1495" t="str">
        <f>IF($O$121="нет","без дифференциации",IF($R$121=0,"",$R$121))</f>
        <v/>
      </c>
      <c r="AM121" s="1495" t="str">
        <f>IF($S$121="нет","без дифференциации",IF($V$121=0,"",$V$121))</f>
        <v/>
      </c>
      <c r="AN121" s="2000">
        <f>$I$121</f>
        <v>0</v>
      </c>
      <c r="AO121" s="1495" t="str">
        <f>$I$121&amp;"."&amp;$M$121</f>
        <v>.</v>
      </c>
      <c r="AP121" s="1487" t="str">
        <f>$I$121&amp;"."&amp;$M$121&amp;"."&amp;$Q$121</f>
        <v>..</v>
      </c>
      <c r="AQ121" s="1487" t="str">
        <f>$I$121&amp;"."&amp;$M$121&amp;"."&amp;$Q$121&amp;"."&amp;$U$121</f>
        <v>...</v>
      </c>
    </row>
    <row s="13073" customFormat="1" customHeight="1" ht="17.25" hidden="1">
      <c r="A122" s="544"/>
      <c r="C122" s="543"/>
      <c r="D122" s="2278"/>
      <c r="E122" s="2280"/>
      <c r="F122" s="2283"/>
      <c r="G122" s="2280"/>
      <c r="H122" s="2286"/>
      <c r="I122" s="2288"/>
      <c r="J122" s="2290"/>
      <c r="K122" s="2273"/>
      <c r="L122" s="2273"/>
      <c r="M122" s="2273"/>
      <c r="N122" s="2275"/>
      <c r="O122" s="2273"/>
      <c r="P122" s="2273"/>
      <c r="Q122" s="2273"/>
      <c r="R122" s="2276"/>
      <c r="S122" s="2273"/>
      <c r="T122" s="1525"/>
      <c r="U122" s="1525"/>
      <c r="V122" s="1525"/>
      <c r="W122" s="1526"/>
      <c r="X122" s="1487"/>
      <c r="Y122" s="1487"/>
      <c r="Z122" s="1487"/>
      <c r="AA122" s="1487"/>
      <c r="AB122" s="1487"/>
      <c r="AC122" s="1487"/>
      <c r="AD122" s="1487"/>
      <c r="AE122" s="1487"/>
      <c r="AF122" s="1487"/>
      <c r="AG122" s="1487"/>
      <c r="AH122" s="1487"/>
      <c r="AI122" s="1487"/>
      <c r="AJ122" s="1487"/>
      <c r="AK122" s="1487"/>
      <c r="AL122" s="1487"/>
      <c r="AM122" s="1487"/>
      <c r="AN122" s="1487"/>
      <c r="AO122" s="1487"/>
      <c r="AP122" s="1487"/>
      <c r="AQ122" s="1487"/>
    </row>
    <row s="13073" customFormat="1" customHeight="1" ht="17.25" hidden="1">
      <c r="A123" s="544"/>
      <c r="C123" s="543"/>
      <c r="D123" s="2279"/>
      <c r="E123" s="2281"/>
      <c r="F123" s="2283"/>
      <c r="G123" s="2281"/>
      <c r="H123" s="2286"/>
      <c r="I123" s="2288"/>
      <c r="J123" s="2291"/>
      <c r="K123" s="2273"/>
      <c r="L123" s="2273"/>
      <c r="M123" s="2273"/>
      <c r="N123" s="2276"/>
      <c r="O123" s="2273"/>
      <c r="P123" s="1699"/>
      <c r="Q123" s="1525"/>
      <c r="R123" s="1525"/>
      <c r="S123" s="552"/>
      <c r="T123" s="552"/>
      <c r="U123" s="552"/>
      <c r="V123" s="552"/>
      <c r="W123" s="1526"/>
      <c r="X123" s="1487"/>
      <c r="Y123" s="1487"/>
      <c r="Z123" s="1487"/>
      <c r="AA123" s="1487"/>
      <c r="AB123" s="1487"/>
      <c r="AC123" s="1487"/>
      <c r="AD123" s="1487"/>
      <c r="AE123" s="1487"/>
      <c r="AF123" s="1487"/>
      <c r="AG123" s="1487"/>
      <c r="AH123" s="1487"/>
      <c r="AI123" s="1487"/>
      <c r="AJ123" s="1487"/>
      <c r="AK123" s="1487"/>
      <c r="AL123" s="1487"/>
      <c r="AM123" s="1487"/>
      <c r="AN123" s="1487"/>
      <c r="AO123" s="1487"/>
      <c r="AP123" s="1487"/>
      <c r="AQ123" s="1487"/>
    </row>
    <row s="13073" customFormat="1" customHeight="1" ht="17.25" hidden="1">
      <c r="A124" s="544"/>
      <c r="C124" s="543"/>
      <c r="D124" s="2279"/>
      <c r="E124" s="2281"/>
      <c r="F124" s="2283"/>
      <c r="G124" s="2281"/>
      <c r="H124" s="2286"/>
      <c r="I124" s="2288"/>
      <c r="J124" s="2291"/>
      <c r="K124" s="2273"/>
      <c r="L124" s="1525"/>
      <c r="M124" s="1525"/>
      <c r="N124" s="1525"/>
      <c r="O124" s="1525"/>
      <c r="P124" s="1525"/>
      <c r="Q124" s="1525"/>
      <c r="R124" s="1525"/>
      <c r="S124" s="552"/>
      <c r="T124" s="552"/>
      <c r="U124" s="552"/>
      <c r="V124" s="552"/>
      <c r="W124" s="1526"/>
      <c r="X124" s="1487"/>
      <c r="Y124" s="1487"/>
      <c r="Z124" s="1487"/>
      <c r="AA124" s="1487"/>
      <c r="AB124" s="1487"/>
      <c r="AC124" s="1487"/>
      <c r="AD124" s="1487"/>
      <c r="AE124" s="1487"/>
      <c r="AF124" s="1487"/>
      <c r="AG124" s="1487"/>
      <c r="AH124" s="1487"/>
      <c r="AI124" s="1487"/>
      <c r="AJ124" s="1487"/>
      <c r="AK124" s="1487"/>
      <c r="AL124" s="1487"/>
      <c r="AM124" s="1487"/>
      <c r="AN124" s="1487"/>
      <c r="AO124" s="1487"/>
      <c r="AP124" s="1487"/>
      <c r="AQ124" s="1487"/>
    </row>
    <row s="13073" customFormat="1" customHeight="1" ht="17.25" hidden="1">
      <c r="A125" s="544"/>
      <c r="C125" s="543"/>
      <c r="D125" s="2279"/>
      <c r="E125" s="2281"/>
      <c r="F125" s="2284"/>
      <c r="G125" s="2281"/>
      <c r="H125" s="1527"/>
      <c r="I125" s="1528"/>
      <c r="J125" s="1528"/>
      <c r="K125" s="1528"/>
      <c r="L125" s="1528"/>
      <c r="M125" s="1528"/>
      <c r="N125" s="1528"/>
      <c r="O125" s="1528"/>
      <c r="P125" s="1528"/>
      <c r="Q125" s="1528"/>
      <c r="R125" s="1528"/>
      <c r="S125" s="1529"/>
      <c r="T125" s="1529"/>
      <c r="U125" s="1529"/>
      <c r="V125" s="1529"/>
      <c r="W125" s="1530"/>
      <c r="X125" s="1487"/>
      <c r="Y125" s="1487"/>
      <c r="Z125" s="1487"/>
      <c r="AA125" s="1487"/>
      <c r="AB125" s="1487"/>
      <c r="AC125" s="1487"/>
      <c r="AD125" s="1487"/>
      <c r="AE125" s="1487"/>
      <c r="AF125" s="1487"/>
      <c r="AG125" s="1487"/>
      <c r="AH125" s="1487"/>
      <c r="AI125" s="1487"/>
      <c r="AJ125" s="1487"/>
      <c r="AK125" s="1487"/>
      <c r="AL125" s="1487"/>
      <c r="AM125" s="1487"/>
      <c r="AN125" s="1487"/>
      <c r="AO125" s="1487"/>
      <c r="AP125" s="1487"/>
      <c r="AQ125" s="1487"/>
    </row>
    <row s="13073" customFormat="1" customHeight="1" ht="17.25" hidden="1">
      <c r="A126" s="544"/>
      <c r="C126" s="432"/>
      <c r="D126" s="2278">
        <v>3</v>
      </c>
      <c r="E126" s="2280" t="s">
        <v>275</v>
      </c>
      <c r="F126" s="2282" t="s">
        <v>56</v>
      </c>
      <c r="G126" s="2280"/>
      <c r="H126" s="2285"/>
      <c r="I126" s="2287"/>
      <c r="J126" s="2289"/>
      <c r="K126" s="2272"/>
      <c r="L126" s="2272"/>
      <c r="M126" s="2272"/>
      <c r="N126" s="2274"/>
      <c r="O126" s="2272"/>
      <c r="P126" s="2272"/>
      <c r="Q126" s="2272"/>
      <c r="R126" s="2277"/>
      <c r="S126" s="2272"/>
      <c r="T126" s="2172"/>
      <c r="U126" s="2172"/>
      <c r="V126" s="2174"/>
      <c r="W126" s="1524"/>
      <c r="X126" s="1495"/>
      <c r="Y126" s="1495"/>
      <c r="Z126" s="1495"/>
      <c r="AA126" s="1495"/>
      <c r="AB126" s="1495"/>
      <c r="AC126" s="1495" t="s">
        <v>276</v>
      </c>
      <c r="AD126" s="1495" t="s">
        <v>277</v>
      </c>
      <c r="AE126" s="1495" t="s">
        <v>278</v>
      </c>
      <c r="AF126" s="1495" t="s">
        <v>279</v>
      </c>
      <c r="AG126" s="1495"/>
      <c r="AH126" s="1495" t="str">
        <f>IF($E$126=0,"",$E$126)</f>
        <v>Тариф на подключение (технологическое присоединение) к централизованной системе водоотведения</v>
      </c>
      <c r="AI126" s="1495" t="str">
        <f>IF($G$126=0,"",$G$126)</f>
        <v/>
      </c>
      <c r="AJ126" s="1495" t="str">
        <f>IF($J$126=0,"",$J$126)</f>
        <v/>
      </c>
      <c r="AK126" s="1495" t="str">
        <f>IF($K$126="нет","без дифференциации",IF($N$126=0,"",$N$126))</f>
        <v/>
      </c>
      <c r="AL126" s="1495" t="str">
        <f>IF($O$126="нет","без дифференциации",IF($R$126=0,"",$R$126))</f>
        <v/>
      </c>
      <c r="AM126" s="1495" t="str">
        <f>IF($S$126="нет","без дифференциации",IF($V$126=0,"",$V$126))</f>
        <v/>
      </c>
      <c r="AN126" s="2000">
        <f>$I$126</f>
        <v>0</v>
      </c>
      <c r="AO126" s="1495" t="str">
        <f>$I$126&amp;"."&amp;$M$126</f>
        <v>.</v>
      </c>
      <c r="AP126" s="1494" t="str">
        <f>$I$126&amp;"."&amp;$M$126&amp;"."&amp;$Q$126</f>
        <v>..</v>
      </c>
      <c r="AQ126" s="1494" t="str">
        <f>$I$126&amp;"."&amp;$M$126&amp;"."&amp;$Q$126&amp;"."&amp;$U$126</f>
        <v>...</v>
      </c>
    </row>
    <row s="13073" customFormat="1" customHeight="1" ht="17.25" hidden="1">
      <c r="A127" s="544"/>
      <c r="C127" s="543"/>
      <c r="D127" s="2278"/>
      <c r="E127" s="2280"/>
      <c r="F127" s="2283"/>
      <c r="G127" s="2280"/>
      <c r="H127" s="2286"/>
      <c r="I127" s="2288"/>
      <c r="J127" s="2290"/>
      <c r="K127" s="2273"/>
      <c r="L127" s="2273"/>
      <c r="M127" s="2273"/>
      <c r="N127" s="2275"/>
      <c r="O127" s="2273"/>
      <c r="P127" s="2273"/>
      <c r="Q127" s="2273"/>
      <c r="R127" s="2276"/>
      <c r="S127" s="2273"/>
      <c r="T127" s="2177"/>
      <c r="U127" s="2177"/>
      <c r="V127" s="2177"/>
      <c r="W127" s="2178"/>
      <c r="X127" s="1494"/>
      <c r="Y127" s="1494"/>
      <c r="Z127" s="1494"/>
      <c r="AA127" s="1494"/>
      <c r="AB127" s="1494"/>
      <c r="AC127" s="1494"/>
      <c r="AD127" s="1494"/>
      <c r="AE127" s="1494"/>
      <c r="AF127" s="1494"/>
      <c r="AG127" s="1494"/>
      <c r="AH127" s="1494"/>
      <c r="AI127" s="1494"/>
      <c r="AJ127" s="1494"/>
      <c r="AK127" s="1494"/>
      <c r="AL127" s="1494"/>
      <c r="AM127" s="1494"/>
      <c r="AN127" s="1494"/>
      <c r="AO127" s="1494"/>
      <c r="AP127" s="1494"/>
      <c r="AQ127" s="1494"/>
    </row>
    <row s="13073" customFormat="1" customHeight="1" ht="17.25" hidden="1">
      <c r="A128" s="544"/>
      <c r="C128" s="543"/>
      <c r="D128" s="2279"/>
      <c r="E128" s="2281"/>
      <c r="F128" s="2283"/>
      <c r="G128" s="2281"/>
      <c r="H128" s="2286"/>
      <c r="I128" s="2288"/>
      <c r="J128" s="2291"/>
      <c r="K128" s="2273"/>
      <c r="L128" s="2273"/>
      <c r="M128" s="2273"/>
      <c r="N128" s="2276"/>
      <c r="O128" s="2273"/>
      <c r="P128" s="2173"/>
      <c r="Q128" s="2177"/>
      <c r="R128" s="2177"/>
      <c r="S128" s="552"/>
      <c r="T128" s="552"/>
      <c r="U128" s="552"/>
      <c r="V128" s="552"/>
      <c r="W128" s="2178"/>
      <c r="X128" s="1494"/>
      <c r="Y128" s="1494"/>
      <c r="Z128" s="1494"/>
      <c r="AA128" s="1494"/>
      <c r="AB128" s="1494"/>
      <c r="AC128" s="1494"/>
      <c r="AD128" s="1494"/>
      <c r="AE128" s="1494"/>
      <c r="AF128" s="1494"/>
      <c r="AG128" s="1494"/>
      <c r="AH128" s="1494"/>
      <c r="AI128" s="1494"/>
      <c r="AJ128" s="1494"/>
      <c r="AK128" s="1494"/>
      <c r="AL128" s="1494"/>
      <c r="AM128" s="1494"/>
      <c r="AN128" s="1494"/>
      <c r="AO128" s="1494"/>
      <c r="AP128" s="1494"/>
      <c r="AQ128" s="1494"/>
    </row>
    <row s="13073" customFormat="1" customHeight="1" ht="17.25" hidden="1">
      <c r="A129" s="544"/>
      <c r="C129" s="543"/>
      <c r="D129" s="2279"/>
      <c r="E129" s="2281"/>
      <c r="F129" s="2283"/>
      <c r="G129" s="2281"/>
      <c r="H129" s="2286"/>
      <c r="I129" s="2288"/>
      <c r="J129" s="2291"/>
      <c r="K129" s="2273"/>
      <c r="L129" s="2177"/>
      <c r="M129" s="2177"/>
      <c r="N129" s="2177"/>
      <c r="O129" s="2177"/>
      <c r="P129" s="2177"/>
      <c r="Q129" s="2177"/>
      <c r="R129" s="2177"/>
      <c r="S129" s="552"/>
      <c r="T129" s="552"/>
      <c r="U129" s="552"/>
      <c r="V129" s="552"/>
      <c r="W129" s="2178"/>
      <c r="X129" s="1494"/>
      <c r="Y129" s="1494"/>
      <c r="Z129" s="1494"/>
      <c r="AA129" s="1494"/>
      <c r="AB129" s="1494"/>
      <c r="AC129" s="1494"/>
      <c r="AD129" s="1494"/>
      <c r="AE129" s="1494"/>
      <c r="AF129" s="1494"/>
      <c r="AG129" s="1494"/>
      <c r="AH129" s="1494"/>
      <c r="AI129" s="1494"/>
      <c r="AJ129" s="1494"/>
      <c r="AK129" s="1494"/>
      <c r="AL129" s="1494"/>
      <c r="AM129" s="1494"/>
      <c r="AN129" s="1494"/>
      <c r="AO129" s="1494"/>
      <c r="AP129" s="1494"/>
      <c r="AQ129" s="1494"/>
    </row>
    <row s="13073" customFormat="1" customHeight="1" ht="17.25" hidden="1">
      <c r="A130" s="544"/>
      <c r="C130" s="543"/>
      <c r="D130" s="2279"/>
      <c r="E130" s="2281"/>
      <c r="F130" s="2284"/>
      <c r="G130" s="2281"/>
      <c r="H130" s="1527"/>
      <c r="I130" s="2175"/>
      <c r="J130" s="2175"/>
      <c r="K130" s="2175"/>
      <c r="L130" s="2175"/>
      <c r="M130" s="2175"/>
      <c r="N130" s="2175"/>
      <c r="O130" s="2175"/>
      <c r="P130" s="2175"/>
      <c r="Q130" s="2175"/>
      <c r="R130" s="2175"/>
      <c r="S130" s="1529"/>
      <c r="T130" s="1529"/>
      <c r="U130" s="1529"/>
      <c r="V130" s="1529"/>
      <c r="W130" s="2176"/>
      <c r="X130" s="1494"/>
      <c r="Y130" s="1494"/>
      <c r="Z130" s="1494"/>
      <c r="AA130" s="1494"/>
      <c r="AB130" s="1494"/>
      <c r="AC130" s="1494"/>
      <c r="AD130" s="1494"/>
      <c r="AE130" s="1494"/>
      <c r="AF130" s="1494"/>
      <c r="AG130" s="1494"/>
      <c r="AH130" s="1494"/>
      <c r="AI130" s="1494"/>
      <c r="AJ130" s="1494"/>
      <c r="AK130" s="1494"/>
      <c r="AL130" s="1494"/>
      <c r="AM130" s="1494"/>
      <c r="AN130" s="1494"/>
      <c r="AO130" s="1494"/>
      <c r="AP130" s="1494"/>
      <c r="AQ130" s="1494"/>
    </row>
    <row r="134" customHeight="1" ht="11.25">
      <c r="E134" s="1578"/>
    </row>
    <row customHeight="1" ht="11.25">
      <c r="E135" s="1578"/>
    </row>
    <row customHeight="1" ht="11.25">
      <c r="E136" s="1578"/>
    </row>
    <row customHeight="1" ht="11.25">
      <c r="E137" s="1578"/>
    </row>
    <row customHeight="1" ht="11.25">
      <c r="E138" s="1578"/>
    </row>
    <row customHeight="1" ht="11.25">
      <c r="E139" s="1578"/>
    </row>
    <row customHeight="1" ht="11.25">
      <c r="E140" s="1578"/>
    </row>
  </sheetData>
  <sheetProtection formatColumns="0" formatRows="0" autoFilter="0" sort="0" insertRows="0" insertColumns="1" deleteRows="0" deleteColumns="0"/>
  <mergeCells count="364">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FB6E9-61A2-53C6-79AF-C943BA221C0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3234" width="9.140625" hidden="1"/>
    <col min="3" max="4" style="13234" width="3.7109375" customWidth="1"/>
    <col min="5" max="6" style="13234" width="16.00390625" customWidth="1"/>
    <col min="7" max="7" style="13234" width="11.57421875" customWidth="1"/>
    <col min="8" max="9" style="13234" width="3.7109375" customWidth="1"/>
    <col min="10" max="10" style="13234" width="13.140625" customWidth="1"/>
    <col min="11" max="11" style="13234" width="0.28125" customWidth="1"/>
    <col min="12" max="13" style="13234" width="10.7109375" customWidth="1"/>
    <col min="14" max="15" style="13234" width="3.7109375" customWidth="1"/>
    <col min="16" max="16" style="13234" width="19.7109375" customWidth="1"/>
    <col min="17" max="17" style="13234" width="0.28125" customWidth="1"/>
    <col min="18" max="19" style="13234" width="10.7109375" customWidth="1"/>
    <col min="20" max="21" style="13234" width="3.7109375" customWidth="1"/>
    <col min="22" max="22" style="13234" width="25.7109375" customWidth="1"/>
    <col min="23" max="23" style="13234" width="0.28125" customWidth="1"/>
    <col min="24" max="25" style="13234" width="10.7109375" customWidth="1"/>
    <col min="26" max="27" style="13234" width="3.7109375" customWidth="1"/>
    <col min="28" max="28" style="13234" width="16.421875" customWidth="1"/>
    <col min="29" max="29" style="13234" width="0.28125" customWidth="1"/>
    <col min="30" max="31" style="13234" width="10.7109375" customWidth="1"/>
    <col min="32" max="33" style="13234" width="3.7109375" customWidth="1"/>
    <col min="34" max="34" style="13234" width="8.7109375" customWidth="1"/>
    <col min="35" max="35" style="13234" width="21.7109375" customWidth="1"/>
    <col min="36" max="36" style="12863" width="9.140625"/>
    <col min="37" max="37" style="13235" width="9.140625"/>
    <col min="38" max="64" style="12863" width="9.140625"/>
  </cols>
  <sheetData>
    <row s="13158" customFormat="1" customHeight="1" ht="11.25" hidden="1">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row>
    <row s="13159" customFormat="1" customHeight="1" ht="11.25" hidden="1">
      <c r="L2" s="1781" t="s">
        <v>280</v>
      </c>
      <c r="M2" s="1781" t="s">
        <v>281</v>
      </c>
      <c r="R2" s="1781" t="s">
        <v>282</v>
      </c>
      <c r="S2" s="1781" t="s">
        <v>281</v>
      </c>
      <c r="X2" s="1781" t="s">
        <v>280</v>
      </c>
      <c r="Y2" s="1781" t="s">
        <v>281</v>
      </c>
      <c r="AD2" s="1781" t="s">
        <v>280</v>
      </c>
      <c r="AE2" s="1781" t="s">
        <v>281</v>
      </c>
      <c r="AJ2" s="1803"/>
      <c r="AK2" s="1803"/>
      <c r="AL2" s="1803"/>
      <c r="AM2" s="1803"/>
      <c r="AN2" s="1803"/>
      <c r="AO2" s="1803"/>
      <c r="AP2" s="1803"/>
      <c r="AQ2" s="1803"/>
      <c r="AR2" s="1803"/>
      <c r="AS2" s="1803"/>
      <c r="AT2" s="1803"/>
      <c r="AU2" s="1803"/>
      <c r="AV2" s="1803"/>
      <c r="AW2" s="1803"/>
      <c r="AX2" s="1803"/>
      <c r="AY2" s="1803"/>
      <c r="AZ2" s="1803"/>
      <c r="BA2" s="1803"/>
      <c r="BB2" s="1803"/>
      <c r="BC2" s="1803"/>
      <c r="BD2" s="1803"/>
      <c r="BE2" s="1803"/>
      <c r="BF2" s="1803"/>
      <c r="BG2" s="1803"/>
      <c r="BH2" s="1803"/>
      <c r="BI2" s="1803"/>
      <c r="BJ2" s="1803"/>
      <c r="BK2" s="1803"/>
      <c r="BL2" s="1803"/>
    </row>
    <row s="13162" customFormat="1" customHeight="1" ht="11.25">
      <c r="AJ3" s="1802"/>
      <c r="AK3" s="529"/>
      <c r="AL3" s="1802"/>
      <c r="AM3" s="1802"/>
      <c r="AN3" s="1802"/>
      <c r="AO3" s="1802"/>
      <c r="AP3" s="1802"/>
      <c r="AQ3" s="1802"/>
      <c r="AR3" s="1802"/>
      <c r="AS3" s="1802"/>
      <c r="AT3" s="1802"/>
      <c r="AU3" s="1802"/>
      <c r="AV3" s="1802"/>
      <c r="AW3" s="1802"/>
      <c r="AX3" s="1802"/>
      <c r="AY3" s="1802"/>
      <c r="AZ3" s="1802"/>
      <c r="BA3" s="1802"/>
      <c r="BB3" s="1802"/>
      <c r="BC3" s="1802"/>
      <c r="BD3" s="1802"/>
      <c r="BE3" s="1802"/>
      <c r="BF3" s="1802"/>
      <c r="BG3" s="1802"/>
      <c r="BH3" s="1802"/>
      <c r="BI3" s="1802"/>
      <c r="BJ3" s="1802"/>
      <c r="BK3" s="1802"/>
      <c r="BL3" s="1802"/>
    </row>
    <row s="12854" customFormat="1" customHeight="1" ht="33">
      <c r="A4" s="1381"/>
      <c r="B4" s="1380"/>
      <c r="C4" s="1743"/>
      <c r="D4" s="2310" t="s">
        <v>283</v>
      </c>
      <c r="E4" s="2310"/>
      <c r="F4" s="2310"/>
      <c r="G4" s="2310"/>
      <c r="H4" s="2310"/>
      <c r="I4" s="2310"/>
      <c r="J4" s="2310"/>
      <c r="K4" s="922"/>
      <c r="T4" s="1783"/>
      <c r="AJ4" s="1804"/>
      <c r="AK4" s="1805"/>
      <c r="AL4" s="1804"/>
      <c r="AM4" s="1804"/>
      <c r="AN4" s="1804"/>
      <c r="AO4" s="1804"/>
      <c r="AP4" s="1804"/>
      <c r="AQ4" s="1804"/>
      <c r="AR4" s="1804"/>
      <c r="AS4" s="1804"/>
      <c r="AT4" s="1804"/>
      <c r="AU4" s="1804"/>
      <c r="AV4" s="1804"/>
      <c r="AW4" s="1804"/>
      <c r="AX4" s="1804"/>
      <c r="AY4" s="1804"/>
      <c r="AZ4" s="1804"/>
      <c r="BA4" s="1804"/>
      <c r="BB4" s="1804"/>
      <c r="BC4" s="1804"/>
      <c r="BD4" s="1804"/>
      <c r="BE4" s="1804"/>
      <c r="BF4" s="1804"/>
      <c r="BG4" s="1804"/>
      <c r="BH4" s="1804"/>
      <c r="BI4" s="1804"/>
      <c r="BJ4" s="1804"/>
      <c r="BK4" s="1804"/>
      <c r="BL4" s="1804"/>
    </row>
    <row s="13173" customFormat="1" customHeight="1" ht="14.25">
      <c r="A5" s="1860"/>
      <c r="B5" s="1859"/>
      <c r="C5" s="1743"/>
      <c r="D5" s="2336" t="str">
        <f>IF(org=0,"Не определено",org)</f>
        <v>ООО "Новая Энергетика"</v>
      </c>
      <c r="E5" s="2336"/>
      <c r="F5" s="2336"/>
      <c r="G5" s="2336"/>
      <c r="H5" s="2336"/>
      <c r="I5" s="2336"/>
      <c r="J5" s="2336"/>
      <c r="K5" s="922"/>
      <c r="T5" s="1783"/>
      <c r="AJ5" s="1804"/>
      <c r="AK5" s="1805"/>
      <c r="AL5" s="1804"/>
      <c r="AM5" s="1804"/>
      <c r="AN5" s="1804"/>
      <c r="AO5" s="1804"/>
      <c r="AP5" s="1804"/>
      <c r="AQ5" s="1804"/>
      <c r="AR5" s="1804"/>
      <c r="AS5" s="1804"/>
      <c r="AT5" s="1804"/>
      <c r="AU5" s="1804"/>
      <c r="AV5" s="1804"/>
      <c r="AW5" s="1804"/>
      <c r="AX5" s="1804"/>
      <c r="AY5" s="1804"/>
      <c r="AZ5" s="1804"/>
      <c r="BA5" s="1804"/>
      <c r="BB5" s="1804"/>
      <c r="BC5" s="1804"/>
      <c r="BD5" s="1804"/>
      <c r="BE5" s="1804"/>
      <c r="BF5" s="1804"/>
      <c r="BG5" s="1804"/>
      <c r="BH5" s="1804"/>
      <c r="BI5" s="1804"/>
      <c r="BJ5" s="1804"/>
      <c r="BK5" s="1804"/>
      <c r="BL5" s="1804"/>
    </row>
    <row s="12854" customFormat="1" customHeight="1" ht="14.25">
      <c r="A6" s="1381"/>
      <c r="B6" s="1380"/>
      <c r="C6" s="1743"/>
      <c r="D6" s="922"/>
      <c r="E6" s="922"/>
      <c r="F6" s="922"/>
      <c r="G6" s="922"/>
      <c r="H6" s="922"/>
      <c r="I6" s="922"/>
      <c r="J6" s="922"/>
      <c r="K6" s="922"/>
      <c r="T6" s="1783"/>
      <c r="AJ6" s="1804"/>
      <c r="AK6" s="1805"/>
      <c r="AL6" s="1804"/>
      <c r="AM6" s="1804"/>
      <c r="AN6" s="1804"/>
      <c r="AO6" s="1804"/>
      <c r="AP6" s="1804"/>
      <c r="AQ6" s="1804"/>
      <c r="AR6" s="1804"/>
      <c r="AS6" s="1804"/>
      <c r="AT6" s="1804"/>
      <c r="AU6" s="1804"/>
      <c r="AV6" s="1804"/>
      <c r="AW6" s="1804"/>
      <c r="AX6" s="1804"/>
      <c r="AY6" s="1804"/>
      <c r="AZ6" s="1804"/>
      <c r="BA6" s="1804"/>
      <c r="BB6" s="1804"/>
      <c r="BC6" s="1804"/>
      <c r="BD6" s="1804"/>
      <c r="BE6" s="1804"/>
      <c r="BF6" s="1804"/>
      <c r="BG6" s="1804"/>
      <c r="BH6" s="1804"/>
      <c r="BI6" s="1804"/>
      <c r="BJ6" s="1804"/>
      <c r="BK6" s="1804"/>
      <c r="BL6" s="1804"/>
    </row>
    <row s="13158" customFormat="1" customHeight="1" ht="0.75">
      <c r="AJ7" s="645"/>
      <c r="AK7" s="645"/>
      <c r="AL7" s="645"/>
      <c r="AM7" s="645"/>
      <c r="AN7" s="645"/>
      <c r="AO7" s="645"/>
      <c r="AP7" s="645"/>
      <c r="AQ7" s="645"/>
      <c r="AR7" s="645"/>
      <c r="AS7" s="645"/>
      <c r="AT7" s="645"/>
      <c r="AU7" s="645"/>
      <c r="AV7" s="645"/>
      <c r="AW7" s="645"/>
      <c r="AX7" s="645"/>
      <c r="AY7" s="645"/>
      <c r="AZ7" s="645"/>
      <c r="BA7" s="645"/>
      <c r="BB7" s="645"/>
      <c r="BC7" s="645"/>
      <c r="BD7" s="645"/>
      <c r="BE7" s="645"/>
      <c r="BF7" s="645"/>
      <c r="BG7" s="645"/>
      <c r="BH7" s="645"/>
      <c r="BI7" s="645"/>
      <c r="BJ7" s="645"/>
      <c r="BK7" s="645"/>
      <c r="BL7" s="645"/>
    </row>
    <row customHeight="1" ht="31.5">
      <c r="D8" s="2254" t="s">
        <v>87</v>
      </c>
      <c r="E8" s="2254" t="s">
        <v>104</v>
      </c>
      <c r="F8" s="2312" t="s">
        <v>121</v>
      </c>
      <c r="G8" s="2313"/>
      <c r="H8" s="2312" t="s">
        <v>87</v>
      </c>
      <c r="I8" s="2313"/>
      <c r="J8" s="2254" t="s">
        <v>122</v>
      </c>
      <c r="K8" s="1784"/>
      <c r="L8" s="2316" t="s">
        <v>284</v>
      </c>
      <c r="M8" s="2316"/>
      <c r="N8" s="2316"/>
      <c r="O8" s="2316"/>
      <c r="P8" s="2316"/>
      <c r="Q8" s="1785"/>
      <c r="R8" s="2233" t="s">
        <v>285</v>
      </c>
      <c r="S8" s="2317"/>
      <c r="T8" s="2317"/>
      <c r="U8" s="2317"/>
      <c r="V8" s="2317"/>
      <c r="W8" s="1785"/>
      <c r="X8" s="2318" t="s">
        <v>286</v>
      </c>
      <c r="Y8" s="2318"/>
      <c r="Z8" s="2318"/>
      <c r="AA8" s="2318"/>
      <c r="AB8" s="2318"/>
      <c r="AC8" s="1786"/>
      <c r="AD8" s="2254" t="s">
        <v>287</v>
      </c>
      <c r="AE8" s="2254"/>
      <c r="AF8" s="2254"/>
      <c r="AG8" s="2254"/>
      <c r="AH8" s="2238"/>
      <c r="AI8" s="2254" t="s">
        <v>288</v>
      </c>
      <c r="AJ8" s="1802"/>
    </row>
    <row customHeight="1" ht="22.5">
      <c r="D9" s="2254"/>
      <c r="E9" s="2254"/>
      <c r="F9" s="2311" t="s">
        <v>88</v>
      </c>
      <c r="G9" s="2311" t="s">
        <v>127</v>
      </c>
      <c r="H9" s="2314"/>
      <c r="I9" s="2315"/>
      <c r="J9" s="2238"/>
      <c r="K9" s="1787"/>
      <c r="L9" s="2254" t="s">
        <v>289</v>
      </c>
      <c r="M9" s="2238"/>
      <c r="N9" s="2312" t="s">
        <v>87</v>
      </c>
      <c r="O9" s="2313"/>
      <c r="P9" s="2254" t="s">
        <v>128</v>
      </c>
      <c r="Q9" s="1784"/>
      <c r="R9" s="2254" t="s">
        <v>289</v>
      </c>
      <c r="S9" s="2238"/>
      <c r="T9" s="2312" t="s">
        <v>87</v>
      </c>
      <c r="U9" s="2313"/>
      <c r="V9" s="2254" t="s">
        <v>128</v>
      </c>
      <c r="W9" s="1784"/>
      <c r="X9" s="2254" t="s">
        <v>289</v>
      </c>
      <c r="Y9" s="2238"/>
      <c r="Z9" s="2312" t="s">
        <v>87</v>
      </c>
      <c r="AA9" s="2313"/>
      <c r="AB9" s="2254" t="s">
        <v>290</v>
      </c>
      <c r="AC9" s="1784"/>
      <c r="AD9" s="2254" t="s">
        <v>289</v>
      </c>
      <c r="AE9" s="2238"/>
      <c r="AF9" s="2312" t="s">
        <v>87</v>
      </c>
      <c r="AG9" s="2313"/>
      <c r="AH9" s="2238" t="s">
        <v>290</v>
      </c>
      <c r="AI9" s="2254"/>
      <c r="AJ9" s="1802"/>
    </row>
    <row customHeight="1" ht="22.5">
      <c r="D10" s="2311"/>
      <c r="E10" s="2311"/>
      <c r="F10" s="2319"/>
      <c r="G10" s="2319"/>
      <c r="H10" s="2320"/>
      <c r="I10" s="2321"/>
      <c r="J10" s="2312"/>
      <c r="K10" s="1787"/>
      <c r="L10" s="1806" t="s">
        <v>291</v>
      </c>
      <c r="M10" s="1801" t="s">
        <v>292</v>
      </c>
      <c r="N10" s="2314"/>
      <c r="O10" s="2315"/>
      <c r="P10" s="2311"/>
      <c r="Q10" s="1784"/>
      <c r="R10" s="1806" t="s">
        <v>291</v>
      </c>
      <c r="S10" s="1801" t="s">
        <v>292</v>
      </c>
      <c r="T10" s="2314"/>
      <c r="U10" s="2315"/>
      <c r="V10" s="2311"/>
      <c r="W10" s="1784"/>
      <c r="X10" s="1806" t="s">
        <v>291</v>
      </c>
      <c r="Y10" s="1801" t="s">
        <v>292</v>
      </c>
      <c r="Z10" s="2314"/>
      <c r="AA10" s="2315"/>
      <c r="AB10" s="2311"/>
      <c r="AC10" s="1784"/>
      <c r="AD10" s="1806" t="s">
        <v>291</v>
      </c>
      <c r="AE10" s="1801" t="s">
        <v>292</v>
      </c>
      <c r="AF10" s="2314"/>
      <c r="AG10" s="2315"/>
      <c r="AH10" s="2312"/>
      <c r="AI10" s="2311"/>
      <c r="AJ10" s="1802"/>
      <c r="AK10" s="477" t="s">
        <v>293</v>
      </c>
      <c r="AL10" s="477" t="s">
        <v>129</v>
      </c>
    </row>
    <row customHeight="1" ht="14.25">
      <c r="D11" s="2322" t="s">
        <v>108</v>
      </c>
      <c r="E11" s="2324" t="s">
        <v>294</v>
      </c>
      <c r="F11" s="2324" t="s">
        <v>295</v>
      </c>
      <c r="G11" s="2327" t="s">
        <v>56</v>
      </c>
      <c r="H11" s="1827"/>
      <c r="I11" s="2329"/>
      <c r="J11" s="2289"/>
      <c r="K11" s="1742"/>
      <c r="L11" s="2272"/>
      <c r="M11" s="2272"/>
      <c r="N11" s="1812"/>
      <c r="O11" s="2272"/>
      <c r="P11" s="2289"/>
      <c r="Q11" s="1813"/>
      <c r="R11" s="2272"/>
      <c r="S11" s="2272"/>
      <c r="T11" s="1814"/>
      <c r="U11" s="2272"/>
      <c r="V11" s="2289"/>
      <c r="W11" s="1815"/>
      <c r="X11" s="2272"/>
      <c r="Y11" s="2272"/>
      <c r="Z11" s="1812"/>
      <c r="AA11" s="2272"/>
      <c r="AB11" s="2289"/>
      <c r="AC11" s="1816"/>
      <c r="AD11" s="2272"/>
      <c r="AE11" s="2272"/>
      <c r="AF11" s="1741"/>
      <c r="AG11" s="1741"/>
      <c r="AH11" s="1817"/>
      <c r="AI11" s="1524"/>
      <c r="AJ11" s="1802"/>
    </row>
    <row customHeight="1" ht="14.25">
      <c r="D12" s="2322"/>
      <c r="E12" s="2324"/>
      <c r="F12" s="2324"/>
      <c r="G12" s="2328"/>
      <c r="H12" s="1828"/>
      <c r="I12" s="2330"/>
      <c r="J12" s="2290"/>
      <c r="K12" s="1838"/>
      <c r="L12" s="2273"/>
      <c r="M12" s="2273"/>
      <c r="N12" s="1818"/>
      <c r="O12" s="2273"/>
      <c r="P12" s="2290"/>
      <c r="Q12" s="1819"/>
      <c r="R12" s="2273"/>
      <c r="S12" s="2273"/>
      <c r="T12" s="1820"/>
      <c r="U12" s="2273"/>
      <c r="V12" s="2290"/>
      <c r="W12" s="1821"/>
      <c r="X12" s="2273"/>
      <c r="Y12" s="2273"/>
      <c r="Z12" s="1818"/>
      <c r="AA12" s="2273"/>
      <c r="AB12" s="2290"/>
      <c r="AC12" s="1822"/>
      <c r="AD12" s="2273"/>
      <c r="AE12" s="2273"/>
      <c r="AF12" s="1823"/>
      <c r="AG12" s="1823"/>
      <c r="AH12" s="2333"/>
      <c r="AI12" s="2334"/>
      <c r="AJ12" s="1802"/>
    </row>
    <row customHeight="1" ht="14.25">
      <c r="D13" s="2322"/>
      <c r="E13" s="2324"/>
      <c r="F13" s="2324"/>
      <c r="G13" s="2328"/>
      <c r="H13" s="1828"/>
      <c r="I13" s="2330"/>
      <c r="J13" s="2290"/>
      <c r="K13" s="1838"/>
      <c r="L13" s="2273"/>
      <c r="M13" s="2273"/>
      <c r="N13" s="1818"/>
      <c r="O13" s="2273"/>
      <c r="P13" s="2290"/>
      <c r="Q13" s="1819"/>
      <c r="R13" s="2273"/>
      <c r="S13" s="2273"/>
      <c r="T13" s="1820"/>
      <c r="U13" s="2273"/>
      <c r="V13" s="2290"/>
      <c r="W13" s="1821"/>
      <c r="X13" s="2273"/>
      <c r="Y13" s="2273"/>
      <c r="Z13" s="1740"/>
      <c r="AA13" s="1823"/>
      <c r="AB13" s="2333"/>
      <c r="AC13" s="2333"/>
      <c r="AD13" s="2333"/>
      <c r="AE13" s="2333"/>
      <c r="AF13" s="2333"/>
      <c r="AG13" s="2333"/>
      <c r="AH13" s="2333"/>
      <c r="AI13" s="2334"/>
      <c r="AJ13" s="1802"/>
    </row>
    <row customHeight="1" ht="14.25">
      <c r="D14" s="2322"/>
      <c r="E14" s="2324"/>
      <c r="F14" s="2324"/>
      <c r="G14" s="2328"/>
      <c r="H14" s="1828"/>
      <c r="I14" s="2330"/>
      <c r="J14" s="2290"/>
      <c r="K14" s="1838"/>
      <c r="L14" s="2273"/>
      <c r="M14" s="2273"/>
      <c r="N14" s="1818"/>
      <c r="O14" s="2273"/>
      <c r="P14" s="2290"/>
      <c r="Q14" s="1819"/>
      <c r="R14" s="2273"/>
      <c r="S14" s="2273"/>
      <c r="T14" s="1824"/>
      <c r="U14" s="1825"/>
      <c r="V14" s="2333"/>
      <c r="W14" s="2333"/>
      <c r="X14" s="2333"/>
      <c r="Y14" s="2333"/>
      <c r="Z14" s="2333"/>
      <c r="AA14" s="2333"/>
      <c r="AB14" s="2333"/>
      <c r="AC14" s="2333"/>
      <c r="AD14" s="2333"/>
      <c r="AE14" s="2333"/>
      <c r="AF14" s="2333"/>
      <c r="AG14" s="2333"/>
      <c r="AH14" s="2333"/>
      <c r="AI14" s="2334"/>
      <c r="AJ14" s="1802"/>
    </row>
    <row customHeight="1" ht="11.25">
      <c r="D15" s="2322"/>
      <c r="E15" s="2324"/>
      <c r="F15" s="2324"/>
      <c r="G15" s="2328"/>
      <c r="H15" s="1829"/>
      <c r="I15" s="2330"/>
      <c r="J15" s="2290"/>
      <c r="K15" s="1838"/>
      <c r="L15" s="2273"/>
      <c r="M15" s="2273"/>
      <c r="N15" s="1823"/>
      <c r="O15" s="1823"/>
      <c r="P15" s="2333"/>
      <c r="Q15" s="2333"/>
      <c r="R15" s="2333"/>
      <c r="S15" s="2333"/>
      <c r="T15" s="2333"/>
      <c r="U15" s="2333"/>
      <c r="V15" s="2333"/>
      <c r="W15" s="2333"/>
      <c r="X15" s="2333"/>
      <c r="Y15" s="2333"/>
      <c r="Z15" s="2333"/>
      <c r="AA15" s="2333"/>
      <c r="AB15" s="2333"/>
      <c r="AC15" s="2333"/>
      <c r="AD15" s="2333"/>
      <c r="AE15" s="2333"/>
      <c r="AF15" s="2333"/>
      <c r="AG15" s="2333"/>
      <c r="AH15" s="2333"/>
      <c r="AI15" s="2334"/>
      <c r="AJ15" s="1802"/>
    </row>
    <row s="13162" customFormat="1" customHeight="1" ht="11.25">
      <c r="D16" s="2323"/>
      <c r="E16" s="2325"/>
      <c r="F16" s="2326"/>
      <c r="G16" s="2269"/>
      <c r="H16" s="1826"/>
      <c r="I16" s="1830"/>
      <c r="J16" s="2331"/>
      <c r="K16" s="2331"/>
      <c r="L16" s="2331"/>
      <c r="M16" s="2331"/>
      <c r="N16" s="2331"/>
      <c r="O16" s="2331"/>
      <c r="P16" s="2331"/>
      <c r="Q16" s="2331"/>
      <c r="R16" s="2331"/>
      <c r="S16" s="2331"/>
      <c r="T16" s="2331"/>
      <c r="U16" s="2331"/>
      <c r="V16" s="2331"/>
      <c r="W16" s="2331"/>
      <c r="X16" s="2331"/>
      <c r="Y16" s="2331"/>
      <c r="Z16" s="2331"/>
      <c r="AA16" s="2331"/>
      <c r="AB16" s="2331"/>
      <c r="AC16" s="2331"/>
      <c r="AD16" s="2331"/>
      <c r="AE16" s="2331"/>
      <c r="AF16" s="2331"/>
      <c r="AG16" s="2331"/>
      <c r="AH16" s="2331"/>
      <c r="AI16" s="2332"/>
      <c r="AJ16" s="1802"/>
      <c r="AK16" s="529"/>
      <c r="AL16" s="1802"/>
      <c r="AM16" s="1802"/>
      <c r="AN16" s="1802"/>
      <c r="AO16" s="1802"/>
      <c r="AP16" s="1802"/>
      <c r="AQ16" s="1802"/>
      <c r="AR16" s="1802"/>
      <c r="AS16" s="1802"/>
      <c r="AT16" s="1802"/>
      <c r="AU16" s="1802"/>
      <c r="AV16" s="1802"/>
      <c r="AW16" s="1802"/>
      <c r="AX16" s="1802"/>
      <c r="AY16" s="1802"/>
      <c r="AZ16" s="1802"/>
      <c r="BA16" s="1802"/>
      <c r="BB16" s="1802"/>
      <c r="BC16" s="1802"/>
      <c r="BD16" s="1802"/>
      <c r="BE16" s="1802"/>
      <c r="BF16" s="1802"/>
      <c r="BG16" s="1802"/>
      <c r="BH16" s="1802"/>
      <c r="BI16" s="1802"/>
      <c r="BJ16" s="1802"/>
      <c r="BK16" s="1802"/>
      <c r="BL16" s="1802"/>
    </row>
    <row customHeight="1" ht="14.25">
      <c r="D17" s="2322" t="s">
        <v>109</v>
      </c>
      <c r="E17" s="2324" t="s">
        <v>294</v>
      </c>
      <c r="F17" s="2324" t="s">
        <v>296</v>
      </c>
      <c r="G17" s="2327" t="s">
        <v>56</v>
      </c>
      <c r="H17" s="1827"/>
      <c r="I17" s="2329"/>
      <c r="J17" s="2289"/>
      <c r="K17" s="1742"/>
      <c r="L17" s="2272"/>
      <c r="M17" s="2272"/>
      <c r="N17" s="1812"/>
      <c r="O17" s="2272"/>
      <c r="P17" s="2289"/>
      <c r="Q17" s="1813"/>
      <c r="R17" s="2272"/>
      <c r="S17" s="2272"/>
      <c r="T17" s="1814"/>
      <c r="U17" s="2272"/>
      <c r="V17" s="2289"/>
      <c r="W17" s="1815"/>
      <c r="X17" s="2272"/>
      <c r="Y17" s="2272"/>
      <c r="Z17" s="1812"/>
      <c r="AA17" s="2272"/>
      <c r="AB17" s="2289"/>
      <c r="AC17" s="1816"/>
      <c r="AD17" s="2272"/>
      <c r="AE17" s="2272"/>
      <c r="AF17" s="1741"/>
      <c r="AG17" s="1741"/>
      <c r="AH17" s="1817"/>
      <c r="AI17" s="1524"/>
      <c r="AJ17" s="1802"/>
    </row>
    <row customHeight="1" ht="14.25">
      <c r="D18" s="2322"/>
      <c r="E18" s="2324"/>
      <c r="F18" s="2324"/>
      <c r="G18" s="2328"/>
      <c r="H18" s="1828"/>
      <c r="I18" s="2330"/>
      <c r="J18" s="2290"/>
      <c r="K18" s="1811"/>
      <c r="L18" s="2273"/>
      <c r="M18" s="2273"/>
      <c r="N18" s="1818"/>
      <c r="O18" s="2273"/>
      <c r="P18" s="2290"/>
      <c r="Q18" s="1819"/>
      <c r="R18" s="2273"/>
      <c r="S18" s="2273"/>
      <c r="T18" s="1820"/>
      <c r="U18" s="2273"/>
      <c r="V18" s="2290"/>
      <c r="W18" s="1821"/>
      <c r="X18" s="2273"/>
      <c r="Y18" s="2273"/>
      <c r="Z18" s="1818"/>
      <c r="AA18" s="2273"/>
      <c r="AB18" s="2290"/>
      <c r="AC18" s="1822"/>
      <c r="AD18" s="2273"/>
      <c r="AE18" s="2273"/>
      <c r="AF18" s="1823"/>
      <c r="AG18" s="1823"/>
      <c r="AH18" s="2333"/>
      <c r="AI18" s="2334"/>
      <c r="AJ18" s="1802"/>
    </row>
    <row customHeight="1" ht="14.25">
      <c r="D19" s="2322"/>
      <c r="E19" s="2324"/>
      <c r="F19" s="2324"/>
      <c r="G19" s="2328"/>
      <c r="H19" s="1828"/>
      <c r="I19" s="2330"/>
      <c r="J19" s="2290"/>
      <c r="K19" s="1811"/>
      <c r="L19" s="2273"/>
      <c r="M19" s="2273"/>
      <c r="N19" s="1818"/>
      <c r="O19" s="2273"/>
      <c r="P19" s="2290"/>
      <c r="Q19" s="1819"/>
      <c r="R19" s="2273"/>
      <c r="S19" s="2273"/>
      <c r="T19" s="1820"/>
      <c r="U19" s="2273"/>
      <c r="V19" s="2290"/>
      <c r="W19" s="1821"/>
      <c r="X19" s="2273"/>
      <c r="Y19" s="2273"/>
      <c r="Z19" s="1740"/>
      <c r="AA19" s="1823"/>
      <c r="AB19" s="2333"/>
      <c r="AC19" s="2333"/>
      <c r="AD19" s="2333"/>
      <c r="AE19" s="2333"/>
      <c r="AF19" s="2333"/>
      <c r="AG19" s="2333"/>
      <c r="AH19" s="2333"/>
      <c r="AI19" s="2334"/>
      <c r="AJ19" s="1802"/>
    </row>
    <row customHeight="1" ht="14.25">
      <c r="D20" s="2322"/>
      <c r="E20" s="2324"/>
      <c r="F20" s="2324"/>
      <c r="G20" s="2328"/>
      <c r="H20" s="1828"/>
      <c r="I20" s="2330"/>
      <c r="J20" s="2290"/>
      <c r="K20" s="1811"/>
      <c r="L20" s="2273"/>
      <c r="M20" s="2273"/>
      <c r="N20" s="1818"/>
      <c r="O20" s="2273"/>
      <c r="P20" s="2290"/>
      <c r="Q20" s="1819"/>
      <c r="R20" s="2273"/>
      <c r="S20" s="2273"/>
      <c r="T20" s="1824"/>
      <c r="U20" s="1825"/>
      <c r="V20" s="2333"/>
      <c r="W20" s="2333"/>
      <c r="X20" s="2333"/>
      <c r="Y20" s="2333"/>
      <c r="Z20" s="2333"/>
      <c r="AA20" s="2333"/>
      <c r="AB20" s="2333"/>
      <c r="AC20" s="2333"/>
      <c r="AD20" s="2333"/>
      <c r="AE20" s="2333"/>
      <c r="AF20" s="2333"/>
      <c r="AG20" s="2333"/>
      <c r="AH20" s="2333"/>
      <c r="AI20" s="2334"/>
      <c r="AJ20" s="1802"/>
    </row>
    <row customHeight="1" ht="11.25">
      <c r="D21" s="2322"/>
      <c r="E21" s="2324"/>
      <c r="F21" s="2324"/>
      <c r="G21" s="2328"/>
      <c r="H21" s="1829"/>
      <c r="I21" s="2330"/>
      <c r="J21" s="2290"/>
      <c r="K21" s="1811"/>
      <c r="L21" s="2273"/>
      <c r="M21" s="2273"/>
      <c r="N21" s="1823"/>
      <c r="O21" s="1823"/>
      <c r="P21" s="2333"/>
      <c r="Q21" s="2333"/>
      <c r="R21" s="2333"/>
      <c r="S21" s="2333"/>
      <c r="T21" s="2333"/>
      <c r="U21" s="2333"/>
      <c r="V21" s="2333"/>
      <c r="W21" s="2333"/>
      <c r="X21" s="2333"/>
      <c r="Y21" s="2333"/>
      <c r="Z21" s="2333"/>
      <c r="AA21" s="2333"/>
      <c r="AB21" s="2333"/>
      <c r="AC21" s="2333"/>
      <c r="AD21" s="2333"/>
      <c r="AE21" s="2333"/>
      <c r="AF21" s="2333"/>
      <c r="AG21" s="2333"/>
      <c r="AH21" s="2333"/>
      <c r="AI21" s="2334"/>
      <c r="AJ21" s="1802"/>
    </row>
    <row s="13162" customFormat="1" customHeight="1" ht="11.25">
      <c r="D22" s="2323"/>
      <c r="E22" s="2325"/>
      <c r="F22" s="2326"/>
      <c r="G22" s="2269"/>
      <c r="H22" s="1826"/>
      <c r="I22" s="1830"/>
      <c r="J22" s="2331"/>
      <c r="K22" s="2331"/>
      <c r="L22" s="2331"/>
      <c r="M22" s="2331"/>
      <c r="N22" s="2331"/>
      <c r="O22" s="2331"/>
      <c r="P22" s="2331"/>
      <c r="Q22" s="2331"/>
      <c r="R22" s="2331"/>
      <c r="S22" s="2331"/>
      <c r="T22" s="2331"/>
      <c r="U22" s="2331"/>
      <c r="V22" s="2331"/>
      <c r="W22" s="2331"/>
      <c r="X22" s="2331"/>
      <c r="Y22" s="2331"/>
      <c r="Z22" s="2331"/>
      <c r="AA22" s="2331"/>
      <c r="AB22" s="2331"/>
      <c r="AC22" s="2331"/>
      <c r="AD22" s="2331"/>
      <c r="AE22" s="2331"/>
      <c r="AF22" s="2331"/>
      <c r="AG22" s="2331"/>
      <c r="AH22" s="2331"/>
      <c r="AI22" s="2332"/>
      <c r="AJ22" s="1802"/>
      <c r="AK22" s="529"/>
      <c r="AL22" s="1802"/>
      <c r="AM22" s="1802"/>
      <c r="AN22" s="1802"/>
      <c r="AO22" s="1802"/>
      <c r="AP22" s="1802"/>
      <c r="AQ22" s="1802"/>
      <c r="AR22" s="1802"/>
      <c r="AS22" s="1802"/>
      <c r="AT22" s="1802"/>
      <c r="AU22" s="1802"/>
      <c r="AV22" s="1802"/>
      <c r="AW22" s="1802"/>
      <c r="AX22" s="1802"/>
      <c r="AY22" s="1802"/>
      <c r="AZ22" s="1802"/>
      <c r="BA22" s="1802"/>
      <c r="BB22" s="1802"/>
      <c r="BC22" s="1802"/>
      <c r="BD22" s="1802"/>
      <c r="BE22" s="1802"/>
      <c r="BF22" s="1802"/>
      <c r="BG22" s="1802"/>
      <c r="BH22" s="1802"/>
      <c r="BI22" s="1802"/>
      <c r="BJ22" s="1802"/>
      <c r="BK22" s="1802"/>
      <c r="BL22" s="1802"/>
    </row>
    <row customHeight="1" ht="14.25">
      <c r="D23" s="2322" t="s">
        <v>89</v>
      </c>
      <c r="E23" s="2324" t="s">
        <v>294</v>
      </c>
      <c r="F23" s="2324" t="s">
        <v>297</v>
      </c>
      <c r="G23" s="2327" t="s">
        <v>56</v>
      </c>
      <c r="H23" s="1827"/>
      <c r="I23" s="2329"/>
      <c r="J23" s="2289"/>
      <c r="K23" s="1742"/>
      <c r="L23" s="2272"/>
      <c r="M23" s="2272"/>
      <c r="N23" s="1812"/>
      <c r="O23" s="2272"/>
      <c r="P23" s="2289"/>
      <c r="Q23" s="1813"/>
      <c r="R23" s="2272"/>
      <c r="S23" s="2272"/>
      <c r="T23" s="1814"/>
      <c r="U23" s="2272"/>
      <c r="V23" s="2289"/>
      <c r="W23" s="1815"/>
      <c r="X23" s="2272"/>
      <c r="Y23" s="2272"/>
      <c r="Z23" s="1812"/>
      <c r="AA23" s="2272"/>
      <c r="AB23" s="2289"/>
      <c r="AC23" s="1816"/>
      <c r="AD23" s="2272"/>
      <c r="AE23" s="2272"/>
      <c r="AF23" s="1741"/>
      <c r="AG23" s="1741"/>
      <c r="AH23" s="1817"/>
      <c r="AI23" s="1524"/>
      <c r="AJ23" s="1802"/>
      <c r="AK23" s="529" t="s">
        <v>97</v>
      </c>
    </row>
    <row customHeight="1" ht="14.25">
      <c r="D24" s="2322"/>
      <c r="E24" s="2324"/>
      <c r="F24" s="2324"/>
      <c r="G24" s="2328"/>
      <c r="H24" s="1828"/>
      <c r="I24" s="2330"/>
      <c r="J24" s="2290"/>
      <c r="K24" s="1838"/>
      <c r="L24" s="2273"/>
      <c r="M24" s="2273"/>
      <c r="N24" s="1818"/>
      <c r="O24" s="2273"/>
      <c r="P24" s="2290"/>
      <c r="Q24" s="1819"/>
      <c r="R24" s="2273"/>
      <c r="S24" s="2273"/>
      <c r="T24" s="1820"/>
      <c r="U24" s="2273"/>
      <c r="V24" s="2290"/>
      <c r="W24" s="1821"/>
      <c r="X24" s="2273"/>
      <c r="Y24" s="2273"/>
      <c r="Z24" s="1818"/>
      <c r="AA24" s="2273"/>
      <c r="AB24" s="2290"/>
      <c r="AC24" s="1822"/>
      <c r="AD24" s="2273"/>
      <c r="AE24" s="2273"/>
      <c r="AF24" s="1823"/>
      <c r="AG24" s="1823"/>
      <c r="AH24" s="2333"/>
      <c r="AI24" s="2334"/>
      <c r="AJ24" s="1802"/>
    </row>
    <row customHeight="1" ht="14.25">
      <c r="D25" s="2322"/>
      <c r="E25" s="2324"/>
      <c r="F25" s="2324"/>
      <c r="G25" s="2328"/>
      <c r="H25" s="1828"/>
      <c r="I25" s="2330"/>
      <c r="J25" s="2290"/>
      <c r="K25" s="1838"/>
      <c r="L25" s="2273"/>
      <c r="M25" s="2273"/>
      <c r="N25" s="1818"/>
      <c r="O25" s="2273"/>
      <c r="P25" s="2290"/>
      <c r="Q25" s="1819"/>
      <c r="R25" s="2273"/>
      <c r="S25" s="2273"/>
      <c r="T25" s="1820"/>
      <c r="U25" s="2273"/>
      <c r="V25" s="2290"/>
      <c r="W25" s="1821"/>
      <c r="X25" s="2273"/>
      <c r="Y25" s="2273"/>
      <c r="Z25" s="1740"/>
      <c r="AA25" s="1823"/>
      <c r="AB25" s="2333"/>
      <c r="AC25" s="2333"/>
      <c r="AD25" s="2333"/>
      <c r="AE25" s="2333"/>
      <c r="AF25" s="2333"/>
      <c r="AG25" s="2333"/>
      <c r="AH25" s="2333"/>
      <c r="AI25" s="2334"/>
      <c r="AJ25" s="1802"/>
    </row>
    <row customHeight="1" ht="14.25">
      <c r="D26" s="2322"/>
      <c r="E26" s="2324"/>
      <c r="F26" s="2324"/>
      <c r="G26" s="2328"/>
      <c r="H26" s="1828"/>
      <c r="I26" s="2330"/>
      <c r="J26" s="2290"/>
      <c r="K26" s="1838"/>
      <c r="L26" s="2273"/>
      <c r="M26" s="2273"/>
      <c r="N26" s="1818"/>
      <c r="O26" s="2273"/>
      <c r="P26" s="2290"/>
      <c r="Q26" s="1819"/>
      <c r="R26" s="2273"/>
      <c r="S26" s="2273"/>
      <c r="T26" s="1824"/>
      <c r="U26" s="1825"/>
      <c r="V26" s="2333"/>
      <c r="W26" s="2333"/>
      <c r="X26" s="2333"/>
      <c r="Y26" s="2333"/>
      <c r="Z26" s="2333"/>
      <c r="AA26" s="2333"/>
      <c r="AB26" s="2333"/>
      <c r="AC26" s="2333"/>
      <c r="AD26" s="2333"/>
      <c r="AE26" s="2333"/>
      <c r="AF26" s="2333"/>
      <c r="AG26" s="2333"/>
      <c r="AH26" s="2333"/>
      <c r="AI26" s="2334"/>
      <c r="AJ26" s="1802"/>
    </row>
    <row customHeight="1" ht="11.25">
      <c r="D27" s="2322"/>
      <c r="E27" s="2324"/>
      <c r="F27" s="2324"/>
      <c r="G27" s="2328"/>
      <c r="H27" s="1829"/>
      <c r="I27" s="2330"/>
      <c r="J27" s="2290"/>
      <c r="K27" s="1838"/>
      <c r="L27" s="2273"/>
      <c r="M27" s="2273"/>
      <c r="N27" s="1823"/>
      <c r="O27" s="1823"/>
      <c r="P27" s="2333"/>
      <c r="Q27" s="2333"/>
      <c r="R27" s="2333"/>
      <c r="S27" s="2333"/>
      <c r="T27" s="2333"/>
      <c r="U27" s="2333"/>
      <c r="V27" s="2333"/>
      <c r="W27" s="2333"/>
      <c r="X27" s="2333"/>
      <c r="Y27" s="2333"/>
      <c r="Z27" s="2333"/>
      <c r="AA27" s="2333"/>
      <c r="AB27" s="2333"/>
      <c r="AC27" s="2333"/>
      <c r="AD27" s="2333"/>
      <c r="AE27" s="2333"/>
      <c r="AF27" s="2333"/>
      <c r="AG27" s="2333"/>
      <c r="AH27" s="2333"/>
      <c r="AI27" s="2334"/>
      <c r="AJ27" s="1802"/>
    </row>
    <row s="13162" customFormat="1" customHeight="1" ht="11.25">
      <c r="D28" s="2323"/>
      <c r="E28" s="2325"/>
      <c r="F28" s="2326"/>
      <c r="G28" s="2269"/>
      <c r="H28" s="1826"/>
      <c r="I28" s="1830"/>
      <c r="J28" s="2331"/>
      <c r="K28" s="2331"/>
      <c r="L28" s="2331"/>
      <c r="M28" s="2331"/>
      <c r="N28" s="2331"/>
      <c r="O28" s="2331"/>
      <c r="P28" s="2331"/>
      <c r="Q28" s="2331"/>
      <c r="R28" s="2331"/>
      <c r="S28" s="2331"/>
      <c r="T28" s="2331"/>
      <c r="U28" s="2331"/>
      <c r="V28" s="2331"/>
      <c r="W28" s="2331"/>
      <c r="X28" s="2331"/>
      <c r="Y28" s="2331"/>
      <c r="Z28" s="2331"/>
      <c r="AA28" s="2331"/>
      <c r="AB28" s="2331"/>
      <c r="AC28" s="2331"/>
      <c r="AD28" s="2331"/>
      <c r="AE28" s="2331"/>
      <c r="AF28" s="2331"/>
      <c r="AG28" s="2331"/>
      <c r="AH28" s="2331"/>
      <c r="AI28" s="2332"/>
      <c r="AJ28" s="1802"/>
      <c r="AK28" s="529"/>
      <c r="AL28" s="1802"/>
      <c r="AM28" s="1802"/>
      <c r="AN28" s="1802"/>
      <c r="AO28" s="1802"/>
      <c r="AP28" s="1802"/>
      <c r="AQ28" s="1802"/>
      <c r="AR28" s="1802"/>
      <c r="AS28" s="1802"/>
      <c r="AT28" s="1802"/>
      <c r="AU28" s="1802"/>
      <c r="AV28" s="1802"/>
      <c r="AW28" s="1802"/>
      <c r="AX28" s="1802"/>
      <c r="AY28" s="1802"/>
      <c r="AZ28" s="1802"/>
      <c r="BA28" s="1802"/>
      <c r="BB28" s="1802"/>
      <c r="BC28" s="1802"/>
      <c r="BD28" s="1802"/>
      <c r="BE28" s="1802"/>
      <c r="BF28" s="1802"/>
      <c r="BG28" s="1802"/>
      <c r="BH28" s="1802"/>
      <c r="BI28" s="1802"/>
      <c r="BJ28" s="1802"/>
      <c r="BK28" s="1802"/>
      <c r="BL28" s="1802"/>
    </row>
    <row customHeight="1" ht="14.25">
      <c r="D29" s="2322" t="s">
        <v>90</v>
      </c>
      <c r="E29" s="2324" t="s">
        <v>294</v>
      </c>
      <c r="F29" s="2324" t="s">
        <v>298</v>
      </c>
      <c r="G29" s="2327" t="s">
        <v>56</v>
      </c>
      <c r="H29" s="1827"/>
      <c r="I29" s="2329"/>
      <c r="J29" s="2289"/>
      <c r="K29" s="1742"/>
      <c r="L29" s="2272"/>
      <c r="M29" s="2272"/>
      <c r="N29" s="1812"/>
      <c r="O29" s="2272"/>
      <c r="P29" s="2289"/>
      <c r="Q29" s="1813"/>
      <c r="R29" s="2272"/>
      <c r="S29" s="2272"/>
      <c r="T29" s="1814"/>
      <c r="U29" s="2272"/>
      <c r="V29" s="2289"/>
      <c r="W29" s="1815"/>
      <c r="X29" s="2272"/>
      <c r="Y29" s="2272"/>
      <c r="Z29" s="1812"/>
      <c r="AA29" s="2272"/>
      <c r="AB29" s="2289"/>
      <c r="AC29" s="1816"/>
      <c r="AD29" s="2272"/>
      <c r="AE29" s="2272"/>
      <c r="AF29" s="1741"/>
      <c r="AG29" s="1741"/>
      <c r="AH29" s="1817"/>
      <c r="AI29" s="1524"/>
      <c r="AJ29" s="1802"/>
    </row>
    <row customHeight="1" ht="14.25">
      <c r="D30" s="2322"/>
      <c r="E30" s="2324"/>
      <c r="F30" s="2324"/>
      <c r="G30" s="2328"/>
      <c r="H30" s="1828"/>
      <c r="I30" s="2330"/>
      <c r="J30" s="2290"/>
      <c r="K30" s="1811"/>
      <c r="L30" s="2273"/>
      <c r="M30" s="2273"/>
      <c r="N30" s="1818"/>
      <c r="O30" s="2273"/>
      <c r="P30" s="2290"/>
      <c r="Q30" s="1819"/>
      <c r="R30" s="2273"/>
      <c r="S30" s="2273"/>
      <c r="T30" s="1820"/>
      <c r="U30" s="2273"/>
      <c r="V30" s="2290"/>
      <c r="W30" s="1821"/>
      <c r="X30" s="2273"/>
      <c r="Y30" s="2273"/>
      <c r="Z30" s="1818"/>
      <c r="AA30" s="2273"/>
      <c r="AB30" s="2290"/>
      <c r="AC30" s="1822"/>
      <c r="AD30" s="2273"/>
      <c r="AE30" s="2273"/>
      <c r="AF30" s="1823"/>
      <c r="AG30" s="1823"/>
      <c r="AH30" s="2333"/>
      <c r="AI30" s="2334"/>
      <c r="AJ30" s="1802"/>
    </row>
    <row customHeight="1" ht="14.25">
      <c r="D31" s="2322"/>
      <c r="E31" s="2324"/>
      <c r="F31" s="2324"/>
      <c r="G31" s="2328"/>
      <c r="H31" s="1828"/>
      <c r="I31" s="2330"/>
      <c r="J31" s="2290"/>
      <c r="K31" s="1811"/>
      <c r="L31" s="2273"/>
      <c r="M31" s="2273"/>
      <c r="N31" s="1818"/>
      <c r="O31" s="2273"/>
      <c r="P31" s="2290"/>
      <c r="Q31" s="1819"/>
      <c r="R31" s="2273"/>
      <c r="S31" s="2273"/>
      <c r="T31" s="1820"/>
      <c r="U31" s="2273"/>
      <c r="V31" s="2290"/>
      <c r="W31" s="1821"/>
      <c r="X31" s="2273"/>
      <c r="Y31" s="2273"/>
      <c r="Z31" s="1740"/>
      <c r="AA31" s="1823"/>
      <c r="AB31" s="2333"/>
      <c r="AC31" s="2333"/>
      <c r="AD31" s="2333"/>
      <c r="AE31" s="2333"/>
      <c r="AF31" s="2333"/>
      <c r="AG31" s="2333"/>
      <c r="AH31" s="2333"/>
      <c r="AI31" s="2334"/>
      <c r="AJ31" s="1802"/>
    </row>
    <row customHeight="1" ht="14.25">
      <c r="D32" s="2322"/>
      <c r="E32" s="2324"/>
      <c r="F32" s="2324"/>
      <c r="G32" s="2328"/>
      <c r="H32" s="1828"/>
      <c r="I32" s="2330"/>
      <c r="J32" s="2290"/>
      <c r="K32" s="1811"/>
      <c r="L32" s="2273"/>
      <c r="M32" s="2273"/>
      <c r="N32" s="1818"/>
      <c r="O32" s="2273"/>
      <c r="P32" s="2290"/>
      <c r="Q32" s="1819"/>
      <c r="R32" s="2273"/>
      <c r="S32" s="2273"/>
      <c r="T32" s="1824"/>
      <c r="U32" s="1825"/>
      <c r="V32" s="2333"/>
      <c r="W32" s="2333"/>
      <c r="X32" s="2333"/>
      <c r="Y32" s="2333"/>
      <c r="Z32" s="2333"/>
      <c r="AA32" s="2333"/>
      <c r="AB32" s="2333"/>
      <c r="AC32" s="2333"/>
      <c r="AD32" s="2333"/>
      <c r="AE32" s="2333"/>
      <c r="AF32" s="2333"/>
      <c r="AG32" s="2333"/>
      <c r="AH32" s="2333"/>
      <c r="AI32" s="2334"/>
      <c r="AJ32" s="1802"/>
    </row>
    <row customHeight="1" ht="11.25">
      <c r="D33" s="2322"/>
      <c r="E33" s="2324"/>
      <c r="F33" s="2324"/>
      <c r="G33" s="2328"/>
      <c r="H33" s="1829"/>
      <c r="I33" s="2330"/>
      <c r="J33" s="2290"/>
      <c r="K33" s="1811"/>
      <c r="L33" s="2273"/>
      <c r="M33" s="2273"/>
      <c r="N33" s="1823"/>
      <c r="O33" s="1823"/>
      <c r="P33" s="2333"/>
      <c r="Q33" s="2333"/>
      <c r="R33" s="2333"/>
      <c r="S33" s="2333"/>
      <c r="T33" s="2333"/>
      <c r="U33" s="2333"/>
      <c r="V33" s="2333"/>
      <c r="W33" s="2333"/>
      <c r="X33" s="2333"/>
      <c r="Y33" s="2333"/>
      <c r="Z33" s="2333"/>
      <c r="AA33" s="2333"/>
      <c r="AB33" s="2333"/>
      <c r="AC33" s="2333"/>
      <c r="AD33" s="2333"/>
      <c r="AE33" s="2333"/>
      <c r="AF33" s="2333"/>
      <c r="AG33" s="2333"/>
      <c r="AH33" s="2333"/>
      <c r="AI33" s="2334"/>
      <c r="AJ33" s="1802"/>
    </row>
    <row s="13162" customFormat="1" customHeight="1" ht="11.25">
      <c r="D34" s="2323"/>
      <c r="E34" s="2325"/>
      <c r="F34" s="2326"/>
      <c r="G34" s="2269"/>
      <c r="H34" s="1826"/>
      <c r="I34" s="1830"/>
      <c r="J34" s="2331"/>
      <c r="K34" s="2331"/>
      <c r="L34" s="2331"/>
      <c r="M34" s="2331"/>
      <c r="N34" s="2331"/>
      <c r="O34" s="2331"/>
      <c r="P34" s="2331"/>
      <c r="Q34" s="2331"/>
      <c r="R34" s="2331"/>
      <c r="S34" s="2331"/>
      <c r="T34" s="2331"/>
      <c r="U34" s="2331"/>
      <c r="V34" s="2331"/>
      <c r="W34" s="2331"/>
      <c r="X34" s="2331"/>
      <c r="Y34" s="2331"/>
      <c r="Z34" s="2331"/>
      <c r="AA34" s="2331"/>
      <c r="AB34" s="2331"/>
      <c r="AC34" s="2331"/>
      <c r="AD34" s="2331"/>
      <c r="AE34" s="2331"/>
      <c r="AF34" s="2331"/>
      <c r="AG34" s="2331"/>
      <c r="AH34" s="2331"/>
      <c r="AI34" s="2332"/>
      <c r="AJ34" s="1802"/>
      <c r="AK34" s="529"/>
      <c r="AL34" s="1802"/>
      <c r="AM34" s="1802"/>
      <c r="AN34" s="1802"/>
      <c r="AO34" s="1802"/>
      <c r="AP34" s="1802"/>
      <c r="AQ34" s="1802"/>
      <c r="AR34" s="1802"/>
      <c r="AS34" s="1802"/>
      <c r="AT34" s="1802"/>
      <c r="AU34" s="1802"/>
      <c r="AV34" s="1802"/>
      <c r="AW34" s="1802"/>
      <c r="AX34" s="1802"/>
      <c r="AY34" s="1802"/>
      <c r="AZ34" s="1802"/>
      <c r="BA34" s="1802"/>
      <c r="BB34" s="1802"/>
      <c r="BC34" s="1802"/>
      <c r="BD34" s="1802"/>
      <c r="BE34" s="1802"/>
      <c r="BF34" s="1802"/>
      <c r="BG34" s="1802"/>
      <c r="BH34" s="1802"/>
      <c r="BI34" s="1802"/>
      <c r="BJ34" s="1802"/>
      <c r="BK34" s="1802"/>
      <c r="BL34" s="1802"/>
    </row>
    <row customHeight="1" ht="14.25">
      <c r="D35" s="2322" t="s">
        <v>110</v>
      </c>
      <c r="E35" s="2324" t="s">
        <v>294</v>
      </c>
      <c r="F35" s="2324" t="s">
        <v>299</v>
      </c>
      <c r="G35" s="2327" t="s">
        <v>56</v>
      </c>
      <c r="H35" s="1827"/>
      <c r="I35" s="2329"/>
      <c r="J35" s="2289"/>
      <c r="K35" s="1742"/>
      <c r="L35" s="2272"/>
      <c r="M35" s="2272"/>
      <c r="N35" s="1812"/>
      <c r="O35" s="2272"/>
      <c r="P35" s="2289"/>
      <c r="Q35" s="1813"/>
      <c r="R35" s="2272"/>
      <c r="S35" s="2272"/>
      <c r="T35" s="1814"/>
      <c r="U35" s="2272"/>
      <c r="V35" s="2289"/>
      <c r="W35" s="1815"/>
      <c r="X35" s="2272"/>
      <c r="Y35" s="2272"/>
      <c r="Z35" s="1812"/>
      <c r="AA35" s="2272"/>
      <c r="AB35" s="2289"/>
      <c r="AC35" s="1816"/>
      <c r="AD35" s="2272"/>
      <c r="AE35" s="2272"/>
      <c r="AF35" s="1741"/>
      <c r="AG35" s="1741"/>
      <c r="AH35" s="1817"/>
      <c r="AI35" s="1524"/>
      <c r="AJ35" s="1802"/>
    </row>
    <row customHeight="1" ht="14.25">
      <c r="D36" s="2322"/>
      <c r="E36" s="2324"/>
      <c r="F36" s="2324"/>
      <c r="G36" s="2328"/>
      <c r="H36" s="1828"/>
      <c r="I36" s="2330"/>
      <c r="J36" s="2290"/>
      <c r="K36" s="1811"/>
      <c r="L36" s="2273"/>
      <c r="M36" s="2273"/>
      <c r="N36" s="1818"/>
      <c r="O36" s="2273"/>
      <c r="P36" s="2290"/>
      <c r="Q36" s="1819"/>
      <c r="R36" s="2273"/>
      <c r="S36" s="2273"/>
      <c r="T36" s="1820"/>
      <c r="U36" s="2273"/>
      <c r="V36" s="2290"/>
      <c r="W36" s="1821"/>
      <c r="X36" s="2273"/>
      <c r="Y36" s="2273"/>
      <c r="Z36" s="1818"/>
      <c r="AA36" s="2273"/>
      <c r="AB36" s="2290"/>
      <c r="AC36" s="1822"/>
      <c r="AD36" s="2273"/>
      <c r="AE36" s="2273"/>
      <c r="AF36" s="1823"/>
      <c r="AG36" s="1823"/>
      <c r="AH36" s="2333"/>
      <c r="AI36" s="2334"/>
      <c r="AJ36" s="1802"/>
    </row>
    <row customHeight="1" ht="14.25">
      <c r="D37" s="2322"/>
      <c r="E37" s="2324"/>
      <c r="F37" s="2324"/>
      <c r="G37" s="2328"/>
      <c r="H37" s="1828"/>
      <c r="I37" s="2330"/>
      <c r="J37" s="2290"/>
      <c r="K37" s="1811"/>
      <c r="L37" s="2273"/>
      <c r="M37" s="2273"/>
      <c r="N37" s="1818"/>
      <c r="O37" s="2273"/>
      <c r="P37" s="2290"/>
      <c r="Q37" s="1819"/>
      <c r="R37" s="2273"/>
      <c r="S37" s="2273"/>
      <c r="T37" s="1820"/>
      <c r="U37" s="2273"/>
      <c r="V37" s="2290"/>
      <c r="W37" s="1821"/>
      <c r="X37" s="2273"/>
      <c r="Y37" s="2273"/>
      <c r="Z37" s="1740"/>
      <c r="AA37" s="1823"/>
      <c r="AB37" s="2333"/>
      <c r="AC37" s="2333"/>
      <c r="AD37" s="2333"/>
      <c r="AE37" s="2333"/>
      <c r="AF37" s="2333"/>
      <c r="AG37" s="2333"/>
      <c r="AH37" s="2333"/>
      <c r="AI37" s="2334"/>
      <c r="AJ37" s="1802"/>
    </row>
    <row customHeight="1" ht="14.25">
      <c r="D38" s="2322"/>
      <c r="E38" s="2324"/>
      <c r="F38" s="2324"/>
      <c r="G38" s="2328"/>
      <c r="H38" s="1828"/>
      <c r="I38" s="2330"/>
      <c r="J38" s="2290"/>
      <c r="K38" s="1811"/>
      <c r="L38" s="2273"/>
      <c r="M38" s="2273"/>
      <c r="N38" s="1818"/>
      <c r="O38" s="2273"/>
      <c r="P38" s="2290"/>
      <c r="Q38" s="1819"/>
      <c r="R38" s="2273"/>
      <c r="S38" s="2273"/>
      <c r="T38" s="1824"/>
      <c r="U38" s="1825"/>
      <c r="V38" s="2333"/>
      <c r="W38" s="2333"/>
      <c r="X38" s="2333"/>
      <c r="Y38" s="2333"/>
      <c r="Z38" s="2333"/>
      <c r="AA38" s="2333"/>
      <c r="AB38" s="2333"/>
      <c r="AC38" s="2333"/>
      <c r="AD38" s="2333"/>
      <c r="AE38" s="2333"/>
      <c r="AF38" s="2333"/>
      <c r="AG38" s="2333"/>
      <c r="AH38" s="2333"/>
      <c r="AI38" s="2334"/>
      <c r="AJ38" s="1802"/>
    </row>
    <row customHeight="1" ht="11.25">
      <c r="D39" s="2322"/>
      <c r="E39" s="2324"/>
      <c r="F39" s="2324"/>
      <c r="G39" s="2328"/>
      <c r="H39" s="1829"/>
      <c r="I39" s="2330"/>
      <c r="J39" s="2290"/>
      <c r="K39" s="1811"/>
      <c r="L39" s="2273"/>
      <c r="M39" s="2273"/>
      <c r="N39" s="1823"/>
      <c r="O39" s="1823"/>
      <c r="P39" s="2333"/>
      <c r="Q39" s="2333"/>
      <c r="R39" s="2333"/>
      <c r="S39" s="2333"/>
      <c r="T39" s="2333"/>
      <c r="U39" s="2333"/>
      <c r="V39" s="2333"/>
      <c r="W39" s="2333"/>
      <c r="X39" s="2333"/>
      <c r="Y39" s="2333"/>
      <c r="Z39" s="2333"/>
      <c r="AA39" s="2333"/>
      <c r="AB39" s="2333"/>
      <c r="AC39" s="2333"/>
      <c r="AD39" s="2333"/>
      <c r="AE39" s="2333"/>
      <c r="AF39" s="2333"/>
      <c r="AG39" s="2333"/>
      <c r="AH39" s="2333"/>
      <c r="AI39" s="2334"/>
      <c r="AJ39" s="1802"/>
    </row>
    <row s="13162" customFormat="1" customHeight="1" ht="11.25">
      <c r="D40" s="2322"/>
      <c r="E40" s="2324"/>
      <c r="F40" s="2335"/>
      <c r="G40" s="2269"/>
      <c r="H40" s="1826"/>
      <c r="I40" s="1830"/>
      <c r="J40" s="2331"/>
      <c r="K40" s="2331"/>
      <c r="L40" s="2331"/>
      <c r="M40" s="2331"/>
      <c r="N40" s="2331"/>
      <c r="O40" s="2331"/>
      <c r="P40" s="2331"/>
      <c r="Q40" s="2331"/>
      <c r="R40" s="2331"/>
      <c r="S40" s="2331"/>
      <c r="T40" s="2331"/>
      <c r="U40" s="2331"/>
      <c r="V40" s="2331"/>
      <c r="W40" s="2331"/>
      <c r="X40" s="2331"/>
      <c r="Y40" s="2331"/>
      <c r="Z40" s="2331"/>
      <c r="AA40" s="2331"/>
      <c r="AB40" s="2331"/>
      <c r="AC40" s="2331"/>
      <c r="AD40" s="2331"/>
      <c r="AE40" s="2331"/>
      <c r="AF40" s="2331"/>
      <c r="AG40" s="2331"/>
      <c r="AH40" s="2331"/>
      <c r="AI40" s="2332"/>
      <c r="AJ40" s="1802"/>
      <c r="AK40" s="529"/>
      <c r="AL40" s="1802"/>
      <c r="AM40" s="1802"/>
      <c r="AN40" s="1802"/>
      <c r="AO40" s="1802"/>
      <c r="AP40" s="1802"/>
      <c r="AQ40" s="1802"/>
      <c r="AR40" s="1802"/>
      <c r="AS40" s="1802"/>
      <c r="AT40" s="1802"/>
      <c r="AU40" s="1802"/>
      <c r="AV40" s="1802"/>
      <c r="AW40" s="1802"/>
      <c r="AX40" s="1802"/>
      <c r="AY40" s="1802"/>
      <c r="AZ40" s="1802"/>
      <c r="BA40" s="1802"/>
      <c r="BB40" s="1802"/>
      <c r="BC40" s="1802"/>
      <c r="BD40" s="1802"/>
      <c r="BE40" s="1802"/>
      <c r="BF40" s="1802"/>
      <c r="BG40" s="1802"/>
      <c r="BH40" s="1802"/>
      <c r="BI40" s="1802"/>
      <c r="BJ40" s="1802"/>
      <c r="BK40" s="1802"/>
      <c r="BL40" s="1802"/>
    </row>
    <row customHeight="1" ht="11.25">
      <c r="AK41" s="646"/>
    </row>
    <row customHeight="1" ht="11.25">
      <c r="AK42" s="646"/>
    </row>
    <row customHeight="1" ht="11.25">
      <c r="AK43" s="646"/>
    </row>
    <row customHeight="1" ht="11.25">
      <c r="AK44" s="646"/>
    </row>
    <row customHeight="1" ht="11.25">
      <c r="AK45" s="646"/>
    </row>
    <row customHeight="1" ht="11.25">
      <c r="AK46" s="646"/>
    </row>
    <row customHeight="1" ht="11.25">
      <c r="AK47" s="646"/>
    </row>
    <row customHeight="1" ht="11.25">
      <c r="AK48" s="646"/>
    </row>
    <row customHeight="1" ht="11.25">
      <c r="AK49" s="646"/>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C2A06-363B-621E-3893-389EADC11B05}"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13319" width="15.00390625" hidden="1" customWidth="1"/>
    <col min="2" max="2" style="13278" width="15.00390625" hidden="1" customWidth="1"/>
    <col min="3" max="3" style="13320" width="3.7109375" customWidth="1"/>
    <col min="4" max="4" style="13321" width="6.8515625" customWidth="1"/>
    <col min="5" max="5" style="13320" width="52.28125" customWidth="1"/>
    <col min="6" max="6" style="13320" width="48.8515625" customWidth="1"/>
    <col min="7" max="7" style="13320" width="121.7109375" customWidth="1"/>
    <col min="8" max="8" style="13320" width="9.140625"/>
    <col min="9" max="9" style="13320" width="65.00390625" customWidth="1"/>
  </cols>
  <sheetData>
    <row customHeight="1" ht="11.25" hidden="1">
      <c r="A1" s="1914" t="s">
        <v>300</v>
      </c>
    </row>
    <row customHeight="1" ht="11.25" hidden="1"/>
    <row s="13237" customFormat="1" customHeight="1" ht="11.25">
      <c r="A3" s="1914"/>
      <c r="B3" s="724"/>
      <c r="D3" s="701"/>
    </row>
    <row customHeight="1" ht="25.5">
      <c r="D4" s="2302" t="str">
        <f>ORG_INFO_NAME_FORM</f>
        <v>Форма 1. Информация об организации, осуществляющей горячее водоснабжение (общая информация)</v>
      </c>
      <c r="E4" s="2303"/>
      <c r="F4" s="2304"/>
      <c r="I4" s="938"/>
    </row>
    <row customHeight="1" ht="17.25">
      <c r="D5" s="2336" t="str">
        <f>IF(org=0,"Не определено",org)</f>
        <v>ООО "Новая Энергетика"</v>
      </c>
      <c r="E5" s="2336"/>
      <c r="F5" s="2336"/>
      <c r="I5" s="938"/>
    </row>
    <row s="13237" customFormat="1" customHeight="1" ht="11.25">
      <c r="A6" s="1914"/>
      <c r="B6" s="724"/>
      <c r="D6" s="937"/>
      <c r="E6" s="937"/>
      <c r="F6" s="975"/>
      <c r="G6" s="937"/>
    </row>
    <row customHeight="1" ht="11.25" hidden="1">
      <c r="A7" s="680"/>
      <c r="B7" s="725"/>
      <c r="C7" s="680"/>
      <c r="D7" s="686"/>
      <c r="E7" s="2342"/>
      <c r="F7" s="2342"/>
    </row>
    <row customHeight="1" ht="11.25">
      <c r="A8" s="680"/>
      <c r="B8" s="725"/>
      <c r="C8" s="680"/>
      <c r="D8" s="2339" t="s">
        <v>301</v>
      </c>
      <c r="E8" s="2340"/>
      <c r="F8" s="2340"/>
      <c r="G8" s="2343" t="s">
        <v>302</v>
      </c>
    </row>
    <row customHeight="1" ht="11.25">
      <c r="A9" s="680"/>
      <c r="B9" s="725"/>
      <c r="C9" s="680"/>
      <c r="D9" s="695" t="s">
        <v>87</v>
      </c>
      <c r="E9" s="669" t="s">
        <v>303</v>
      </c>
      <c r="F9" s="669" t="s">
        <v>304</v>
      </c>
      <c r="G9" s="2344"/>
    </row>
    <row customHeight="1" ht="12" hidden="1">
      <c r="A10" s="680"/>
      <c r="B10" s="725"/>
      <c r="C10" s="680"/>
      <c r="D10" s="687"/>
      <c r="E10" s="687"/>
      <c r="F10" s="687"/>
      <c r="G10" s="687"/>
    </row>
    <row customHeight="1" ht="22.5" hidden="1">
      <c r="A11" s="680"/>
      <c r="B11" s="725"/>
      <c r="C11" s="680"/>
      <c r="D11" s="1233" t="s">
        <v>108</v>
      </c>
      <c r="E11" s="1236" t="s">
        <v>305</v>
      </c>
      <c r="F11" s="1235" t="str">
        <f>IF(region_name="","",region_name)</f>
        <v>Приморский край</v>
      </c>
      <c r="G11" s="1236" t="s">
        <v>306</v>
      </c>
      <c r="H11" s="698"/>
    </row>
    <row customHeight="1" ht="22.5" hidden="1">
      <c r="A12" s="680"/>
      <c r="B12" s="725"/>
      <c r="C12" s="680"/>
      <c r="D12" s="668" t="s">
        <v>108</v>
      </c>
      <c r="E12" s="6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66" t="s">
        <v>307</v>
      </c>
      <c r="G12" s="697"/>
      <c r="H12" s="698"/>
    </row>
    <row customHeight="1" ht="22.5">
      <c r="A13" s="680"/>
      <c r="B13" s="725"/>
      <c r="C13" s="680"/>
      <c r="D13" s="668" t="s">
        <v>108</v>
      </c>
      <c r="E13" s="665" t="str">
        <f>"Наименование юридического лица"&amp;IF(TEMPLATE_SPHERE="TKO"," (индивидуального предпринимателя)","")</f>
        <v>Наименование юридического лица</v>
      </c>
      <c r="F13" s="664"/>
      <c r="G13" s="6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98"/>
    </row>
    <row customHeight="1" ht="22.5" hidden="1">
      <c r="A14" s="680"/>
      <c r="B14" s="725"/>
      <c r="C14" s="680"/>
      <c r="D14" s="1233" t="s">
        <v>308</v>
      </c>
      <c r="E14" s="1234" t="s">
        <v>309</v>
      </c>
      <c r="F14" s="1235" t="str">
        <f>IF(inn="","",inn)</f>
        <v>2543168948</v>
      </c>
      <c r="G14" s="1236" t="s">
        <v>310</v>
      </c>
      <c r="H14" s="698"/>
    </row>
    <row customHeight="1" ht="22.5" hidden="1">
      <c r="A15" s="680"/>
      <c r="B15" s="725"/>
      <c r="C15" s="680"/>
      <c r="D15" s="1233" t="s">
        <v>311</v>
      </c>
      <c r="E15" s="1234" t="s">
        <v>312</v>
      </c>
      <c r="F15" s="1235" t="str">
        <f>IF(kpp="","",kpp)</f>
        <v>254301001</v>
      </c>
      <c r="G15" s="1236" t="s">
        <v>313</v>
      </c>
      <c r="H15" s="698"/>
    </row>
    <row customHeight="1" ht="36.75">
      <c r="A16" s="680"/>
      <c r="B16" s="725"/>
      <c r="C16" s="680"/>
      <c r="D16" s="668" t="s">
        <v>109</v>
      </c>
      <c r="E16" s="66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4"/>
      <c r="G16" s="66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98"/>
    </row>
    <row customHeight="1" ht="22.5">
      <c r="A17" s="680"/>
      <c r="B17" s="725"/>
      <c r="C17" s="680"/>
      <c r="D17" s="668" t="s">
        <v>89</v>
      </c>
      <c r="E17" s="665" t="str">
        <f>"Дата присвоения ОГРН"&amp;IF(TEMPLATE_SPHERE="TKO",""," (ОГРНИП)")</f>
        <v>Дата присвоения ОГРН (ОГРНИП)</v>
      </c>
      <c r="F17" s="1960" t="s">
        <v>24</v>
      </c>
      <c r="G17" s="667" t="str">
        <f>"Дата присвоения ОГРН"&amp;IF(TEMPLATE_SPHERE="TKO",""," (ОГРНИП)")&amp;" указывается в виде «ДД.ММ.ГГГГ»."</f>
        <v>Дата присвоения ОГРН (ОГРНИП) указывается в виде «ДД.ММ.ГГГГ».</v>
      </c>
      <c r="H17" s="698"/>
    </row>
    <row customHeight="1" ht="56.25">
      <c r="A18" s="680"/>
      <c r="B18" s="725"/>
      <c r="C18" s="680"/>
      <c r="D18" s="668" t="s">
        <v>90</v>
      </c>
      <c r="E18" s="66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4"/>
      <c r="G18" s="697"/>
      <c r="H18" s="698"/>
    </row>
    <row customHeight="1" ht="22.5" hidden="1">
      <c r="A19" s="2337" t="s">
        <v>314</v>
      </c>
      <c r="B19" s="725"/>
      <c r="C19" s="2348"/>
      <c r="D19" s="668" t="str">
        <f>A19</f>
        <v>5.1</v>
      </c>
      <c r="E19" s="665" t="s">
        <v>315</v>
      </c>
      <c r="F19" s="666" t="s">
        <v>307</v>
      </c>
      <c r="G19" s="667" t="s">
        <v>316</v>
      </c>
      <c r="H19" s="698"/>
      <c r="I19" s="1075"/>
    </row>
    <row customHeight="1" ht="24" hidden="1">
      <c r="A20" s="2337"/>
      <c r="B20" s="725"/>
      <c r="C20" s="2348"/>
      <c r="D20" s="663" t="str">
        <f>D19&amp;".1"</f>
        <v>5.1.1</v>
      </c>
      <c r="E20" s="662" t="s">
        <v>317</v>
      </c>
      <c r="F20" s="1104" t="s">
        <v>24</v>
      </c>
      <c r="G20" s="697"/>
      <c r="H20" s="698"/>
      <c r="I20" s="1075"/>
    </row>
    <row customHeight="1" ht="22.5" hidden="1">
      <c r="A21" s="2337"/>
      <c r="B21" s="725"/>
      <c r="C21" s="2348"/>
      <c r="D21" s="663" t="str">
        <f>D19&amp;".2"</f>
        <v>5.1.2</v>
      </c>
      <c r="E21" s="662" t="s">
        <v>318</v>
      </c>
      <c r="F21" s="1961" t="s">
        <v>24</v>
      </c>
      <c r="G21" s="667" t="s">
        <v>319</v>
      </c>
      <c r="H21" s="698"/>
      <c r="I21" s="1075"/>
    </row>
    <row customHeight="1" ht="22.5" hidden="1">
      <c r="A22" s="2337"/>
      <c r="B22" s="725"/>
      <c r="C22" s="2348"/>
      <c r="D22" s="663" t="str">
        <f>D19&amp;".3"</f>
        <v>5.1.3</v>
      </c>
      <c r="E22" s="662" t="s">
        <v>320</v>
      </c>
      <c r="F22" s="1104" t="s">
        <v>24</v>
      </c>
      <c r="G22" s="697"/>
      <c r="H22" s="698"/>
      <c r="I22" s="1075"/>
    </row>
    <row customHeight="1" ht="22.5" hidden="1">
      <c r="A23" s="2337"/>
      <c r="B23" s="725"/>
      <c r="C23" s="2348"/>
      <c r="D23" s="663" t="str">
        <f>D19&amp;".4"</f>
        <v>5.1.4</v>
      </c>
      <c r="E23" s="662" t="s">
        <v>321</v>
      </c>
      <c r="F23" s="1104" t="s">
        <v>24</v>
      </c>
      <c r="G23" s="667" t="s">
        <v>322</v>
      </c>
      <c r="H23" s="698"/>
      <c r="I23" s="1075"/>
    </row>
    <row customHeight="1" ht="22.5" hidden="1">
      <c r="A24" s="2208"/>
      <c r="B24" s="725"/>
      <c r="C24" s="715"/>
      <c r="D24" s="690"/>
      <c r="E24" s="1393" t="s">
        <v>323</v>
      </c>
      <c r="F24" s="691"/>
      <c r="G24" s="692"/>
      <c r="H24" s="698"/>
      <c r="I24" s="1075"/>
    </row>
    <row s="13278" customFormat="1" customHeight="1" ht="24.75" hidden="1">
      <c r="A25" s="680"/>
      <c r="B25" s="725"/>
      <c r="C25" s="725"/>
      <c r="D25" s="1230" t="s">
        <v>89</v>
      </c>
      <c r="E25" s="1232" t="s">
        <v>324</v>
      </c>
      <c r="F25" s="1237" t="s">
        <v>307</v>
      </c>
      <c r="G25" s="1232"/>
    </row>
    <row s="13278" customFormat="1" customHeight="1" ht="11.25" hidden="1">
      <c r="A26" s="680"/>
      <c r="B26" s="725"/>
      <c r="C26" s="725"/>
      <c r="D26" s="1230" t="s">
        <v>325</v>
      </c>
      <c r="E26" s="1231" t="s">
        <v>326</v>
      </c>
      <c r="F26" s="1237" t="s">
        <v>307</v>
      </c>
      <c r="G26" s="1232"/>
    </row>
    <row s="13278" customFormat="1" customHeight="1" ht="11.25" hidden="1">
      <c r="A27" s="680"/>
      <c r="B27" s="725"/>
      <c r="C27" s="725"/>
      <c r="D27" s="1230" t="s">
        <v>327</v>
      </c>
      <c r="E27" s="1238" t="s">
        <v>328</v>
      </c>
      <c r="F27" s="1239"/>
      <c r="G27" s="12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3278" customFormat="1" customHeight="1" ht="11.25" hidden="1">
      <c r="A28" s="680"/>
      <c r="B28" s="725"/>
      <c r="C28" s="725"/>
      <c r="D28" s="1230" t="s">
        <v>329</v>
      </c>
      <c r="E28" s="1238" t="s">
        <v>330</v>
      </c>
      <c r="F28" s="1239"/>
      <c r="G28" s="12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3278" customFormat="1" customHeight="1" ht="11.25" hidden="1">
      <c r="A29" s="680"/>
      <c r="B29" s="725"/>
      <c r="C29" s="725"/>
      <c r="D29" s="1230" t="s">
        <v>331</v>
      </c>
      <c r="E29" s="1238" t="s">
        <v>332</v>
      </c>
      <c r="F29" s="1239"/>
      <c r="G29" s="12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3278" customFormat="1" customHeight="1" ht="11.25" hidden="1">
      <c r="A30" s="680"/>
      <c r="B30" s="725"/>
      <c r="C30" s="725"/>
      <c r="D30" s="1230" t="s">
        <v>333</v>
      </c>
      <c r="E30" s="1231" t="s">
        <v>334</v>
      </c>
      <c r="F30" s="1239"/>
      <c r="G30" s="1232"/>
    </row>
    <row s="13278" customFormat="1" customHeight="1" ht="11.25" hidden="1">
      <c r="A31" s="680"/>
      <c r="B31" s="725"/>
      <c r="C31" s="725"/>
      <c r="D31" s="1230" t="s">
        <v>335</v>
      </c>
      <c r="E31" s="1231" t="s">
        <v>336</v>
      </c>
      <c r="F31" s="1239"/>
      <c r="G31" s="1232"/>
    </row>
    <row s="13278" customFormat="1" customHeight="1" ht="11.25" hidden="1">
      <c r="A32" s="680"/>
      <c r="B32" s="725"/>
      <c r="C32" s="725"/>
      <c r="D32" s="1230" t="s">
        <v>337</v>
      </c>
      <c r="E32" s="1231" t="s">
        <v>338</v>
      </c>
      <c r="F32" s="1240"/>
      <c r="G32" s="1232"/>
    </row>
    <row customHeight="1" ht="22.5">
      <c r="A33" s="680" t="str">
        <f>IF(TEMPLATE_SPHERE="HEAT","6","5")</f>
        <v>5</v>
      </c>
      <c r="B33" s="725"/>
      <c r="C33" s="680"/>
      <c r="D33" s="663" t="str">
        <f>A33</f>
        <v>5</v>
      </c>
      <c r="E33" s="66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66" t="s">
        <v>307</v>
      </c>
      <c r="G33" s="697"/>
      <c r="H33" s="698"/>
    </row>
    <row customHeight="1" ht="22.5">
      <c r="A34" s="680"/>
      <c r="B34" s="725"/>
      <c r="C34" s="680"/>
      <c r="D34" s="663" t="str">
        <f>D33&amp;".1"</f>
        <v>5.1</v>
      </c>
      <c r="E34" s="665" t="str">
        <f>"фамилия"&amp;IF(TEMPLATE_SPHERE&lt;&gt;"HEAT"," руководителя","")</f>
        <v>фамилия руководителя</v>
      </c>
      <c r="F34" s="664"/>
      <c r="G34" s="6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98"/>
    </row>
    <row customHeight="1" ht="22.5">
      <c r="A35" s="680"/>
      <c r="B35" s="725"/>
      <c r="C35" s="680"/>
      <c r="D35" s="663" t="str">
        <f>D33&amp;".2"</f>
        <v>5.2</v>
      </c>
      <c r="E35" s="665" t="str">
        <f>"имя"&amp;IF(TEMPLATE_SPHERE&lt;&gt;"HEAT"," руководителя","")</f>
        <v>имя руководителя</v>
      </c>
      <c r="F35" s="664"/>
      <c r="G35" s="6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98"/>
    </row>
    <row customHeight="1" ht="22.5">
      <c r="A36" s="680"/>
      <c r="B36" s="725"/>
      <c r="C36" s="680"/>
      <c r="D36" s="663" t="str">
        <f>D33&amp;".3"</f>
        <v>5.3</v>
      </c>
      <c r="E36" s="665" t="str">
        <f>"отчество"&amp;IF(TEMPLATE_SPHERE&lt;&gt;"HEAT"," руководителя","")</f>
        <v>отчество руководителя</v>
      </c>
      <c r="F36" s="921"/>
      <c r="G36" s="6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98"/>
    </row>
    <row customHeight="1" ht="33.75">
      <c r="A37" s="680"/>
      <c r="B37" s="725"/>
      <c r="C37" s="680"/>
      <c r="D37" s="663">
        <f>D33+1</f>
        <v>6</v>
      </c>
      <c r="E37" s="66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4"/>
      <c r="G37" s="667" t="s">
        <v>339</v>
      </c>
      <c r="H37" s="698"/>
    </row>
    <row customHeight="1" ht="33.75">
      <c r="A38" s="680"/>
      <c r="B38" s="725"/>
      <c r="C38" s="680"/>
      <c r="D38" s="663">
        <f>D37+1</f>
        <v>7</v>
      </c>
      <c r="E38" s="66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4"/>
      <c r="G38" s="667" t="s">
        <v>339</v>
      </c>
      <c r="H38" s="698"/>
    </row>
    <row customHeight="1" ht="22.5">
      <c r="A39" s="680"/>
      <c r="B39" s="725"/>
      <c r="C39" s="680"/>
      <c r="D39" s="663">
        <f>D38+1</f>
        <v>8</v>
      </c>
      <c r="E39" s="66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66" t="s">
        <v>307</v>
      </c>
      <c r="G39" s="23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98"/>
    </row>
    <row customHeight="1" ht="22.5" hidden="1">
      <c r="A40" s="680"/>
      <c r="B40" s="725"/>
      <c r="C40" s="680"/>
      <c r="D40" s="663" t="str">
        <f>D39&amp;".0"</f>
        <v>8.0</v>
      </c>
      <c r="E40" s="1833"/>
      <c r="F40" s="1104"/>
      <c r="G40" s="2346"/>
      <c r="H40" s="698"/>
    </row>
    <row customHeight="1" ht="22.5">
      <c r="A41" s="680"/>
      <c r="B41" s="680"/>
      <c r="C41" s="1916"/>
      <c r="D41" s="663" t="str">
        <f>D39&amp;".1"</f>
        <v>8.1</v>
      </c>
      <c r="E41" s="1083"/>
      <c r="F41" s="1084"/>
      <c r="G41" s="2346"/>
      <c r="H41" s="698"/>
    </row>
    <row customHeight="1" ht="15">
      <c r="A42" s="680"/>
      <c r="B42" s="725"/>
      <c r="C42" s="680"/>
      <c r="D42" s="690"/>
      <c r="E42" s="638" t="s">
        <v>340</v>
      </c>
      <c r="F42" s="692"/>
      <c r="G42" s="2347"/>
      <c r="H42" s="699"/>
    </row>
    <row customHeight="1" ht="25.5">
      <c r="A43" s="680"/>
      <c r="B43" s="725"/>
      <c r="C43" s="680"/>
      <c r="D43" s="663">
        <f>D39+1</f>
        <v>9</v>
      </c>
      <c r="E43" s="66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5"/>
      <c r="G43" s="6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98"/>
    </row>
    <row customHeight="1" ht="22.5">
      <c r="A44" s="680"/>
      <c r="B44" s="725"/>
      <c r="C44" s="680"/>
      <c r="D44" s="663">
        <f>D43+1</f>
        <v>10</v>
      </c>
      <c r="E44" s="66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1"/>
      <c r="G44" s="697" t="s">
        <v>341</v>
      </c>
      <c r="H44" s="698"/>
    </row>
    <row customHeight="1" ht="22.5">
      <c r="A45" s="680"/>
      <c r="B45" s="725"/>
      <c r="C45" s="680"/>
      <c r="D45" s="663">
        <f>D44+1</f>
        <v>11</v>
      </c>
      <c r="E45" s="661" t="s">
        <v>342</v>
      </c>
      <c r="F45" s="666" t="s">
        <v>307</v>
      </c>
      <c r="G45" s="660" t="str">
        <f>IF(TEMPLATE_SPHERE="TKO","Указывается режим работы организации.","")</f>
        <v/>
      </c>
      <c r="H45" s="698"/>
    </row>
    <row customHeight="1" ht="22.5">
      <c r="A46" s="680"/>
      <c r="B46" s="725"/>
      <c r="C46" s="680"/>
      <c r="D46" s="663" t="str">
        <f>D45&amp;".1"</f>
        <v>11.1</v>
      </c>
      <c r="E46" s="665" t="str">
        <f>"режим работы регулируемой организации"&amp;IF(TEMPLATE_SPHERE="HEAT",", ЕТО, ТО","")</f>
        <v>режим работы регулируемой организации</v>
      </c>
      <c r="F46" s="1912"/>
      <c r="G46" s="660" t="s">
        <v>343</v>
      </c>
      <c r="H46" s="698"/>
    </row>
    <row customHeight="1" ht="22.5">
      <c r="A47" s="2337"/>
      <c r="B47" s="725"/>
      <c r="C47" s="715"/>
      <c r="D47" s="663" t="str">
        <f>D45&amp;".2"</f>
        <v>11.2</v>
      </c>
      <c r="E47" s="665" t="s">
        <v>344</v>
      </c>
      <c r="F47" s="713"/>
      <c r="G47" s="660" t="s">
        <v>345</v>
      </c>
      <c r="H47" s="698"/>
    </row>
    <row customHeight="1" ht="22.5">
      <c r="A48" s="2337"/>
      <c r="B48" s="725"/>
      <c r="C48" s="715"/>
      <c r="D48" s="663" t="str">
        <f>D45&amp;".3"</f>
        <v>11.3</v>
      </c>
      <c r="E48" s="665" t="s">
        <v>346</v>
      </c>
      <c r="F48" s="713"/>
      <c r="G48" s="660" t="s">
        <v>347</v>
      </c>
      <c r="H48" s="698"/>
    </row>
    <row customHeight="1" ht="22.5">
      <c r="A49" s="2337"/>
      <c r="B49" s="725"/>
      <c r="C49" s="715"/>
      <c r="D49" s="663" t="str">
        <f>IF(TEMPLATE_SPHERE="TKO",D45&amp;".0",D45&amp;".4")</f>
        <v>11.4</v>
      </c>
      <c r="E49" s="659" t="s">
        <v>348</v>
      </c>
      <c r="F49" s="1913"/>
      <c r="G49" s="1990" t="s">
        <v>349</v>
      </c>
      <c r="H49" s="698"/>
    </row>
    <row customHeight="1" ht="22.5">
      <c r="A50" s="680"/>
      <c r="B50" s="725"/>
      <c r="C50" s="680"/>
      <c r="D50" s="690"/>
      <c r="E50" s="638" t="s">
        <v>350</v>
      </c>
      <c r="F50" s="691"/>
      <c r="G50" s="1990" t="s">
        <v>351</v>
      </c>
      <c r="H50" s="699"/>
    </row>
    <row customHeight="1" ht="22.5">
      <c r="A51" s="1081"/>
      <c r="B51" s="725"/>
      <c r="C51" s="715"/>
      <c r="D51" s="663">
        <f>D45+1</f>
        <v>12</v>
      </c>
      <c r="E51" s="751" t="s">
        <v>352</v>
      </c>
      <c r="F51" s="713"/>
      <c r="G51" s="19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98"/>
    </row>
    <row customHeight="1" ht="11.25">
      <c r="A52" s="680"/>
      <c r="B52" s="725"/>
      <c r="C52" s="680"/>
    </row>
    <row s="13307" customFormat="1" customHeight="1" ht="30">
      <c r="A53" s="1915"/>
      <c r="B53" s="726"/>
      <c r="C53" s="2338"/>
      <c r="D53" s="23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1"/>
      <c r="F53" s="2341"/>
      <c r="G53" s="2341"/>
      <c r="H53" s="677"/>
      <c r="I53" s="677"/>
    </row>
    <row s="13307" customFormat="1" customHeight="1" ht="39.75">
      <c r="A54" s="680"/>
      <c r="B54" s="725"/>
      <c r="C54" s="2338"/>
      <c r="D54" s="234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41"/>
      <c r="F54" s="2341"/>
      <c r="G54" s="2341"/>
    </row>
    <row customHeight="1" ht="11.25">
      <c r="D55" s="681"/>
      <c r="E55" s="682"/>
      <c r="F55" s="682"/>
      <c r="G55" s="682"/>
    </row>
    <row customHeight="1" ht="27">
      <c r="D56" s="684"/>
      <c r="E56" s="681"/>
      <c r="F56" s="693"/>
      <c r="G56" s="693"/>
    </row>
    <row customHeight="1" ht="11.25">
      <c r="D57" s="681"/>
      <c r="E57" s="681"/>
      <c r="F57" s="682"/>
      <c r="G57" s="682"/>
    </row>
    <row customHeight="1" ht="39">
      <c r="D58" s="685"/>
      <c r="E58" s="694"/>
      <c r="F58" s="694"/>
      <c r="G58" s="694"/>
    </row>
    <row customHeight="1" ht="27">
      <c r="D59" s="685"/>
      <c r="E59" s="694"/>
      <c r="F59" s="694"/>
      <c r="G59" s="694"/>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E3A2B-990F-8733-B59C-7918B21BD47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3385" width="9.140625" hidden="1" customWidth="1"/>
    <col min="2" max="2" style="13386" width="9.140625" hidden="1" customWidth="1"/>
    <col min="3" max="3" style="13387" width="3.7109375" customWidth="1"/>
    <col min="4" max="4" style="13386" width="5.57421875" customWidth="1"/>
    <col min="5" max="5" style="13386" width="48.421875" customWidth="1"/>
    <col min="6" max="6" style="13386" width="38.140625" customWidth="1"/>
    <col min="7" max="7" style="12890" width="1.7109375" hidden="1" customWidth="1"/>
    <col min="8" max="11" style="13386" width="19.8515625" hidden="1" customWidth="1"/>
    <col min="12" max="12" style="13386" width="9.7109375" hidden="1" customWidth="1"/>
    <col min="13" max="18" style="13386" width="19.8515625" hidden="1" customWidth="1"/>
    <col min="19" max="19" style="12890" width="1.7109375" hidden="1" customWidth="1"/>
    <col min="20" max="22" style="13388" width="19.8515625" hidden="1" customWidth="1"/>
    <col min="23" max="23" style="12890" width="1.7109375" hidden="1" customWidth="1"/>
    <col min="24" max="26" style="13388" width="19.8515625" hidden="1" customWidth="1"/>
    <col min="27" max="27" style="12890" width="1.7109375" hidden="1" customWidth="1"/>
    <col min="28" max="29" style="13388" width="19.8515625" customWidth="1"/>
    <col min="30" max="30" style="12890" width="1.7109375" hidden="1" customWidth="1"/>
    <col min="31" max="31" style="13386" width="103.7109375" hidden="1" customWidth="1"/>
    <col min="32" max="33" style="13388" width="103.7109375" hidden="1" customWidth="1"/>
    <col min="34" max="34" style="13388" width="103.7109375" customWidth="1"/>
    <col min="35" max="35" style="13389" width="3.7109375" customWidth="1"/>
    <col min="36" max="38" style="13390" width="10.57421875"/>
    <col min="39" max="39" style="13390" width="13.7109375" hidden="1" customWidth="1"/>
    <col min="40" max="40" style="13390" width="15.421875" customWidth="1"/>
    <col min="41" max="41" style="13390" width="16.28125" customWidth="1"/>
    <col min="42" max="45" style="13390" width="10.57421875"/>
  </cols>
  <sheetData>
    <row customHeight="1" ht="14.25" hidden="1">
      <c r="E1" s="635"/>
      <c r="F1" s="635"/>
      <c r="G1" s="635"/>
      <c r="H1" s="2364" t="s">
        <v>353</v>
      </c>
      <c r="I1" s="2364"/>
      <c r="J1" s="2364"/>
      <c r="K1" s="2364"/>
      <c r="L1" s="2364"/>
      <c r="M1" s="2364"/>
      <c r="N1" s="2364"/>
      <c r="O1" s="2364"/>
      <c r="P1" s="2364"/>
      <c r="Q1" s="2364"/>
      <c r="R1" s="2364"/>
      <c r="T1" s="2364" t="s">
        <v>354</v>
      </c>
      <c r="U1" s="2364"/>
      <c r="V1" s="2364"/>
      <c r="X1" s="2364" t="s">
        <v>355</v>
      </c>
      <c r="Y1" s="2364"/>
      <c r="Z1" s="2364"/>
      <c r="AB1" s="2364" t="s">
        <v>356</v>
      </c>
      <c r="AC1" s="2364"/>
    </row>
    <row customHeight="1" ht="14.25" hidden="1"/>
    <row s="13323" customFormat="1" customHeight="1" ht="6">
      <c r="C3" s="924"/>
      <c r="D3" s="925"/>
      <c r="E3" s="925"/>
      <c r="F3" s="925"/>
      <c r="G3" s="925"/>
      <c r="H3" s="925" t="s">
        <v>357</v>
      </c>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J3" s="734"/>
      <c r="AK3" s="734"/>
      <c r="AL3" s="734"/>
      <c r="AM3" s="734"/>
      <c r="AN3" s="734"/>
      <c r="AO3" s="734"/>
      <c r="AP3" s="734"/>
      <c r="AQ3" s="734"/>
      <c r="AR3" s="734"/>
      <c r="AS3" s="734"/>
    </row>
    <row customHeight="1" ht="37.5">
      <c r="C4" s="673"/>
      <c r="D4" s="2302" t="str">
        <f>ORG_VD_NAME_FORM</f>
        <v>Форма 1. Информация об организации, осуществляющей горячее водоснабжение (общая информация)</v>
      </c>
      <c r="E4" s="2303"/>
      <c r="F4" s="2303"/>
      <c r="G4" s="2303"/>
      <c r="H4" s="2303"/>
      <c r="I4" s="2303"/>
      <c r="J4" s="2303"/>
      <c r="K4" s="2303"/>
      <c r="L4" s="2303"/>
      <c r="M4" s="2303"/>
      <c r="N4" s="2303"/>
      <c r="O4" s="2303"/>
      <c r="P4" s="2303"/>
      <c r="Q4" s="2303"/>
      <c r="R4" s="2304"/>
      <c r="S4" s="1076"/>
      <c r="T4" s="922"/>
      <c r="U4" s="922"/>
      <c r="V4" s="922"/>
      <c r="W4" s="922"/>
      <c r="X4" s="922"/>
      <c r="Y4" s="922"/>
      <c r="Z4" s="922"/>
      <c r="AA4" s="922"/>
      <c r="AB4" s="922"/>
      <c r="AC4" s="922"/>
      <c r="AD4" s="922"/>
      <c r="AE4" s="714"/>
      <c r="AF4" s="714"/>
      <c r="AG4" s="714"/>
      <c r="AH4" s="714"/>
      <c r="AI4" s="711"/>
    </row>
    <row s="12890" customFormat="1" customHeight="1" ht="17.25">
      <c r="A5" s="982"/>
      <c r="C5" s="1045"/>
      <c r="D5" s="2361" t="str">
        <f>IF(org=0,"Не определено",org)</f>
        <v>ООО "Новая Энергетика"</v>
      </c>
      <c r="E5" s="2362"/>
      <c r="F5" s="2362"/>
      <c r="G5" s="2362"/>
      <c r="H5" s="2362"/>
      <c r="I5" s="2362"/>
      <c r="J5" s="2362"/>
      <c r="K5" s="2362"/>
      <c r="L5" s="2362"/>
      <c r="M5" s="2362"/>
      <c r="N5" s="2362"/>
      <c r="O5" s="2362"/>
      <c r="P5" s="2362"/>
      <c r="Q5" s="2362"/>
      <c r="R5" s="2363"/>
      <c r="S5" s="1076"/>
      <c r="T5" s="922"/>
      <c r="U5" s="922"/>
      <c r="V5" s="922"/>
      <c r="W5" s="922"/>
      <c r="X5" s="922"/>
      <c r="Y5" s="922"/>
      <c r="Z5" s="922"/>
      <c r="AA5" s="922"/>
      <c r="AB5" s="922"/>
      <c r="AC5" s="922"/>
      <c r="AD5" s="922"/>
      <c r="AE5" s="714"/>
      <c r="AF5" s="714"/>
      <c r="AG5" s="714"/>
      <c r="AH5" s="714"/>
      <c r="AI5" s="711"/>
      <c r="AJ5" s="734"/>
      <c r="AK5" s="734"/>
      <c r="AL5" s="734"/>
      <c r="AM5" s="734"/>
      <c r="AN5" s="734"/>
      <c r="AO5" s="734"/>
      <c r="AP5" s="734"/>
      <c r="AQ5" s="734"/>
      <c r="AR5" s="734"/>
      <c r="AS5" s="734"/>
    </row>
    <row s="13335" customFormat="1" customHeight="1" ht="11.25">
      <c r="A6" s="702"/>
      <c r="C6" s="709"/>
      <c r="D6" s="708"/>
      <c r="E6" s="708"/>
      <c r="F6" s="708"/>
      <c r="G6" s="708"/>
      <c r="H6" s="708"/>
      <c r="I6" s="708"/>
      <c r="J6" s="708"/>
      <c r="K6" s="708"/>
      <c r="L6" s="708"/>
      <c r="M6" s="708"/>
      <c r="N6" s="708"/>
      <c r="O6" s="708"/>
      <c r="P6" s="708"/>
      <c r="Q6" s="708"/>
      <c r="R6" s="975"/>
      <c r="S6" s="975"/>
      <c r="T6" s="708"/>
      <c r="U6" s="708"/>
      <c r="V6" s="935"/>
      <c r="W6" s="935"/>
      <c r="X6" s="708"/>
      <c r="Y6" s="708"/>
      <c r="Z6" s="935"/>
      <c r="AA6" s="935"/>
      <c r="AB6" s="708"/>
      <c r="AC6" s="935"/>
      <c r="AD6" s="935"/>
      <c r="AE6" s="708"/>
      <c r="AF6" s="708"/>
      <c r="AG6" s="708"/>
      <c r="AH6" s="708"/>
      <c r="AJ6" s="712"/>
      <c r="AK6" s="712"/>
      <c r="AL6" s="712"/>
      <c r="AM6" s="712"/>
      <c r="AN6" s="712"/>
      <c r="AO6" s="712"/>
      <c r="AP6" s="712"/>
      <c r="AQ6" s="712"/>
      <c r="AR6" s="712"/>
      <c r="AS6" s="712"/>
    </row>
    <row customHeight="1" ht="14.25">
      <c r="C7" s="673"/>
      <c r="D7" s="2350" t="s">
        <v>301</v>
      </c>
      <c r="E7" s="2365"/>
      <c r="F7" s="2365"/>
      <c r="G7" s="2365"/>
      <c r="H7" s="2365"/>
      <c r="I7" s="2365"/>
      <c r="J7" s="2365"/>
      <c r="K7" s="2365"/>
      <c r="L7" s="2365"/>
      <c r="M7" s="2365"/>
      <c r="N7" s="2365"/>
      <c r="O7" s="2365"/>
      <c r="P7" s="2365"/>
      <c r="Q7" s="2365"/>
      <c r="R7" s="2365"/>
      <c r="S7" s="2365"/>
      <c r="T7" s="2365"/>
      <c r="U7" s="2365"/>
      <c r="V7" s="2365"/>
      <c r="W7" s="2365"/>
      <c r="X7" s="2365"/>
      <c r="Y7" s="2365"/>
      <c r="Z7" s="2365"/>
      <c r="AA7" s="2365"/>
      <c r="AB7" s="2365"/>
      <c r="AC7" s="2365"/>
      <c r="AD7" s="2366"/>
      <c r="AE7" s="2349" t="s">
        <v>302</v>
      </c>
      <c r="AF7" s="2349" t="s">
        <v>302</v>
      </c>
      <c r="AG7" s="2349" t="s">
        <v>302</v>
      </c>
      <c r="AH7" s="2349" t="s">
        <v>302</v>
      </c>
    </row>
    <row customHeight="1" ht="25.5">
      <c r="C8" s="673"/>
      <c r="D8" s="2254" t="s">
        <v>87</v>
      </c>
      <c r="E8" s="2349" t="str">
        <f>"Наименование "&amp;IF(TEMPLATE_SPHERE&lt;&gt;"HEAT","централизованной ","")&amp;"системы "&amp;TEMPLATE_SPHERE_RUS</f>
        <v>Наименование централизованной системы горячего водоснабжения</v>
      </c>
      <c r="F8" s="2349" t="str">
        <f>IF(TEMPLATE_SPHERE&lt;&gt;"HEAT","Регулируемый вид деятельности","Вид регулируемой деятельности")</f>
        <v>Регулируемый вид деятельности</v>
      </c>
      <c r="G8" s="1051"/>
      <c r="H8" s="2355" t="s">
        <v>358</v>
      </c>
      <c r="I8" s="2357" t="s">
        <v>359</v>
      </c>
      <c r="J8" s="2349" t="s">
        <v>360</v>
      </c>
      <c r="K8" s="2349"/>
      <c r="L8" s="2349"/>
      <c r="M8" s="2350"/>
      <c r="N8" s="2349" t="s">
        <v>361</v>
      </c>
      <c r="O8" s="2349"/>
      <c r="P8" s="2349" t="s">
        <v>362</v>
      </c>
      <c r="Q8" s="2349"/>
      <c r="R8" s="2353" t="s">
        <v>363</v>
      </c>
      <c r="S8" s="1047"/>
      <c r="T8" s="2351" t="s">
        <v>364</v>
      </c>
      <c r="U8" s="2351" t="s">
        <v>365</v>
      </c>
      <c r="V8" s="2351" t="s">
        <v>366</v>
      </c>
      <c r="W8" s="1049"/>
      <c r="X8" s="2351" t="s">
        <v>367</v>
      </c>
      <c r="Y8" s="2351" t="s">
        <v>368</v>
      </c>
      <c r="Z8" s="2351" t="s">
        <v>369</v>
      </c>
      <c r="AA8" s="1049"/>
      <c r="AB8" s="2351" t="s">
        <v>370</v>
      </c>
      <c r="AC8" s="2351" t="s">
        <v>363</v>
      </c>
      <c r="AD8" s="1049"/>
      <c r="AE8" s="2349"/>
      <c r="AF8" s="2349"/>
      <c r="AG8" s="2349"/>
      <c r="AH8" s="2349"/>
    </row>
    <row customHeight="1" ht="43.5">
      <c r="C9" s="673"/>
      <c r="D9" s="2254"/>
      <c r="E9" s="2349"/>
      <c r="F9" s="2349"/>
      <c r="G9" s="1052"/>
      <c r="H9" s="2356"/>
      <c r="I9" s="2358"/>
      <c r="J9" s="648" t="s">
        <v>371</v>
      </c>
      <c r="K9" s="648" t="s">
        <v>372</v>
      </c>
      <c r="L9" s="648" t="s">
        <v>373</v>
      </c>
      <c r="M9" s="654" t="s">
        <v>374</v>
      </c>
      <c r="N9" s="648" t="s">
        <v>375</v>
      </c>
      <c r="O9" s="648" t="s">
        <v>374</v>
      </c>
      <c r="P9" s="648" t="s">
        <v>376</v>
      </c>
      <c r="Q9" s="648" t="s">
        <v>374</v>
      </c>
      <c r="R9" s="2354"/>
      <c r="S9" s="1048"/>
      <c r="T9" s="2352"/>
      <c r="U9" s="2352"/>
      <c r="V9" s="2352"/>
      <c r="W9" s="1050"/>
      <c r="X9" s="2352"/>
      <c r="Y9" s="2352"/>
      <c r="Z9" s="2352"/>
      <c r="AA9" s="1050"/>
      <c r="AB9" s="2352"/>
      <c r="AC9" s="2352"/>
      <c r="AD9" s="1050"/>
      <c r="AE9" s="2349"/>
      <c r="AF9" s="2349"/>
      <c r="AG9" s="2349"/>
      <c r="AH9" s="2349"/>
    </row>
    <row customHeight="1" ht="12" hidden="1">
      <c r="C10" s="710"/>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0"/>
      <c r="AP10" s="723"/>
      <c r="AQ10" s="723"/>
    </row>
    <row s="13364" customFormat="1" customHeight="1" ht="11.25" hidden="1">
      <c r="C11" s="721"/>
      <c r="D11" s="722" t="s">
        <v>377</v>
      </c>
      <c r="E11" s="722"/>
      <c r="F11" s="722"/>
      <c r="G11" s="722"/>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658"/>
      <c r="AF11" s="658"/>
      <c r="AG11" s="658"/>
      <c r="AH11" s="658"/>
      <c r="AJ11" s="712"/>
      <c r="AK11" s="712"/>
      <c r="AL11" s="712"/>
      <c r="AM11" s="712"/>
      <c r="AN11" s="712"/>
      <c r="AO11" s="712"/>
      <c r="AP11" s="712"/>
      <c r="AQ11" s="712"/>
      <c r="AR11" s="712"/>
      <c r="AS11" s="712"/>
    </row>
    <row customHeight="1" ht="14.25">
      <c r="A12" s="670"/>
      <c r="C12" s="673"/>
      <c r="D12" s="657" t="s">
        <v>108</v>
      </c>
      <c r="E12" s="2005" t="s">
        <v>24</v>
      </c>
      <c r="F12" s="1078"/>
      <c r="G12" s="1079"/>
      <c r="H12" s="2006"/>
      <c r="I12" s="2006"/>
      <c r="J12" s="656"/>
      <c r="K12" s="2092"/>
      <c r="L12" s="655"/>
      <c r="M12" s="2092"/>
      <c r="N12" s="656"/>
      <c r="O12" s="2092"/>
      <c r="P12" s="656"/>
      <c r="Q12" s="2092"/>
      <c r="R12" s="656"/>
      <c r="S12" s="1077"/>
      <c r="T12" s="2006"/>
      <c r="U12" s="656"/>
      <c r="V12" s="656"/>
      <c r="W12" s="1050"/>
      <c r="X12" s="2006"/>
      <c r="Y12" s="656"/>
      <c r="Z12" s="656"/>
      <c r="AA12" s="1050"/>
      <c r="AB12" s="2006"/>
      <c r="AC12" s="656"/>
      <c r="AD12" s="1050"/>
      <c r="AE12" s="2359" t="s">
        <v>378</v>
      </c>
      <c r="AF12" s="2359" t="s">
        <v>379</v>
      </c>
      <c r="AG12" s="2359" t="s">
        <v>380</v>
      </c>
      <c r="AH12" s="2359" t="s">
        <v>381</v>
      </c>
      <c r="AI12" s="670"/>
      <c r="AM12" s="734"/>
      <c r="AP12" s="723" t="s">
        <v>382</v>
      </c>
      <c r="AQ12" s="723" t="s">
        <v>382</v>
      </c>
    </row>
    <row customHeight="1" ht="17.25">
      <c r="A13" s="670"/>
      <c r="C13" s="673"/>
      <c r="D13" s="628"/>
      <c r="E13" s="1092" t="str">
        <f>IF(TITLE_DIFFERENTIATION_TYPE="нет","","Добавить систему")</f>
        <v/>
      </c>
      <c r="F13" s="1092" t="str">
        <f>IF(TITLE_DIFFERENTIATION_TYPE="нет","Добавить вид деятельности","")</f>
        <v>Добавить вид деятельности</v>
      </c>
      <c r="G13" s="536"/>
      <c r="H13" s="629"/>
      <c r="I13" s="629"/>
      <c r="J13" s="629"/>
      <c r="K13" s="629"/>
      <c r="L13" s="629"/>
      <c r="M13" s="629"/>
      <c r="N13" s="629"/>
      <c r="O13" s="629"/>
      <c r="P13" s="629"/>
      <c r="Q13" s="629"/>
      <c r="R13" s="629"/>
      <c r="S13" s="629"/>
      <c r="T13" s="629"/>
      <c r="U13" s="629"/>
      <c r="V13" s="629"/>
      <c r="W13" s="629"/>
      <c r="X13" s="629"/>
      <c r="Y13" s="629"/>
      <c r="Z13" s="629"/>
      <c r="AA13" s="629"/>
      <c r="AB13" s="629"/>
      <c r="AC13" s="629"/>
      <c r="AD13" s="1080"/>
      <c r="AE13" s="2360"/>
      <c r="AF13" s="2360"/>
      <c r="AG13" s="2360"/>
      <c r="AH13" s="2360"/>
      <c r="AI13" s="670"/>
    </row>
    <row customHeight="1" ht="14.25">
      <c r="AI14" s="670"/>
    </row>
    <row customHeight="1" ht="14.25">
      <c r="E15" s="981"/>
      <c r="L15" s="981"/>
    </row>
    <row customHeight="1" ht="14.25">
      <c r="L16" s="981"/>
    </row>
    <row customHeight="1" ht="14.25">
      <c r="L17" s="981"/>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018D6-3024-3878-0B8C-B6D68947485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3414" width="9.140625" hidden="1" customWidth="1"/>
    <col min="2" max="2" style="13415" width="9.140625" hidden="1" customWidth="1"/>
    <col min="3" max="3" style="13387" width="3.7109375" customWidth="1"/>
    <col min="4" max="4" style="13415" width="5.57421875" customWidth="1"/>
    <col min="5" max="5" style="13415" width="38.140625" customWidth="1"/>
    <col min="6" max="7" style="13415" width="3.7109375" customWidth="1"/>
    <col min="8" max="8" style="13415" width="38.28125" customWidth="1"/>
    <col min="9" max="9" style="13415" width="35.7109375" customWidth="1"/>
    <col min="10" max="10" style="13415" width="103.7109375" customWidth="1"/>
    <col min="11" max="11" style="13173" width="3.7109375" customWidth="1"/>
    <col min="12" max="14" style="13416" width="10.57421875"/>
    <col min="15" max="15" style="13416" width="13.7109375" customWidth="1"/>
    <col min="16" max="16" style="13416" width="15.421875" customWidth="1"/>
    <col min="17" max="17" style="13416" width="16.28125" customWidth="1"/>
    <col min="18" max="21" style="13416" width="10.57421875"/>
  </cols>
  <sheetData>
    <row customHeight="1" ht="14.25" hidden="1">
      <c r="E1" s="635"/>
      <c r="F1" s="635"/>
      <c r="G1" s="635"/>
      <c r="H1" s="2364" t="s">
        <v>353</v>
      </c>
      <c r="I1" s="2364"/>
    </row>
    <row s="13391" customFormat="1" customHeight="1" ht="14.25" hidden="1">
      <c r="C2" s="1847"/>
      <c r="D2" s="2368" t="s">
        <v>108</v>
      </c>
      <c r="E2" s="2370"/>
      <c r="F2" s="1853"/>
      <c r="G2" s="1848" t="s">
        <v>108</v>
      </c>
      <c r="H2" s="1851"/>
      <c r="I2" s="1849"/>
      <c r="L2" s="1850"/>
      <c r="M2" s="1850"/>
      <c r="N2" s="1850"/>
      <c r="O2" s="1850" t="s">
        <v>383</v>
      </c>
      <c r="P2" s="1850"/>
      <c r="Q2" s="1850"/>
      <c r="R2" s="1852" t="s">
        <v>382</v>
      </c>
      <c r="S2" s="1852" t="s">
        <v>382</v>
      </c>
      <c r="T2" s="1850"/>
      <c r="U2" s="1850"/>
    </row>
    <row s="13391" customFormat="1" customHeight="1" ht="14.25" hidden="1">
      <c r="C3" s="1847"/>
      <c r="D3" s="2369"/>
      <c r="E3" s="2371"/>
      <c r="F3" s="628"/>
      <c r="G3" s="1092"/>
      <c r="H3" s="1092" t="s">
        <v>384</v>
      </c>
      <c r="I3" s="536"/>
      <c r="L3" s="1850"/>
      <c r="M3" s="1850"/>
      <c r="N3" s="1850"/>
      <c r="O3" s="1850"/>
      <c r="P3" s="1850"/>
      <c r="Q3" s="1850"/>
      <c r="R3" s="1852"/>
      <c r="S3" s="1852"/>
      <c r="T3" s="1850"/>
      <c r="U3" s="1850"/>
    </row>
    <row customHeight="1" ht="14.25" hidden="1"/>
    <row s="13403" customFormat="1" customHeight="1" ht="6">
      <c r="C5" s="924"/>
      <c r="D5" s="925"/>
      <c r="E5" s="925"/>
      <c r="F5" s="925"/>
      <c r="G5" s="925"/>
      <c r="H5" s="925" t="s">
        <v>357</v>
      </c>
      <c r="I5" s="925"/>
      <c r="J5" s="925"/>
      <c r="L5" s="1842"/>
      <c r="M5" s="1842"/>
      <c r="N5" s="1842"/>
      <c r="O5" s="1842"/>
      <c r="P5" s="1842"/>
      <c r="Q5" s="1842"/>
      <c r="R5" s="1842"/>
      <c r="S5" s="1842"/>
      <c r="T5" s="1842"/>
      <c r="U5" s="1842"/>
    </row>
    <row customHeight="1" ht="27.75">
      <c r="C6" s="1744"/>
      <c r="D6" s="2367" t="s">
        <v>385</v>
      </c>
      <c r="E6" s="2367"/>
      <c r="F6" s="2367"/>
      <c r="G6" s="2367"/>
      <c r="H6" s="2367"/>
      <c r="I6" s="2367"/>
      <c r="J6" s="714"/>
      <c r="K6" s="1843"/>
    </row>
    <row customHeight="1" ht="17.25">
      <c r="C7" s="1744"/>
      <c r="D7" s="2336" t="str">
        <f>IF(org=0,"Не определено",org)</f>
        <v>ООО "Новая Энергетика"</v>
      </c>
      <c r="E7" s="2336"/>
      <c r="F7" s="2336"/>
      <c r="G7" s="2336"/>
      <c r="H7" s="2336"/>
      <c r="I7" s="2336"/>
      <c r="J7" s="714"/>
      <c r="K7" s="1843"/>
    </row>
    <row s="13408" customFormat="1" customHeight="1" ht="6">
      <c r="A8" s="1839"/>
      <c r="C8" s="709"/>
      <c r="D8" s="708"/>
      <c r="E8" s="708"/>
      <c r="F8" s="708"/>
      <c r="G8" s="708"/>
      <c r="H8" s="708"/>
      <c r="I8" s="708"/>
      <c r="J8" s="708"/>
      <c r="L8" s="1842"/>
      <c r="M8" s="1842"/>
      <c r="N8" s="1842"/>
      <c r="O8" s="1842"/>
      <c r="P8" s="1842"/>
      <c r="Q8" s="1842"/>
      <c r="R8" s="1842"/>
      <c r="S8" s="1842"/>
      <c r="T8" s="1842"/>
      <c r="U8" s="1842"/>
    </row>
    <row s="13408" customFormat="1" customHeight="1" ht="6">
      <c r="A9" s="1839"/>
      <c r="C9" s="709"/>
      <c r="D9" s="708"/>
      <c r="E9" s="708"/>
      <c r="F9" s="708"/>
      <c r="G9" s="708"/>
      <c r="H9" s="708"/>
      <c r="I9" s="708"/>
      <c r="J9" s="708"/>
      <c r="L9" s="1850"/>
      <c r="M9" s="1850"/>
      <c r="N9" s="1850"/>
      <c r="O9" s="1850"/>
      <c r="P9" s="1850"/>
      <c r="Q9" s="1850"/>
      <c r="R9" s="1850"/>
      <c r="S9" s="1850"/>
      <c r="T9" s="1850"/>
      <c r="U9" s="1850"/>
    </row>
    <row customHeight="1" ht="14.25">
      <c r="C10" s="1744"/>
      <c r="D10" s="2350" t="s">
        <v>301</v>
      </c>
      <c r="E10" s="2365"/>
      <c r="F10" s="2365"/>
      <c r="G10" s="2365"/>
      <c r="H10" s="2365"/>
      <c r="I10" s="2365"/>
      <c r="J10" s="2349" t="s">
        <v>302</v>
      </c>
    </row>
    <row customHeight="1" ht="25.5">
      <c r="C11" s="1744"/>
      <c r="D11" s="2254" t="s">
        <v>87</v>
      </c>
      <c r="E11" s="2349" t="s">
        <v>104</v>
      </c>
      <c r="F11" s="2312" t="s">
        <v>87</v>
      </c>
      <c r="G11" s="2313"/>
      <c r="H11" s="2311" t="s">
        <v>386</v>
      </c>
      <c r="I11" s="2311" t="s">
        <v>387</v>
      </c>
      <c r="J11" s="2349"/>
    </row>
    <row customHeight="1" ht="14.25">
      <c r="C12" s="1744"/>
      <c r="D12" s="2254"/>
      <c r="E12" s="2349"/>
      <c r="F12" s="2320"/>
      <c r="G12" s="2321"/>
      <c r="H12" s="2372"/>
      <c r="I12" s="2372"/>
      <c r="J12" s="2349"/>
    </row>
    <row s="13364" customFormat="1" customHeight="1" ht="11.25" hidden="1">
      <c r="C13" s="721"/>
      <c r="D13" s="722" t="s">
        <v>377</v>
      </c>
      <c r="E13" s="722"/>
      <c r="F13" s="722"/>
      <c r="G13" s="722"/>
      <c r="H13" s="720"/>
      <c r="I13" s="720"/>
      <c r="J13" s="658"/>
      <c r="L13" s="1842"/>
      <c r="M13" s="1842"/>
      <c r="N13" s="1842"/>
      <c r="O13" s="1842"/>
      <c r="P13" s="1842"/>
      <c r="Q13" s="1842"/>
      <c r="R13" s="1842"/>
      <c r="S13" s="1842"/>
      <c r="T13" s="1842"/>
      <c r="U13" s="1842"/>
    </row>
    <row customHeight="1" ht="14.25">
      <c r="A14" s="1835"/>
      <c r="C14" s="1744"/>
      <c r="D14" s="2368" t="s">
        <v>108</v>
      </c>
      <c r="E14" s="2370"/>
      <c r="F14" s="1845"/>
      <c r="G14" s="1844" t="s">
        <v>108</v>
      </c>
      <c r="H14" s="1851"/>
      <c r="I14" s="1849"/>
      <c r="J14" s="2298" t="s">
        <v>388</v>
      </c>
      <c r="K14" s="1835"/>
      <c r="R14" s="723" t="s">
        <v>382</v>
      </c>
      <c r="S14" s="723" t="s">
        <v>382</v>
      </c>
    </row>
    <row customHeight="1" ht="14.25">
      <c r="A15" s="1835"/>
      <c r="C15" s="1744"/>
      <c r="D15" s="2369"/>
      <c r="E15" s="2371"/>
      <c r="F15" s="628"/>
      <c r="G15" s="1092"/>
      <c r="H15" s="1092" t="s">
        <v>384</v>
      </c>
      <c r="I15" s="536"/>
      <c r="J15" s="2299"/>
      <c r="K15" s="1835"/>
      <c r="R15" s="723"/>
      <c r="S15" s="723"/>
    </row>
    <row customHeight="1" ht="14.25">
      <c r="A16" s="1835"/>
      <c r="C16" s="1744"/>
      <c r="D16" s="628"/>
      <c r="E16" s="1092" t="s">
        <v>120</v>
      </c>
      <c r="F16" s="536"/>
      <c r="G16" s="536"/>
      <c r="H16" s="629"/>
      <c r="I16" s="629"/>
      <c r="J16" s="2300"/>
      <c r="K16" s="1835"/>
    </row>
    <row customHeight="1" ht="14.25">
      <c r="K17" s="1835"/>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3887D-523D-43C2-6FF3-FEC2486A908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385" width="9.140625" hidden="1" customWidth="1"/>
    <col min="2" max="2" style="13386" width="9.140625" hidden="1" customWidth="1"/>
    <col min="3" max="3" style="12890" width="9.140625" hidden="1" customWidth="1"/>
    <col min="4" max="4" style="13387" width="3.7109375" customWidth="1"/>
    <col min="5" max="5" style="13386" width="6.28125" customWidth="1"/>
    <col min="6" max="6" style="12890" width="1.7109375" hidden="1" customWidth="1"/>
    <col min="7" max="8" style="13386" width="30.7109375" customWidth="1"/>
    <col min="9" max="9" style="13386" width="9.00390625" customWidth="1"/>
    <col min="10" max="10" style="13386" width="12.140625" customWidth="1"/>
    <col min="11" max="11" style="13386" width="46.7109375" customWidth="1"/>
    <col min="12" max="12" style="13386" width="100.28125" customWidth="1"/>
    <col min="13" max="13" style="13389" width="7.57421875" customWidth="1"/>
    <col min="14" max="22" style="13386" width="10.57421875"/>
  </cols>
  <sheetData>
    <row s="13390" customFormat="1" customHeight="1" ht="5.25" hidden="1">
      <c r="C1" s="734"/>
      <c r="D1" s="717"/>
      <c r="F1" s="734"/>
      <c r="G1" s="712" t="s">
        <v>82</v>
      </c>
      <c r="H1" s="712" t="s">
        <v>83</v>
      </c>
      <c r="I1" s="712" t="s">
        <v>84</v>
      </c>
      <c r="P1" s="712" t="s">
        <v>82</v>
      </c>
      <c r="Q1" s="712" t="s">
        <v>83</v>
      </c>
      <c r="R1" s="712" t="s">
        <v>84</v>
      </c>
    </row>
    <row s="13390" customFormat="1" customHeight="1" ht="5.25" hidden="1">
      <c r="C2" s="734"/>
      <c r="D2" s="717"/>
      <c r="F2" s="734"/>
    </row>
    <row s="13335" customFormat="1" customHeight="1" ht="6">
      <c r="A3" s="702"/>
      <c r="D3" s="709"/>
      <c r="E3" s="704"/>
      <c r="F3" s="704"/>
      <c r="G3" s="704"/>
      <c r="H3" s="704"/>
      <c r="I3" s="705"/>
      <c r="J3" s="706"/>
      <c r="K3" s="706"/>
      <c r="L3" s="706"/>
    </row>
    <row customHeight="1" ht="22.5">
      <c r="D4" s="673"/>
      <c r="E4" s="2373" t="s">
        <v>389</v>
      </c>
      <c r="F4" s="2373"/>
      <c r="G4" s="2374"/>
      <c r="H4" s="2374"/>
      <c r="I4" s="2375"/>
      <c r="J4" s="714"/>
      <c r="K4" s="676"/>
      <c r="L4" s="676"/>
    </row>
    <row s="12890" customFormat="1" customHeight="1" ht="17.25">
      <c r="A5" s="982"/>
      <c r="D5" s="1045"/>
      <c r="E5" s="2361" t="str">
        <f>IF(org=0,"Не определено",org)</f>
        <v>ООО "Новая Энергетика"</v>
      </c>
      <c r="F5" s="2361"/>
      <c r="G5" s="2362"/>
      <c r="H5" s="2362"/>
      <c r="I5" s="2363"/>
      <c r="J5" s="714"/>
      <c r="K5" s="676"/>
      <c r="L5" s="676"/>
      <c r="M5" s="730"/>
    </row>
    <row s="13335" customFormat="1" customHeight="1" ht="11.25">
      <c r="A6" s="702"/>
      <c r="D6" s="709"/>
      <c r="E6" s="704"/>
      <c r="F6" s="704"/>
      <c r="G6" s="707"/>
      <c r="H6" s="707"/>
      <c r="I6" s="708"/>
      <c r="J6" s="708"/>
      <c r="K6" s="975"/>
      <c r="L6" s="708"/>
    </row>
    <row customHeight="1" ht="14.25">
      <c r="D7" s="673"/>
      <c r="E7" s="2343" t="s">
        <v>301</v>
      </c>
      <c r="F7" s="2343"/>
      <c r="G7" s="2344"/>
      <c r="H7" s="2344"/>
      <c r="I7" s="2344"/>
      <c r="J7" s="2344"/>
      <c r="K7" s="2344"/>
      <c r="L7" s="2349" t="s">
        <v>302</v>
      </c>
    </row>
    <row customHeight="1" ht="45">
      <c r="D8" s="673"/>
      <c r="E8" s="696" t="s">
        <v>87</v>
      </c>
      <c r="F8" s="1046"/>
      <c r="G8" s="688" t="s">
        <v>85</v>
      </c>
      <c r="H8" s="688" t="s">
        <v>86</v>
      </c>
      <c r="I8" s="637" t="s">
        <v>84</v>
      </c>
      <c r="J8" s="637" t="s">
        <v>390</v>
      </c>
      <c r="K8" s="637" t="s">
        <v>391</v>
      </c>
      <c r="L8" s="2349"/>
    </row>
    <row customHeight="1" ht="12" hidden="1">
      <c r="D9" s="710"/>
      <c r="E9" s="716"/>
      <c r="F9" s="1053"/>
      <c r="G9" s="716"/>
      <c r="H9" s="716"/>
      <c r="I9" s="716"/>
      <c r="J9" s="716"/>
      <c r="K9" s="716"/>
      <c r="L9" s="716"/>
      <c r="M9" s="670"/>
    </row>
    <row customHeight="1" ht="14.25" hidden="1">
      <c r="A10" s="728"/>
      <c r="B10" s="728"/>
      <c r="D10" s="729"/>
      <c r="E10" s="735">
        <v>0</v>
      </c>
      <c r="F10" s="1044"/>
      <c r="G10" s="731"/>
      <c r="H10" s="731"/>
      <c r="I10" s="731"/>
      <c r="J10" s="731"/>
      <c r="K10" s="731"/>
      <c r="L10" s="2359" t="s">
        <v>392</v>
      </c>
      <c r="M10" s="730"/>
      <c r="N10" s="728"/>
      <c r="O10" s="728"/>
      <c r="P10" s="728"/>
      <c r="Q10" s="728"/>
      <c r="R10" s="728"/>
      <c r="S10" s="728"/>
      <c r="T10" s="728"/>
      <c r="U10" s="728"/>
      <c r="V10" s="728"/>
    </row>
    <row customHeight="1" ht="15" hidden="1">
      <c r="A11" s="2236"/>
      <c r="B11" s="727"/>
      <c r="C11" s="727"/>
      <c r="D11" s="1088"/>
      <c r="E11" s="736"/>
      <c r="F11" s="736"/>
      <c r="G11" s="736"/>
      <c r="H11" s="736"/>
      <c r="I11" s="737"/>
      <c r="J11" s="738"/>
      <c r="K11" s="936"/>
      <c r="L11" s="2376"/>
      <c r="M11" s="734"/>
      <c r="N11" s="734"/>
      <c r="O11" s="734"/>
      <c r="P11" s="739"/>
      <c r="Q11" s="739"/>
      <c r="R11" s="740"/>
      <c r="S11" s="734"/>
      <c r="T11" s="734"/>
      <c r="U11" s="734"/>
      <c r="V11" s="734"/>
    </row>
    <row s="13335" customFormat="1" customHeight="1" ht="14.25">
      <c r="A12" s="2236"/>
      <c r="B12" s="727"/>
      <c r="C12" s="727"/>
      <c r="D12" s="1089"/>
      <c r="E12" s="1046">
        <v>1</v>
      </c>
      <c r="F12" s="1087">
        <v>23</v>
      </c>
      <c r="G12" s="1086"/>
      <c r="H12" s="1016"/>
      <c r="I12" s="1014"/>
      <c r="J12" s="743" t="s">
        <v>66</v>
      </c>
      <c r="K12" s="1389" t="s">
        <v>24</v>
      </c>
      <c r="L12" s="2376"/>
      <c r="M12" s="734"/>
      <c r="N12" s="734"/>
      <c r="O12" s="734"/>
      <c r="P12" s="739" t="s">
        <v>393</v>
      </c>
      <c r="Q12" s="739" t="s">
        <v>394</v>
      </c>
      <c r="R12" s="740" t="s">
        <v>395</v>
      </c>
      <c r="S12" s="734" t="s">
        <v>396</v>
      </c>
      <c r="T12" s="734"/>
      <c r="U12" s="734"/>
      <c r="V12" s="734"/>
    </row>
    <row customHeight="1" ht="15">
      <c r="A13" s="2236"/>
      <c r="B13" s="728"/>
      <c r="D13" s="729"/>
      <c r="E13" s="628"/>
      <c r="F13" s="752"/>
      <c r="G13" s="639" t="s">
        <v>101</v>
      </c>
      <c r="H13" s="627"/>
      <c r="I13" s="627"/>
      <c r="J13" s="627"/>
      <c r="K13" s="626"/>
      <c r="L13" s="2360"/>
      <c r="M13" s="732"/>
      <c r="N13" s="728"/>
      <c r="O13" s="728"/>
      <c r="P13" s="728"/>
      <c r="Q13" s="728"/>
      <c r="R13" s="728"/>
      <c r="S13" s="728"/>
      <c r="T13" s="728"/>
      <c r="U13" s="728"/>
      <c r="V13" s="728"/>
    </row>
    <row customHeight="1" ht="11.25">
      <c r="A14" s="702"/>
      <c r="B14" s="703"/>
      <c r="C14" s="703"/>
      <c r="D14" s="718"/>
      <c r="E14" s="703"/>
      <c r="F14" s="703"/>
      <c r="G14" s="703"/>
      <c r="H14" s="703"/>
      <c r="I14" s="703"/>
      <c r="J14" s="703"/>
      <c r="K14" s="703"/>
      <c r="L14" s="703"/>
      <c r="M14" s="703"/>
      <c r="N14" s="703"/>
      <c r="O14" s="703"/>
      <c r="P14" s="703"/>
      <c r="Q14" s="703"/>
      <c r="R14" s="703"/>
      <c r="S14" s="703"/>
      <c r="T14" s="703"/>
      <c r="U14" s="703"/>
      <c r="V14" s="703"/>
    </row>
    <row customHeight="1" ht="14.25">
      <c r="D15" s="689"/>
      <c r="E15" s="559"/>
      <c r="F15" s="559"/>
      <c r="G15" s="8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89"/>
      <c r="I15" s="689"/>
      <c r="J15" s="689"/>
      <c r="K15" s="689"/>
      <c r="L15" s="689"/>
    </row>
    <row r="18" customHeight="1" ht="14.25">
      <c r="G18" s="728"/>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806ED-269B-8371-31A4-F499035DF15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533" width="10.57421875" hidden="1"/>
    <col min="2" max="2" style="13533" width="11.00390625" hidden="1" customWidth="1"/>
    <col min="3" max="3" style="13533" width="10.57421875" hidden="1"/>
    <col min="4" max="4" style="13533" width="11.8515625" hidden="1" customWidth="1"/>
    <col min="5" max="5" style="13533" width="10.00390625" hidden="1" customWidth="1"/>
    <col min="6" max="6" style="13533" width="8.7109375" hidden="1" customWidth="1"/>
    <col min="7" max="7" style="13533" width="7.57421875" hidden="1" customWidth="1"/>
    <col min="8" max="8" style="13533" width="11.421875" hidden="1" customWidth="1"/>
    <col min="9" max="9" style="13533" width="12.00390625" hidden="1" customWidth="1"/>
    <col min="10" max="10" style="13533" width="9.8515625" hidden="1" customWidth="1"/>
    <col min="11" max="11" style="13533" width="11.421875" hidden="1" customWidth="1"/>
    <col min="12" max="12" style="13614" width="19.140625" hidden="1" customWidth="1"/>
    <col min="13" max="14" style="13615" width="12.28125" hidden="1" customWidth="1"/>
    <col min="15" max="15" style="13615" width="23.421875" hidden="1" customWidth="1"/>
    <col min="16" max="16" style="13616" width="3.7109375" customWidth="1"/>
    <col min="17" max="18" style="13617" width="3.7109375" customWidth="1"/>
    <col min="19" max="19" style="13618" width="12.7109375" customWidth="1"/>
    <col min="20" max="20" style="13619" width="35.7109375" customWidth="1"/>
    <col min="21" max="21" style="13619" width="0.140625" customWidth="1"/>
    <col min="22" max="22" style="13619" width="24.7109375" hidden="1" customWidth="1"/>
    <col min="23" max="23" style="13619" width="0.140625" hidden="1" customWidth="1"/>
    <col min="24" max="25" style="13619" width="24.7109375" hidden="1" customWidth="1"/>
    <col min="26" max="26" style="13619" width="11.7109375" hidden="1" customWidth="1"/>
    <col min="27" max="27" style="13619" width="3.7109375" hidden="1" customWidth="1"/>
    <col min="28" max="28" style="13619" width="11.7109375" hidden="1" customWidth="1"/>
    <col min="29" max="29" style="13619" width="8.57421875" hidden="1" customWidth="1"/>
    <col min="30" max="30" style="13619" width="24.7109375" customWidth="1"/>
    <col min="31" max="31" style="13619" width="0.140625" customWidth="1"/>
    <col min="32" max="33" style="13619" width="24.7109375" customWidth="1"/>
    <col min="34" max="34" style="13619" width="11.7109375" customWidth="1"/>
    <col min="35" max="35" style="13619" width="3.7109375" customWidth="1"/>
    <col min="36" max="36" style="13619" width="11.7109375" customWidth="1"/>
    <col min="37" max="37" style="13619" width="8.57421875" hidden="1" customWidth="1"/>
    <col min="38" max="38" style="13619" width="4.7109375" customWidth="1"/>
    <col min="39" max="39" style="13619" width="115.7109375" customWidth="1"/>
    <col min="40" max="41" style="13606" width="10.57421875"/>
    <col min="42" max="42" style="13606" width="11.140625" customWidth="1"/>
    <col min="43" max="44" style="13606"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37">
        <f>INDEX(PT_DIFFERENTIATION_NUM_NTAR,MATCH(A2,PT_DIFFERENTIATION_NTAR_ID,0))</f>
      </c>
      <c r="T2" s="521" t="s">
        <v>122</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397</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32"/>
      <c r="Q3" s="575"/>
      <c r="R3" s="576"/>
      <c r="S3" s="1537">
        <f>INDEX(PT_DIFFERENTIATION_NUM_TER,MATCH(B3,PT_DIFFERENTIATION_TER_ID,0))</f>
      </c>
      <c r="T3" s="531" t="s">
        <v>398</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399</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37">
        <f>INDEX(PT_DIFFERENTIATION_NUM_CS,MATCH(C4,PT_DIFFERENTIATION_CS_ID,0))</f>
      </c>
      <c r="T4" s="532" t="s">
        <v>400</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401</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37">
        <f>INDEX(PT_DIFFERENTIATION_NUM_IST_TE,MATCH(D5,PT_DIFFERENTIATION_IST_TE_ID,0))</f>
      </c>
      <c r="T5" s="533" t="s">
        <v>402</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403</v>
      </c>
      <c r="AO5" s="723"/>
      <c r="AP5" s="723" t="str">
        <f>IF(T5="","",T5)</f>
        <v>Источник тепловой энергии  </v>
      </c>
      <c r="AQ5" s="723"/>
      <c r="AR5" s="723"/>
    </row>
    <row customHeight="1" ht="47.25" hidden="1">
      <c r="A6" s="1591"/>
      <c r="B6" s="1591"/>
      <c r="C6" s="1591"/>
      <c r="D6" s="1591"/>
      <c r="E6" s="2390"/>
      <c r="F6" s="2390"/>
      <c r="G6" s="2390"/>
      <c r="H6" s="2390"/>
      <c r="I6" s="2391">
        <f>S5&amp;".1"</f>
      </c>
      <c r="J6" s="1591"/>
      <c r="K6" s="1591"/>
      <c r="L6" s="1592" t="s">
        <v>404</v>
      </c>
      <c r="M6" s="760"/>
      <c r="P6" s="2393">
        <v>1</v>
      </c>
      <c r="Q6" s="1533"/>
      <c r="R6" s="579"/>
      <c r="S6" s="1537">
        <f>$I6</f>
      </c>
      <c r="T6" s="508" t="s">
        <v>405</v>
      </c>
      <c r="U6" s="523"/>
      <c r="V6" s="2377"/>
      <c r="W6" s="2378"/>
      <c r="X6" s="2378"/>
      <c r="Y6" s="2378"/>
      <c r="Z6" s="2378"/>
      <c r="AA6" s="2378"/>
      <c r="AB6" s="2378"/>
      <c r="AC6" s="2379"/>
      <c r="AD6" s="2377"/>
      <c r="AE6" s="2378"/>
      <c r="AF6" s="2378"/>
      <c r="AG6" s="2378"/>
      <c r="AH6" s="2378"/>
      <c r="AI6" s="2378"/>
      <c r="AJ6" s="2378"/>
      <c r="AK6" s="2378"/>
      <c r="AL6" s="2379"/>
      <c r="AM6" s="1485" t="s">
        <v>406</v>
      </c>
      <c r="AO6" s="723"/>
      <c r="AP6" s="723" t="str">
        <f>IF(T6="","",T6)</f>
        <v>Схема подключения теплопотребляющей установки к коллектору источника тепловой энергии</v>
      </c>
      <c r="AQ6" s="723"/>
      <c r="AR6" s="723"/>
    </row>
    <row customHeight="1" ht="21" hidden="1">
      <c r="A7" s="1591"/>
      <c r="B7" s="1591"/>
      <c r="C7" s="1591"/>
      <c r="D7" s="1591"/>
      <c r="E7" s="2390"/>
      <c r="F7" s="2390"/>
      <c r="G7" s="2390"/>
      <c r="H7" s="2390"/>
      <c r="I7" s="2392"/>
      <c r="J7" s="2391">
        <f>I6&amp;".1"</f>
      </c>
      <c r="K7" s="1591"/>
      <c r="L7" s="1592" t="s">
        <v>407</v>
      </c>
      <c r="M7" s="760"/>
      <c r="N7" s="1594"/>
      <c r="P7" s="2393"/>
      <c r="Q7" s="2393">
        <v>1</v>
      </c>
      <c r="R7" s="580"/>
      <c r="S7" s="1537">
        <f>$J7</f>
      </c>
      <c r="T7" s="509" t="s">
        <v>408</v>
      </c>
      <c r="U7" s="523"/>
      <c r="V7" s="2377"/>
      <c r="W7" s="2378"/>
      <c r="X7" s="2378"/>
      <c r="Y7" s="2378"/>
      <c r="Z7" s="2378"/>
      <c r="AA7" s="2378"/>
      <c r="AB7" s="2378"/>
      <c r="AC7" s="2379"/>
      <c r="AD7" s="2377"/>
      <c r="AE7" s="2378"/>
      <c r="AF7" s="2378"/>
      <c r="AG7" s="2378"/>
      <c r="AH7" s="2378"/>
      <c r="AI7" s="2378"/>
      <c r="AJ7" s="2378"/>
      <c r="AK7" s="2378"/>
      <c r="AL7" s="2379"/>
      <c r="AM7" s="1485" t="s">
        <v>409</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410</v>
      </c>
      <c r="M8" s="760"/>
      <c r="N8" s="1594"/>
      <c r="O8" s="1594"/>
      <c r="P8" s="2393"/>
      <c r="Q8" s="2393"/>
      <c r="R8" s="580">
        <v>1</v>
      </c>
      <c r="S8" s="1537">
        <f>$K8</f>
      </c>
      <c r="T8" s="1575"/>
      <c r="U8" s="523"/>
      <c r="V8" s="974"/>
      <c r="W8" s="548"/>
      <c r="X8" s="974"/>
      <c r="Y8" s="1484"/>
      <c r="Z8" s="2394"/>
      <c r="AA8" s="2264" t="s">
        <v>66</v>
      </c>
      <c r="AB8" s="2394"/>
      <c r="AC8" s="2264" t="s">
        <v>66</v>
      </c>
      <c r="AD8" s="974"/>
      <c r="AE8" s="548"/>
      <c r="AF8" s="974"/>
      <c r="AG8" s="1484"/>
      <c r="AH8" s="2394"/>
      <c r="AI8" s="2264" t="s">
        <v>66</v>
      </c>
      <c r="AJ8" s="2394"/>
      <c r="AK8" s="2264" t="s">
        <v>66</v>
      </c>
      <c r="AL8" s="548"/>
      <c r="AM8" s="2419" t="s">
        <v>411</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34"/>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1" t="s">
        <v>412</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33"/>
      <c r="R11" s="579"/>
      <c r="S11" s="1506"/>
      <c r="T11" s="510" t="s">
        <v>413</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506"/>
      <c r="T12" s="588" t="s">
        <v>414</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13514"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415</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3514"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252</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3514"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253</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P17" s="1539"/>
      <c r="AD17" s="1588"/>
      <c r="AE17" s="1588"/>
      <c r="AF17" s="1588"/>
      <c r="AG17" s="1589"/>
      <c r="AH17" s="2387"/>
      <c r="AI17" s="2386" t="s">
        <v>66</v>
      </c>
      <c r="AJ17" s="2387"/>
      <c r="AK17" s="2386" t="s">
        <v>66</v>
      </c>
    </row>
    <row customHeight="1" ht="14.25" hidden="1">
      <c r="P18" s="1539"/>
      <c r="AD18" s="1588"/>
      <c r="AE18" s="1588"/>
      <c r="AF18" s="1588"/>
      <c r="AG18" s="551" t="str">
        <f>AH17&amp;"-"&amp;AJ17</f>
        <v>-</v>
      </c>
      <c r="AH18" s="2386"/>
      <c r="AI18" s="2386"/>
      <c r="AJ18" s="2386"/>
      <c r="AK18" s="2386"/>
    </row>
    <row customHeight="1" ht="14.25" hidden="1">
      <c r="P19" s="1539"/>
      <c r="AK19" s="550"/>
    </row>
    <row s="13533" customFormat="1" customHeight="1" ht="22.5" hidden="1">
      <c r="L20" s="1557"/>
      <c r="M20" s="1590"/>
      <c r="N20" s="1590"/>
      <c r="O20" s="1595" t="s">
        <v>416</v>
      </c>
      <c r="P20" s="1590"/>
      <c r="Q20" s="1599"/>
      <c r="R20" s="1599"/>
      <c r="S20" s="952"/>
      <c r="Z20" s="1595"/>
      <c r="AB20" s="1595"/>
      <c r="AC20" s="1594"/>
      <c r="AH20" s="1595"/>
      <c r="AJ20" s="1595"/>
      <c r="AK20" s="1594"/>
      <c r="AN20" s="734"/>
      <c r="AO20" s="734"/>
      <c r="AP20" s="734"/>
      <c r="AQ20" s="734"/>
      <c r="AR20" s="734"/>
    </row>
    <row s="13533" customFormat="1" customHeight="1" ht="14.25" hidden="1">
      <c r="L21" s="1557"/>
      <c r="M21" s="1590"/>
      <c r="N21" s="1590"/>
      <c r="O21" s="1590"/>
      <c r="P21" s="1590"/>
      <c r="Q21" s="1599"/>
      <c r="R21" s="1599"/>
      <c r="S21" s="952"/>
      <c r="AC21" s="1594"/>
      <c r="AK21" s="1594"/>
      <c r="AN21" s="734"/>
      <c r="AO21" s="734"/>
      <c r="AP21" s="734"/>
      <c r="AQ21" s="734"/>
      <c r="AR21" s="734"/>
    </row>
    <row s="13533" customFormat="1" customHeight="1" ht="14.25" hidden="1">
      <c r="L22" s="1557"/>
      <c r="M22" s="1590"/>
      <c r="N22" s="1590"/>
      <c r="O22" s="1592" t="s">
        <v>417</v>
      </c>
      <c r="P22" s="1590"/>
      <c r="Q22" s="1599"/>
      <c r="R22" s="1599"/>
      <c r="S22" s="952"/>
      <c r="T22" s="1385" t="s">
        <v>418</v>
      </c>
      <c r="AA22" s="409" t="s">
        <v>419</v>
      </c>
      <c r="AC22" s="409" t="s">
        <v>420</v>
      </c>
      <c r="AD22" s="1385" t="s">
        <v>418</v>
      </c>
      <c r="AI22" s="409" t="s">
        <v>421</v>
      </c>
      <c r="AK22" s="409" t="s">
        <v>420</v>
      </c>
      <c r="AN22" s="734"/>
      <c r="AO22" s="734"/>
      <c r="AP22" s="734"/>
      <c r="AQ22" s="734"/>
      <c r="AR22" s="734"/>
    </row>
    <row customHeight="1" ht="14.25" hidden="1">
      <c r="O23" s="1592"/>
      <c r="P23" s="1539"/>
    </row>
    <row customHeight="1" ht="14.25" hidden="1">
      <c r="O24" s="1592"/>
      <c r="P24" s="1539"/>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ООО "Новая Энергетика"</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3547"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Агенство по тарифам Приморского края</v>
      </c>
      <c r="W29" s="2382"/>
      <c r="X29" s="2382"/>
      <c r="Y29" s="2382"/>
      <c r="Z29" s="2382"/>
      <c r="AA29" s="2382"/>
      <c r="AB29" s="2382"/>
      <c r="AC29" s="549"/>
      <c r="AD29" s="2382" t="str">
        <f>IF(TITLE_NAME_OR_PR_CHANGE="",IF(TITLE_NAME_OR_PR="","",TITLE_NAME_OR_PR),TITLE_NAME_OR_PR_CHANGE)</f>
        <v>Агенство по тарифам Приморского края</v>
      </c>
      <c r="AE29" s="2382"/>
      <c r="AF29" s="2382"/>
      <c r="AG29" s="2382"/>
      <c r="AH29" s="2382"/>
      <c r="AI29" s="2382"/>
      <c r="AJ29" s="2382"/>
      <c r="AK29" s="549"/>
      <c r="AL29" s="549"/>
      <c r="AM29" s="503"/>
      <c r="AN29" s="591"/>
      <c r="AO29" s="591"/>
      <c r="AP29" s="591"/>
      <c r="AQ29" s="591"/>
      <c r="AR29" s="591"/>
    </row>
    <row s="13547" customFormat="1" customHeight="1" ht="18.75">
      <c r="A30" s="1596"/>
      <c r="B30" s="1596"/>
      <c r="C30" s="1596"/>
      <c r="D30" s="1596"/>
      <c r="E30" s="1596"/>
      <c r="F30" s="1596"/>
      <c r="G30" s="1596"/>
      <c r="H30" s="1596"/>
      <c r="I30" s="1596"/>
      <c r="J30" s="1596"/>
      <c r="K30" s="1596"/>
      <c r="L30" s="1597"/>
      <c r="M30" s="1596"/>
      <c r="N30" s="1596"/>
      <c r="O30" s="1596"/>
      <c r="S30" s="2380" t="s">
        <v>422</v>
      </c>
      <c r="T30" s="2380"/>
      <c r="U30" s="1600"/>
      <c r="V30" s="2381" t="str">
        <f>IF(TITLE_DATE_PR_CHANGE="",IF(TITLE_DATE_PR="","",TITLE_DATE_PR),TITLE_DATE_PR_CHANGE)</f>
        <v>45281.66994212963</v>
      </c>
      <c r="W30" s="2381"/>
      <c r="X30" s="2381"/>
      <c r="Y30" s="2381"/>
      <c r="Z30" s="2381"/>
      <c r="AA30" s="2381"/>
      <c r="AB30" s="2381"/>
      <c r="AC30" s="549"/>
      <c r="AD30" s="2381" t="str">
        <f>IF(TITLE_DATE_PR_CHANGE="",IF(TITLE_DATE_PR="","",TITLE_DATE_PR),TITLE_DATE_PR_CHANGE)</f>
        <v>45281.66994212963</v>
      </c>
      <c r="AE30" s="2381"/>
      <c r="AF30" s="2381"/>
      <c r="AG30" s="2381"/>
      <c r="AH30" s="2381"/>
      <c r="AI30" s="2381"/>
      <c r="AJ30" s="2381"/>
      <c r="AK30" s="549"/>
      <c r="AL30" s="549"/>
      <c r="AM30" s="503"/>
      <c r="AN30" s="591"/>
      <c r="AO30" s="591"/>
      <c r="AP30" s="591"/>
      <c r="AQ30" s="591"/>
      <c r="AR30" s="591"/>
    </row>
    <row s="13547" customFormat="1" customHeight="1" ht="18.75">
      <c r="A31" s="1596"/>
      <c r="B31" s="1596"/>
      <c r="C31" s="1596"/>
      <c r="D31" s="1596"/>
      <c r="E31" s="1596"/>
      <c r="F31" s="1596"/>
      <c r="G31" s="1596"/>
      <c r="H31" s="1596"/>
      <c r="I31" s="1596"/>
      <c r="J31" s="1596"/>
      <c r="K31" s="1596"/>
      <c r="L31" s="1597"/>
      <c r="M31" s="1596"/>
      <c r="N31" s="1596"/>
      <c r="O31" s="1596"/>
      <c r="S31" s="2380" t="s">
        <v>423</v>
      </c>
      <c r="T31" s="2380"/>
      <c r="U31" s="1600"/>
      <c r="V31" s="2382" t="str">
        <f>IF(TITLE_NUMBER_PR_CHANGE="",IF(TITLE_NUMBER_PR="","",TITLE_NUMBER_PR),TITLE_NUMBER_PR_CHANGE)</f>
        <v>72/1</v>
      </c>
      <c r="W31" s="2382"/>
      <c r="X31" s="2382"/>
      <c r="Y31" s="2382"/>
      <c r="Z31" s="2382"/>
      <c r="AA31" s="2382"/>
      <c r="AB31" s="2382"/>
      <c r="AC31" s="549"/>
      <c r="AD31" s="2382" t="str">
        <f>IF(TITLE_NUMBER_PR_CHANGE="",IF(TITLE_NUMBER_PR="","",TITLE_NUMBER_PR),TITLE_NUMBER_PR_CHANGE)</f>
        <v>72/1</v>
      </c>
      <c r="AE31" s="2382"/>
      <c r="AF31" s="2382"/>
      <c r="AG31" s="2382"/>
      <c r="AH31" s="2382"/>
      <c r="AI31" s="2382"/>
      <c r="AJ31" s="2382"/>
      <c r="AK31" s="549"/>
      <c r="AL31" s="549"/>
      <c r="AM31" s="503"/>
      <c r="AN31" s="591"/>
      <c r="AO31" s="591"/>
      <c r="AP31" s="591"/>
      <c r="AQ31" s="591"/>
      <c r="AR31" s="591"/>
    </row>
    <row s="13547"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http://pravo.gov.ru Номер опубликования: 2501202312270032 Дата опубликования: 27.12.2023</v>
      </c>
      <c r="W32" s="2382"/>
      <c r="X32" s="2382"/>
      <c r="Y32" s="2382"/>
      <c r="Z32" s="2382"/>
      <c r="AA32" s="2382"/>
      <c r="AB32" s="2382"/>
      <c r="AC32" s="549"/>
      <c r="AD32" s="2382" t="str">
        <f>IF(TITLE_IST_PUB_CHANGE="",IF(TITLE_IST_PUB="","",TITLE_IST_PUB),TITLE_IST_PUB_CHANGE)</f>
        <v>http://pravo.gov.ru Номер опубликования: 2501202312270032 Дата опубликования: 27.12.2023</v>
      </c>
      <c r="AE32" s="2382"/>
      <c r="AF32" s="2382"/>
      <c r="AG32" s="2382"/>
      <c r="AH32" s="2382"/>
      <c r="AI32" s="2382"/>
      <c r="AJ32" s="2382"/>
      <c r="AK32" s="549"/>
      <c r="AL32" s="549"/>
      <c r="AM32" s="503"/>
      <c r="AN32" s="591"/>
      <c r="AO32" s="591"/>
      <c r="AP32" s="591"/>
      <c r="AQ32" s="591"/>
      <c r="AR32" s="591"/>
    </row>
    <row customHeight="1" ht="14.25" hidden="1">
      <c r="P33" s="1556"/>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3547" customFormat="1" customHeight="1" ht="18.75" hidden="1">
      <c r="A34" s="1596"/>
      <c r="B34" s="1596"/>
      <c r="C34" s="1596"/>
      <c r="D34" s="1596"/>
      <c r="E34" s="1596"/>
      <c r="F34" s="1596"/>
      <c r="G34" s="1596"/>
      <c r="H34" s="1596"/>
      <c r="I34" s="1596"/>
      <c r="J34" s="1596"/>
      <c r="K34" s="1596"/>
      <c r="L34" s="1597"/>
      <c r="M34" s="1596"/>
      <c r="N34" s="1596"/>
      <c r="O34" s="1596"/>
      <c r="S34" s="2380" t="s">
        <v>424</v>
      </c>
      <c r="T34" s="2380"/>
      <c r="U34" s="1600"/>
      <c r="V34" s="2381" t="str">
        <f>IF(TITLE_DATE_PR_CHANGE="",IF(TITLE_DATE_PR="","",TITLE_DATE_PR),TITLE_DATE_PR_CHANGE)</f>
        <v>45281.66994212963</v>
      </c>
      <c r="W34" s="2381"/>
      <c r="X34" s="2381"/>
      <c r="Y34" s="2381"/>
      <c r="Z34" s="2381"/>
      <c r="AA34" s="2381"/>
      <c r="AB34" s="2381"/>
      <c r="AC34" s="549"/>
      <c r="AD34" s="2381" t="str">
        <f>IF(TITLE_DATE_PR_CHANGE="",IF(TITLE_DATE_PR="","",TITLE_DATE_PR),TITLE_DATE_PR_CHANGE)</f>
        <v>45281.66994212963</v>
      </c>
      <c r="AE34" s="2381"/>
      <c r="AF34" s="2381"/>
      <c r="AG34" s="2381"/>
      <c r="AH34" s="2381"/>
      <c r="AI34" s="2381"/>
      <c r="AJ34" s="2381"/>
      <c r="AK34" s="549"/>
      <c r="AL34" s="549"/>
      <c r="AM34" s="503"/>
      <c r="AN34" s="591"/>
      <c r="AO34" s="591"/>
      <c r="AP34" s="591"/>
      <c r="AQ34" s="591"/>
      <c r="AR34" s="591"/>
    </row>
    <row s="13547" customFormat="1" customHeight="1" ht="18.75" hidden="1">
      <c r="A35" s="1596"/>
      <c r="B35" s="1596"/>
      <c r="C35" s="1596"/>
      <c r="D35" s="1596"/>
      <c r="E35" s="1596"/>
      <c r="F35" s="1596"/>
      <c r="G35" s="1596"/>
      <c r="H35" s="1596"/>
      <c r="I35" s="1596"/>
      <c r="J35" s="1596"/>
      <c r="K35" s="1596"/>
      <c r="L35" s="1597"/>
      <c r="M35" s="1596"/>
      <c r="N35" s="1596"/>
      <c r="O35" s="1596"/>
      <c r="S35" s="2380" t="s">
        <v>425</v>
      </c>
      <c r="T35" s="2380"/>
      <c r="U35" s="1600"/>
      <c r="V35" s="2382" t="str">
        <f>IF(TITLE_NUMBER_PR_CHANGE="",IF(TITLE_NUMBER_PR="","",TITLE_NUMBER_PR),TITLE_NUMBER_PR_CHANGE)</f>
        <v>72/1</v>
      </c>
      <c r="W35" s="2382"/>
      <c r="X35" s="2382"/>
      <c r="Y35" s="2382"/>
      <c r="Z35" s="2382"/>
      <c r="AA35" s="2382"/>
      <c r="AB35" s="2382"/>
      <c r="AC35" s="549"/>
      <c r="AD35" s="2382" t="str">
        <f>IF(TITLE_NUMBER_PR_CHANGE="",IF(TITLE_NUMBER_PR="","",TITLE_NUMBER_PR),TITLE_NUMBER_PR_CHANGE)</f>
        <v>72/1</v>
      </c>
      <c r="AE35" s="2382"/>
      <c r="AF35" s="2382"/>
      <c r="AG35" s="2382"/>
      <c r="AH35" s="2382"/>
      <c r="AI35" s="2382"/>
      <c r="AJ35" s="2382"/>
      <c r="AK35" s="549"/>
      <c r="AL35" s="549"/>
      <c r="AM35" s="503"/>
      <c r="AN35" s="591"/>
      <c r="AO35" s="591"/>
      <c r="AP35" s="591"/>
      <c r="AQ35" s="591"/>
      <c r="AR35" s="591"/>
    </row>
    <row s="13547" customFormat="1" customHeight="1" ht="0">
      <c r="A36" s="1596"/>
      <c r="B36" s="1596"/>
      <c r="C36" s="1596"/>
      <c r="D36" s="1596"/>
      <c r="E36" s="1596"/>
      <c r="F36" s="1596"/>
      <c r="G36" s="1596"/>
      <c r="H36" s="1596"/>
      <c r="I36" s="1596"/>
      <c r="J36" s="1596"/>
      <c r="K36" s="1596"/>
      <c r="L36" s="1597"/>
      <c r="M36" s="1596"/>
      <c r="N36" s="1596"/>
      <c r="O36" s="1596"/>
      <c r="S36" s="546"/>
      <c r="T36" s="546"/>
      <c r="U36" s="1446"/>
      <c r="V36" s="549"/>
      <c r="W36" s="549"/>
      <c r="X36" s="549"/>
      <c r="Y36" s="549"/>
      <c r="Z36" s="549"/>
      <c r="AA36" s="549"/>
      <c r="AB36" s="549"/>
      <c r="AC36" s="501" t="s">
        <v>426</v>
      </c>
      <c r="AD36" s="549"/>
      <c r="AE36" s="549"/>
      <c r="AF36" s="549"/>
      <c r="AG36" s="549"/>
      <c r="AH36" s="549"/>
      <c r="AI36" s="549"/>
      <c r="AJ36" s="549"/>
      <c r="AK36" s="501" t="s">
        <v>426</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301</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302</v>
      </c>
    </row>
    <row customHeight="1" ht="14.25">
      <c r="Q39" s="599"/>
      <c r="R39" s="599"/>
      <c r="S39" s="2407" t="s">
        <v>87</v>
      </c>
      <c r="T39" s="2344" t="s">
        <v>427</v>
      </c>
      <c r="U39" s="524"/>
      <c r="V39" s="2408" t="s">
        <v>428</v>
      </c>
      <c r="W39" s="2409"/>
      <c r="X39" s="2409"/>
      <c r="Y39" s="2409"/>
      <c r="Z39" s="2409"/>
      <c r="AA39" s="2409"/>
      <c r="AB39" s="2410"/>
      <c r="AC39" s="2411" t="s">
        <v>429</v>
      </c>
      <c r="AD39" s="2408" t="s">
        <v>428</v>
      </c>
      <c r="AE39" s="2409"/>
      <c r="AF39" s="2409"/>
      <c r="AG39" s="2409"/>
      <c r="AH39" s="2409"/>
      <c r="AI39" s="2409"/>
      <c r="AJ39" s="2410"/>
      <c r="AK39" s="2411" t="s">
        <v>430</v>
      </c>
      <c r="AL39" s="2414" t="s">
        <v>431</v>
      </c>
      <c r="AM39" s="2254"/>
    </row>
    <row customHeight="1" ht="33.75">
      <c r="Q40" s="599"/>
      <c r="R40" s="599"/>
      <c r="S40" s="2407"/>
      <c r="T40" s="2344"/>
      <c r="U40" s="1255"/>
      <c r="V40" s="2417" t="s">
        <v>432</v>
      </c>
      <c r="W40" s="2398" t="s">
        <v>433</v>
      </c>
      <c r="X40" s="2400" t="s">
        <v>434</v>
      </c>
      <c r="Y40" s="2402"/>
      <c r="Z40" s="2400" t="s">
        <v>435</v>
      </c>
      <c r="AA40" s="2401"/>
      <c r="AB40" s="2402"/>
      <c r="AC40" s="2412"/>
      <c r="AD40" s="2417" t="s">
        <v>432</v>
      </c>
      <c r="AE40" s="2398" t="s">
        <v>433</v>
      </c>
      <c r="AF40" s="2400" t="s">
        <v>434</v>
      </c>
      <c r="AG40" s="2402"/>
      <c r="AH40" s="2400" t="s">
        <v>435</v>
      </c>
      <c r="AI40" s="2401"/>
      <c r="AJ40" s="2402"/>
      <c r="AK40" s="2412"/>
      <c r="AL40" s="2415"/>
      <c r="AM40" s="2254"/>
    </row>
    <row customHeight="1" ht="33.75">
      <c r="A41" s="1598"/>
      <c r="B41" s="1598" t="s">
        <v>134</v>
      </c>
      <c r="C41" s="1598" t="s">
        <v>135</v>
      </c>
      <c r="D41" s="1598" t="s">
        <v>136</v>
      </c>
      <c r="E41" s="1592" t="s">
        <v>436</v>
      </c>
      <c r="F41" s="1592" t="s">
        <v>437</v>
      </c>
      <c r="G41" s="1592" t="s">
        <v>438</v>
      </c>
      <c r="H41" s="1592" t="s">
        <v>439</v>
      </c>
      <c r="I41" s="1592" t="s">
        <v>440</v>
      </c>
      <c r="J41" s="1592" t="s">
        <v>441</v>
      </c>
      <c r="K41" s="1592" t="s">
        <v>442</v>
      </c>
      <c r="L41" s="1592" t="s">
        <v>417</v>
      </c>
      <c r="Q41" s="599"/>
      <c r="R41" s="599"/>
      <c r="S41" s="2407"/>
      <c r="T41" s="2344"/>
      <c r="U41" s="525"/>
      <c r="V41" s="2418"/>
      <c r="W41" s="2399"/>
      <c r="X41" s="1449" t="s">
        <v>443</v>
      </c>
      <c r="Y41" s="1449" t="s">
        <v>444</v>
      </c>
      <c r="Z41" s="1448" t="s">
        <v>445</v>
      </c>
      <c r="AA41" s="2403" t="s">
        <v>446</v>
      </c>
      <c r="AB41" s="2404"/>
      <c r="AC41" s="2413"/>
      <c r="AD41" s="2418"/>
      <c r="AE41" s="2399"/>
      <c r="AF41" s="1449" t="s">
        <v>443</v>
      </c>
      <c r="AG41" s="1449" t="s">
        <v>444</v>
      </c>
      <c r="AH41" s="1541" t="s">
        <v>445</v>
      </c>
      <c r="AI41" s="2403" t="s">
        <v>446</v>
      </c>
      <c r="AJ41" s="2404"/>
      <c r="AK41" s="2413"/>
      <c r="AL41" s="2416"/>
      <c r="AM41" s="2254"/>
    </row>
    <row s="13364"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108</v>
      </c>
      <c r="T42" s="1482" t="s">
        <v>109</v>
      </c>
      <c r="U42" s="1472" t="str">
        <f>OFFSET(U42,0,-1)</f>
        <v>2</v>
      </c>
      <c r="V42" s="1483">
        <f>OFFSET(V42,0,-1)+1</f>
        <v>3</v>
      </c>
      <c r="W42" s="1483"/>
      <c r="X42" s="1483">
        <f>OFFSET(X42,0,-1)+1</f>
        <v>1</v>
      </c>
      <c r="Y42" s="1483">
        <f>OFFSET(Y42,0,-1)+1</f>
        <v>2</v>
      </c>
      <c r="Z42" s="1483">
        <f>OFFSET(Z42,0,-1)+1</f>
        <v>3</v>
      </c>
      <c r="AA42" s="2405">
        <f>OFFSET(AA42,0,-1)+1</f>
        <v>4</v>
      </c>
      <c r="AB42" s="2405"/>
      <c r="AC42" s="1483">
        <f>OFFSET(AC42,0,-2)+1</f>
        <v>5</v>
      </c>
      <c r="AD42" s="1540">
        <f>OFFSET(AD42,0,-1)+1</f>
        <v>6</v>
      </c>
      <c r="AE42" s="1540"/>
      <c r="AF42" s="1540">
        <f>OFFSET(AF42,0,-1)+1</f>
        <v>1</v>
      </c>
      <c r="AG42" s="1540">
        <f>OFFSET(AG42,0,-1)+1</f>
        <v>2</v>
      </c>
      <c r="AH42" s="1540">
        <f>OFFSET(AH42,0,-1)+1</f>
        <v>3</v>
      </c>
      <c r="AI42" s="2405">
        <f>OFFSET(AI42,0,-1)+1</f>
        <v>4</v>
      </c>
      <c r="AJ42" s="2405"/>
      <c r="AK42" s="1540">
        <f>OFFSET(AK42,0,-2)+1</f>
        <v>5</v>
      </c>
      <c r="AL42" s="1472">
        <f>OFFSET(AL42,0,-1)</f>
        <v>5</v>
      </c>
      <c r="AM42" s="1483">
        <f>OFFSET(AM42,0,-1)+1</f>
        <v>6</v>
      </c>
      <c r="AN42" s="734"/>
      <c r="AO42" s="734"/>
      <c r="AP42" s="734"/>
      <c r="AQ42" s="734"/>
      <c r="AR42" s="734"/>
    </row>
    <row customHeight="1" ht="23.25">
      <c r="A43" s="1591" t="s">
        <v>155</v>
      </c>
      <c r="B43" s="1591"/>
      <c r="C43" s="1591"/>
      <c r="D43" s="1591"/>
      <c r="E43" s="2389">
        <v>1</v>
      </c>
      <c r="F43" s="1591"/>
      <c r="G43" s="1591"/>
      <c r="H43" s="1591"/>
      <c r="I43" s="1591"/>
      <c r="J43" s="1591"/>
      <c r="K43" s="1591"/>
      <c r="L43" s="1592"/>
      <c r="M43" s="1593"/>
      <c r="N43" s="1593"/>
      <c r="O43" s="1593"/>
      <c r="P43" s="584"/>
      <c r="Q43" s="583"/>
      <c r="R43" s="578"/>
      <c r="S43" s="1451">
        <f>INDEX(PT_DIFFERENTIATION_NUM_NTAR,MATCH(A43,PT_DIFFERENTIATION_NTAR_ID,0))</f>
        <v>0</v>
      </c>
      <c r="T43" s="521" t="s">
        <v>122</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3.25">
      <c r="A44" s="1591" t="s">
        <v>155</v>
      </c>
      <c r="B44" s="1591" t="s">
        <v>156</v>
      </c>
      <c r="C44" s="1591"/>
      <c r="D44" s="1591"/>
      <c r="E44" s="2390"/>
      <c r="F44" s="2389">
        <v>1</v>
      </c>
      <c r="G44" s="1591"/>
      <c r="H44" s="1591"/>
      <c r="I44" s="1591"/>
      <c r="J44" s="1591"/>
      <c r="K44" s="1591"/>
      <c r="L44" s="1592"/>
      <c r="M44" s="1593"/>
      <c r="N44" s="1593"/>
      <c r="O44" s="1593"/>
      <c r="P44" s="745"/>
      <c r="Q44" s="575"/>
      <c r="R44" s="576"/>
      <c r="S44" s="1451" t="str">
        <f>INDEX(PT_DIFFERENTIATION_NUM_TER,MATCH(B44,PT_DIFFERENTIATION_TER_ID,0))</f>
        <v>.</v>
      </c>
      <c r="T44" s="531" t="s">
        <v>398</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399</v>
      </c>
      <c r="AO44" s="723"/>
      <c r="AP44" s="723" t="str">
        <f>IF(T44="","",T44)</f>
        <v>Территория действия тарифа</v>
      </c>
      <c r="AQ44" s="723"/>
      <c r="AR44" s="723"/>
    </row>
    <row customHeight="1" ht="23.25">
      <c r="A45" s="1591" t="s">
        <v>155</v>
      </c>
      <c r="B45" s="1591" t="s">
        <v>156</v>
      </c>
      <c r="C45" s="1591" t="s">
        <v>157</v>
      </c>
      <c r="D45" s="1591"/>
      <c r="E45" s="2390"/>
      <c r="F45" s="2390"/>
      <c r="G45" s="2389">
        <v>1</v>
      </c>
      <c r="H45" s="1591"/>
      <c r="I45" s="1591"/>
      <c r="J45" s="1591"/>
      <c r="K45" s="1591"/>
      <c r="L45" s="1592"/>
      <c r="M45" s="1593"/>
      <c r="N45" s="1593"/>
      <c r="O45" s="1593"/>
      <c r="P45" s="577"/>
      <c r="Q45" s="575"/>
      <c r="R45" s="576"/>
      <c r="S45" s="1451" t="str">
        <f>INDEX(PT_DIFFERENTIATION_NUM_CS,MATCH(C45,PT_DIFFERENTIATION_CS_ID,0))</f>
        <v>..</v>
      </c>
      <c r="T45" s="532" t="s">
        <v>400</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401</v>
      </c>
      <c r="AO45" s="723"/>
      <c r="AP45" s="723" t="str">
        <f>IF(T45="","",T45)</f>
        <v>Наименование системы теплоснабжения </v>
      </c>
      <c r="AQ45" s="723"/>
      <c r="AR45" s="723"/>
    </row>
    <row customHeight="1" ht="23.25">
      <c r="A46" s="1591" t="s">
        <v>155</v>
      </c>
      <c r="B46" s="1591" t="s">
        <v>156</v>
      </c>
      <c r="C46" s="1591" t="s">
        <v>157</v>
      </c>
      <c r="D46" s="1591" t="s">
        <v>158</v>
      </c>
      <c r="E46" s="2390"/>
      <c r="F46" s="2390"/>
      <c r="G46" s="2390"/>
      <c r="H46" s="2389">
        <v>1</v>
      </c>
      <c r="I46" s="1591"/>
      <c r="J46" s="1591"/>
      <c r="K46" s="1591"/>
      <c r="L46" s="1592"/>
      <c r="M46" s="1593"/>
      <c r="N46" s="1593"/>
      <c r="O46" s="1593"/>
      <c r="P46" s="577"/>
      <c r="Q46" s="575"/>
      <c r="R46" s="576"/>
      <c r="S46" s="1451" t="str">
        <f>INDEX(PT_DIFFERENTIATION_NUM_IST_TE,MATCH(D46,PT_DIFFERENTIATION_IST_TE_ID,0))</f>
        <v>...</v>
      </c>
      <c r="T46" s="533" t="s">
        <v>402</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403</v>
      </c>
      <c r="AO46" s="723"/>
      <c r="AP46" s="723" t="str">
        <f>IF(T46="","",T46)</f>
        <v>Источник тепловой энергии  </v>
      </c>
      <c r="AQ46" s="723"/>
      <c r="AR46" s="723"/>
    </row>
    <row customHeight="1" ht="47.25">
      <c r="A47" s="1591" t="s">
        <v>155</v>
      </c>
      <c r="B47" s="1591" t="s">
        <v>156</v>
      </c>
      <c r="C47" s="1591" t="s">
        <v>157</v>
      </c>
      <c r="D47" s="1591" t="s">
        <v>158</v>
      </c>
      <c r="E47" s="2390"/>
      <c r="F47" s="2390"/>
      <c r="G47" s="2390"/>
      <c r="H47" s="2390"/>
      <c r="I47" s="2391" t="str">
        <f>S46&amp;".1"</f>
        <v>....1</v>
      </c>
      <c r="J47" s="1591"/>
      <c r="K47" s="1591"/>
      <c r="L47" s="1592" t="s">
        <v>404</v>
      </c>
      <c r="P47" s="2393">
        <v>1</v>
      </c>
      <c r="Q47" s="1447"/>
      <c r="R47" s="579"/>
      <c r="S47" s="1451" t="str">
        <f>$I47</f>
        <v>....1</v>
      </c>
      <c r="T47" s="508" t="s">
        <v>405</v>
      </c>
      <c r="U47" s="523"/>
      <c r="V47" s="2377"/>
      <c r="W47" s="2378"/>
      <c r="X47" s="2378"/>
      <c r="Y47" s="2378"/>
      <c r="Z47" s="2378"/>
      <c r="AA47" s="2378"/>
      <c r="AB47" s="2378"/>
      <c r="AC47" s="2379"/>
      <c r="AD47" s="2377"/>
      <c r="AE47" s="2378"/>
      <c r="AF47" s="2378"/>
      <c r="AG47" s="2378"/>
      <c r="AH47" s="2378"/>
      <c r="AI47" s="2378"/>
      <c r="AJ47" s="2378"/>
      <c r="AK47" s="2378"/>
      <c r="AL47" s="2379"/>
      <c r="AM47" s="1485" t="s">
        <v>406</v>
      </c>
      <c r="AO47" s="723"/>
      <c r="AP47" s="723" t="str">
        <f>IF(T47="","",T47)</f>
        <v>Схема подключения теплопотребляющей установки к коллектору источника тепловой энергии</v>
      </c>
      <c r="AQ47" s="723"/>
      <c r="AR47" s="723"/>
    </row>
    <row customHeight="1" ht="23.25">
      <c r="A48" s="1591" t="s">
        <v>155</v>
      </c>
      <c r="B48" s="1591" t="s">
        <v>156</v>
      </c>
      <c r="C48" s="1591" t="s">
        <v>157</v>
      </c>
      <c r="D48" s="1591" t="s">
        <v>158</v>
      </c>
      <c r="E48" s="2390"/>
      <c r="F48" s="2390"/>
      <c r="G48" s="2390"/>
      <c r="H48" s="2390"/>
      <c r="I48" s="2392"/>
      <c r="J48" s="2391" t="str">
        <f>I47&amp;".1"</f>
        <v>....1.1</v>
      </c>
      <c r="K48" s="1591"/>
      <c r="L48" s="1592" t="s">
        <v>407</v>
      </c>
      <c r="P48" s="2393"/>
      <c r="Q48" s="2393">
        <v>1</v>
      </c>
      <c r="R48" s="580"/>
      <c r="S48" s="1451" t="str">
        <f>$J48</f>
        <v>....1.1</v>
      </c>
      <c r="T48" s="509" t="s">
        <v>408</v>
      </c>
      <c r="U48" s="523"/>
      <c r="V48" s="2377"/>
      <c r="W48" s="2378"/>
      <c r="X48" s="2378"/>
      <c r="Y48" s="2378"/>
      <c r="Z48" s="2378"/>
      <c r="AA48" s="2378"/>
      <c r="AB48" s="2378"/>
      <c r="AC48" s="2379"/>
      <c r="AD48" s="2377"/>
      <c r="AE48" s="2378"/>
      <c r="AF48" s="2378"/>
      <c r="AG48" s="2378"/>
      <c r="AH48" s="2378"/>
      <c r="AI48" s="2378"/>
      <c r="AJ48" s="2378"/>
      <c r="AK48" s="2378"/>
      <c r="AL48" s="2379"/>
      <c r="AM48" s="1485" t="s">
        <v>409</v>
      </c>
      <c r="AO48" s="723"/>
      <c r="AP48" s="723" t="str">
        <f>IF(T48="","",T48)</f>
        <v>Группа потребителей</v>
      </c>
      <c r="AQ48" s="723"/>
      <c r="AR48" s="723"/>
    </row>
    <row customHeight="1" ht="23.25">
      <c r="A49" s="1591" t="s">
        <v>155</v>
      </c>
      <c r="B49" s="1591" t="s">
        <v>156</v>
      </c>
      <c r="C49" s="1591" t="s">
        <v>157</v>
      </c>
      <c r="D49" s="1591" t="s">
        <v>158</v>
      </c>
      <c r="E49" s="2390"/>
      <c r="F49" s="2390"/>
      <c r="G49" s="2390"/>
      <c r="H49" s="2390"/>
      <c r="I49" s="2392"/>
      <c r="J49" s="2392"/>
      <c r="K49" s="2391" t="str">
        <f>J48&amp;".1"</f>
        <v>....1.1.1</v>
      </c>
      <c r="L49" s="1592" t="s">
        <v>410</v>
      </c>
      <c r="P49" s="2393"/>
      <c r="Q49" s="2393"/>
      <c r="R49" s="580">
        <v>1</v>
      </c>
      <c r="S49" s="1451" t="str">
        <f>$K49</f>
        <v>....1.1.1</v>
      </c>
      <c r="T49" s="1575"/>
      <c r="U49" s="523"/>
      <c r="V49" s="974"/>
      <c r="W49" s="548"/>
      <c r="X49" s="974"/>
      <c r="Y49" s="1484"/>
      <c r="Z49" s="2394"/>
      <c r="AA49" s="2264" t="s">
        <v>66</v>
      </c>
      <c r="AB49" s="2394"/>
      <c r="AC49" s="2264" t="s">
        <v>66</v>
      </c>
      <c r="AD49" s="974"/>
      <c r="AE49" s="548"/>
      <c r="AF49" s="974"/>
      <c r="AG49" s="1484"/>
      <c r="AH49" s="2394"/>
      <c r="AI49" s="2264" t="s">
        <v>66</v>
      </c>
      <c r="AJ49" s="2396"/>
      <c r="AK49" s="2264" t="s">
        <v>66</v>
      </c>
      <c r="AL49" s="1576"/>
      <c r="AM49" s="2419" t="s">
        <v>411</v>
      </c>
      <c r="AN49" s="734">
        <f>STRCHECKDATE(V50:AL50)</f>
      </c>
      <c r="AO49" s="723"/>
      <c r="AP49" s="723" t="str">
        <f>IF(T49="","",T49)</f>
        <v/>
      </c>
      <c r="AQ49" s="723"/>
      <c r="AR49" s="723"/>
    </row>
    <row customHeight="1" ht="0.75">
      <c r="A50" s="1591" t="s">
        <v>155</v>
      </c>
      <c r="B50" s="1591" t="s">
        <v>156</v>
      </c>
      <c r="C50" s="1591" t="s">
        <v>157</v>
      </c>
      <c r="D50" s="1591" t="s">
        <v>158</v>
      </c>
      <c r="E50" s="2390"/>
      <c r="F50" s="2390"/>
      <c r="G50" s="2390"/>
      <c r="H50" s="2390"/>
      <c r="I50" s="2392"/>
      <c r="J50" s="2392"/>
      <c r="K50" s="2391"/>
      <c r="L50" s="1592"/>
      <c r="P50" s="2393"/>
      <c r="Q50" s="2393"/>
      <c r="R50" s="580"/>
      <c r="S50" s="145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155</v>
      </c>
      <c r="B51" s="1591" t="s">
        <v>156</v>
      </c>
      <c r="C51" s="1591" t="s">
        <v>157</v>
      </c>
      <c r="D51" s="1591" t="s">
        <v>158</v>
      </c>
      <c r="E51" s="2390"/>
      <c r="F51" s="2390"/>
      <c r="G51" s="2390"/>
      <c r="H51" s="2390"/>
      <c r="I51" s="2392"/>
      <c r="J51" s="2391"/>
      <c r="K51" s="1591"/>
      <c r="L51" s="1592"/>
      <c r="P51" s="2393"/>
      <c r="Q51" s="2393"/>
      <c r="R51" s="579"/>
      <c r="S51" s="1506"/>
      <c r="T51" s="511" t="s">
        <v>412</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155</v>
      </c>
      <c r="B52" s="1591" t="s">
        <v>156</v>
      </c>
      <c r="C52" s="1591" t="s">
        <v>157</v>
      </c>
      <c r="D52" s="1591" t="s">
        <v>158</v>
      </c>
      <c r="E52" s="2390"/>
      <c r="F52" s="2390"/>
      <c r="G52" s="2390"/>
      <c r="H52" s="2390"/>
      <c r="I52" s="2391"/>
      <c r="J52" s="1591"/>
      <c r="K52" s="1591"/>
      <c r="L52" s="1592"/>
      <c r="P52" s="2393"/>
      <c r="Q52" s="1447"/>
      <c r="R52" s="579"/>
      <c r="S52" s="1506"/>
      <c r="T52" s="510" t="s">
        <v>413</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91" t="s">
        <v>155</v>
      </c>
      <c r="B53" s="1591" t="s">
        <v>156</v>
      </c>
      <c r="C53" s="1591" t="s">
        <v>157</v>
      </c>
      <c r="D53" s="1591" t="s">
        <v>158</v>
      </c>
      <c r="E53" s="2390"/>
      <c r="F53" s="2390"/>
      <c r="G53" s="2390"/>
      <c r="H53" s="2389"/>
      <c r="I53" s="1591"/>
      <c r="J53" s="1591"/>
      <c r="K53" s="1591"/>
      <c r="L53" s="1592"/>
      <c r="M53" s="1593"/>
      <c r="N53" s="1593"/>
      <c r="O53" s="760"/>
      <c r="P53" s="583"/>
      <c r="Q53" s="598"/>
      <c r="R53" s="578"/>
      <c r="S53" s="1506"/>
      <c r="T53" s="588" t="s">
        <v>414</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13514" customFormat="1" customHeight="1" ht="0.75">
      <c r="A54" s="1571" t="s">
        <v>155</v>
      </c>
      <c r="B54" s="1571" t="s">
        <v>156</v>
      </c>
      <c r="C54" s="1571" t="s">
        <v>157</v>
      </c>
      <c r="D54" s="1542"/>
      <c r="E54" s="2390"/>
      <c r="F54" s="2390"/>
      <c r="G54" s="2389"/>
      <c r="H54" s="1542"/>
      <c r="I54" s="1542"/>
      <c r="J54" s="1542"/>
      <c r="K54" s="1542"/>
      <c r="L54" s="1567"/>
      <c r="M54" s="1543"/>
      <c r="N54" s="1543"/>
      <c r="P54" s="1544"/>
      <c r="Q54" s="1545"/>
      <c r="R54" s="1544"/>
      <c r="S54" s="1550"/>
      <c r="T54" s="1553" t="s">
        <v>415</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3514" customFormat="1" customHeight="1" ht="0.75">
      <c r="A55" s="1571" t="s">
        <v>155</v>
      </c>
      <c r="B55" s="1571" t="s">
        <v>156</v>
      </c>
      <c r="C55" s="1542"/>
      <c r="D55" s="1542"/>
      <c r="E55" s="2390"/>
      <c r="F55" s="2389"/>
      <c r="G55" s="1542"/>
      <c r="H55" s="1542"/>
      <c r="I55" s="1542"/>
      <c r="J55" s="1542"/>
      <c r="K55" s="1542"/>
      <c r="L55" s="1567"/>
      <c r="M55" s="1549"/>
      <c r="N55" s="1549"/>
      <c r="P55" s="1544"/>
      <c r="Q55" s="1545"/>
      <c r="R55" s="1544"/>
      <c r="S55" s="1550"/>
      <c r="T55" s="1553" t="s">
        <v>252</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3606" customFormat="1" customHeight="1" ht="0.75">
      <c r="A56" s="1571" t="s">
        <v>155</v>
      </c>
      <c r="B56" s="1571"/>
      <c r="C56" s="1571"/>
      <c r="D56" s="1571"/>
      <c r="E56" s="2389"/>
      <c r="F56" s="1571"/>
      <c r="G56" s="1571"/>
      <c r="H56" s="1571"/>
      <c r="I56" s="1571"/>
      <c r="J56" s="1571"/>
      <c r="K56" s="1571"/>
      <c r="L56" s="1574"/>
      <c r="M56" s="1549"/>
      <c r="N56" s="1549"/>
      <c r="O56" s="741"/>
      <c r="P56" s="603"/>
      <c r="Q56" s="1572"/>
      <c r="R56" s="603"/>
      <c r="S56" s="1550"/>
      <c r="T56" s="1553" t="s">
        <v>253</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3514"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254</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4.5">
      <c r="O60" s="760"/>
      <c r="P60" s="1531"/>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row>
    <row customHeight="1" ht="18">
      <c r="O62" s="760"/>
      <c r="P62" s="1556"/>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760"/>
      <c r="P63" s="1556"/>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P64" s="1556"/>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360A8-436F-C489-142F-C87F8A12A0B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533" width="10.57421875" hidden="1"/>
    <col min="2" max="2" style="13533" width="11.00390625" hidden="1" customWidth="1"/>
    <col min="3" max="3" style="13533" width="10.57421875" hidden="1"/>
    <col min="4" max="4" style="13533" width="11.8515625" hidden="1" customWidth="1"/>
    <col min="5" max="5" style="13533" width="10.00390625" hidden="1" customWidth="1"/>
    <col min="6" max="6" style="13533" width="8.7109375" hidden="1" customWidth="1"/>
    <col min="7" max="7" style="13533" width="7.57421875" hidden="1" customWidth="1"/>
    <col min="8" max="8" style="13533" width="11.421875" hidden="1" customWidth="1"/>
    <col min="9" max="9" style="13533" width="12.00390625" hidden="1" customWidth="1"/>
    <col min="10" max="10" style="13533" width="9.8515625" hidden="1" customWidth="1"/>
    <col min="11" max="11" style="13533" width="11.421875" hidden="1" customWidth="1"/>
    <col min="12" max="12" style="13614" width="19.140625" hidden="1" customWidth="1"/>
    <col min="13" max="14" style="13615" width="12.28125" hidden="1" customWidth="1"/>
    <col min="15" max="15" style="13615" width="23.421875" hidden="1" customWidth="1"/>
    <col min="16" max="16" style="13627" width="3.7109375" customWidth="1"/>
    <col min="17" max="18" style="13617" width="3.7109375" customWidth="1"/>
    <col min="19" max="19" style="13618" width="12.7109375" customWidth="1"/>
    <col min="20" max="20" style="13619" width="32.00390625" customWidth="1"/>
    <col min="21" max="21" style="13619" width="0.140625" customWidth="1"/>
    <col min="22" max="22" style="13619" width="24.7109375" hidden="1" customWidth="1"/>
    <col min="23" max="23" style="13619" width="0.140625" hidden="1" customWidth="1"/>
    <col min="24" max="25" style="13619" width="24.7109375" hidden="1" customWidth="1"/>
    <col min="26" max="26" style="13619" width="11.7109375" hidden="1" customWidth="1"/>
    <col min="27" max="27" style="13619" width="3.7109375" hidden="1" customWidth="1"/>
    <col min="28" max="28" style="13619" width="11.7109375" hidden="1" customWidth="1"/>
    <col min="29" max="29" style="13619" width="8.57421875" hidden="1" customWidth="1"/>
    <col min="30" max="30" style="13619" width="24.7109375" customWidth="1"/>
    <col min="31" max="31" style="13619" width="0.140625" customWidth="1"/>
    <col min="32" max="33" style="13619" width="24.7109375" customWidth="1"/>
    <col min="34" max="34" style="13619" width="11.7109375" customWidth="1"/>
    <col min="35" max="35" style="13619" width="3.7109375" customWidth="1"/>
    <col min="36" max="36" style="13619" width="11.7109375" customWidth="1"/>
    <col min="37" max="37" style="13619" width="8.57421875" hidden="1" customWidth="1"/>
    <col min="38" max="38" style="13619" width="4.7109375" customWidth="1"/>
    <col min="39" max="39" style="13619" width="115.7109375" customWidth="1"/>
    <col min="40" max="41" style="13606" width="10.57421875"/>
    <col min="42" max="42" style="13606" width="11.140625" customWidth="1"/>
    <col min="43" max="44" style="13606"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122</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397</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398</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399</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400</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401</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402</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403</v>
      </c>
      <c r="AO5" s="723"/>
      <c r="AP5" s="723" t="str">
        <f>IF(T5="","",T5)</f>
        <v>Источник тепловой энергии  </v>
      </c>
      <c r="AQ5" s="723"/>
      <c r="AR5" s="723"/>
    </row>
    <row customHeight="1" ht="47.25" hidden="1">
      <c r="A6" s="1591"/>
      <c r="B6" s="1591"/>
      <c r="C6" s="1591"/>
      <c r="D6" s="1591"/>
      <c r="E6" s="2390"/>
      <c r="F6" s="2390"/>
      <c r="G6" s="2390"/>
      <c r="H6" s="2390"/>
      <c r="I6" s="2391">
        <f>S5&amp;".1"</f>
      </c>
      <c r="J6" s="1591"/>
      <c r="K6" s="1591"/>
      <c r="L6" s="1592" t="s">
        <v>404</v>
      </c>
      <c r="M6" s="760"/>
      <c r="P6" s="2393">
        <v>1</v>
      </c>
      <c r="Q6" s="1559"/>
      <c r="R6" s="579"/>
      <c r="S6" s="1564">
        <f>$I6</f>
      </c>
      <c r="T6" s="508" t="s">
        <v>405</v>
      </c>
      <c r="U6" s="523"/>
      <c r="V6" s="2377"/>
      <c r="W6" s="2378"/>
      <c r="X6" s="2378"/>
      <c r="Y6" s="2378"/>
      <c r="Z6" s="2378"/>
      <c r="AA6" s="2378"/>
      <c r="AB6" s="2378"/>
      <c r="AC6" s="2379"/>
      <c r="AD6" s="2377"/>
      <c r="AE6" s="2378"/>
      <c r="AF6" s="2378"/>
      <c r="AG6" s="2378"/>
      <c r="AH6" s="2378"/>
      <c r="AI6" s="2378"/>
      <c r="AJ6" s="2378"/>
      <c r="AK6" s="2378"/>
      <c r="AL6" s="2379"/>
      <c r="AM6" s="1485" t="s">
        <v>406</v>
      </c>
      <c r="AO6" s="723"/>
      <c r="AP6" s="723" t="str">
        <f>IF(T6="","",T6)</f>
        <v>Схема подключения теплопотребляющей установки к коллектору источника тепловой энергии</v>
      </c>
      <c r="AQ6" s="723"/>
      <c r="AR6" s="723"/>
    </row>
    <row customHeight="1" ht="21" hidden="1">
      <c r="A7" s="1591"/>
      <c r="B7" s="1591"/>
      <c r="C7" s="1591"/>
      <c r="D7" s="1591"/>
      <c r="E7" s="2390"/>
      <c r="F7" s="2390"/>
      <c r="G7" s="2390"/>
      <c r="H7" s="2390"/>
      <c r="I7" s="2392"/>
      <c r="J7" s="2391">
        <f>I6&amp;".1"</f>
      </c>
      <c r="K7" s="1591"/>
      <c r="L7" s="1592" t="s">
        <v>407</v>
      </c>
      <c r="M7" s="760"/>
      <c r="N7" s="1594"/>
      <c r="P7" s="2393"/>
      <c r="Q7" s="2393">
        <v>1</v>
      </c>
      <c r="R7" s="580"/>
      <c r="S7" s="1564">
        <f>$J7</f>
      </c>
      <c r="T7" s="509" t="s">
        <v>408</v>
      </c>
      <c r="U7" s="523"/>
      <c r="V7" s="2377"/>
      <c r="W7" s="2378"/>
      <c r="X7" s="2378"/>
      <c r="Y7" s="2378"/>
      <c r="Z7" s="2378"/>
      <c r="AA7" s="2378"/>
      <c r="AB7" s="2378"/>
      <c r="AC7" s="2379"/>
      <c r="AD7" s="2377"/>
      <c r="AE7" s="2378"/>
      <c r="AF7" s="2378"/>
      <c r="AG7" s="2378"/>
      <c r="AH7" s="2378"/>
      <c r="AI7" s="2378"/>
      <c r="AJ7" s="2378"/>
      <c r="AK7" s="2378"/>
      <c r="AL7" s="2379"/>
      <c r="AM7" s="1485" t="s">
        <v>409</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410</v>
      </c>
      <c r="M8" s="760"/>
      <c r="N8" s="1594"/>
      <c r="O8" s="1594"/>
      <c r="P8" s="2393"/>
      <c r="Q8" s="2393"/>
      <c r="R8" s="580">
        <v>1</v>
      </c>
      <c r="S8" s="1564">
        <f>$K8</f>
      </c>
      <c r="T8" s="1575"/>
      <c r="U8" s="523"/>
      <c r="V8" s="974"/>
      <c r="W8" s="548"/>
      <c r="X8" s="974"/>
      <c r="Y8" s="1484"/>
      <c r="Z8" s="2394"/>
      <c r="AA8" s="2264" t="s">
        <v>66</v>
      </c>
      <c r="AB8" s="2394"/>
      <c r="AC8" s="2264" t="s">
        <v>66</v>
      </c>
      <c r="AD8" s="974"/>
      <c r="AE8" s="548"/>
      <c r="AF8" s="974"/>
      <c r="AG8" s="1484"/>
      <c r="AH8" s="2394"/>
      <c r="AI8" s="2264" t="s">
        <v>66</v>
      </c>
      <c r="AJ8" s="2394"/>
      <c r="AK8" s="2264" t="s">
        <v>66</v>
      </c>
      <c r="AL8" s="548"/>
      <c r="AM8" s="2419" t="s">
        <v>411</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1" t="s">
        <v>412</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59"/>
      <c r="R11" s="579"/>
      <c r="S11" s="1506"/>
      <c r="T11" s="510" t="s">
        <v>413</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506"/>
      <c r="T12" s="588" t="s">
        <v>414</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13514"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415</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3514"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252</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3514"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253</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66</v>
      </c>
      <c r="AJ17" s="2387"/>
      <c r="AK17" s="2386" t="s">
        <v>66</v>
      </c>
    </row>
    <row customHeight="1" ht="14.25" hidden="1">
      <c r="AD18" s="1588"/>
      <c r="AE18" s="1588"/>
      <c r="AF18" s="1588"/>
      <c r="AG18" s="551" t="str">
        <f>AH17&amp;"-"&amp;AJ17</f>
        <v>-</v>
      </c>
      <c r="AH18" s="2386"/>
      <c r="AI18" s="2386"/>
      <c r="AJ18" s="2386"/>
      <c r="AK18" s="2386"/>
    </row>
    <row customHeight="1" ht="14.25" hidden="1">
      <c r="AK19" s="550"/>
    </row>
    <row s="13533" customFormat="1" customHeight="1" ht="22.5" hidden="1">
      <c r="L20" s="1557"/>
      <c r="M20" s="1590"/>
      <c r="N20" s="1590"/>
      <c r="O20" s="1595" t="s">
        <v>416</v>
      </c>
      <c r="P20" s="1590"/>
      <c r="Q20" s="1599"/>
      <c r="R20" s="1599"/>
      <c r="S20" s="952"/>
      <c r="Z20" s="1595"/>
      <c r="AB20" s="1595"/>
      <c r="AC20" s="1594"/>
      <c r="AH20" s="1595"/>
      <c r="AJ20" s="1595"/>
      <c r="AK20" s="1594"/>
      <c r="AN20" s="734"/>
      <c r="AO20" s="734"/>
      <c r="AP20" s="734"/>
      <c r="AQ20" s="734"/>
      <c r="AR20" s="734"/>
    </row>
    <row s="13533" customFormat="1" customHeight="1" ht="14.25" hidden="1">
      <c r="L21" s="1557"/>
      <c r="M21" s="1590"/>
      <c r="N21" s="1590"/>
      <c r="O21" s="1590"/>
      <c r="P21" s="1590"/>
      <c r="Q21" s="1599"/>
      <c r="R21" s="1599"/>
      <c r="S21" s="952"/>
      <c r="AC21" s="1594"/>
      <c r="AK21" s="1594"/>
      <c r="AN21" s="734"/>
      <c r="AO21" s="734"/>
      <c r="AP21" s="734"/>
      <c r="AQ21" s="734"/>
      <c r="AR21" s="734"/>
    </row>
    <row s="13533" customFormat="1" customHeight="1" ht="14.25" hidden="1">
      <c r="L22" s="1557"/>
      <c r="M22" s="1590"/>
      <c r="N22" s="1590"/>
      <c r="O22" s="1592" t="s">
        <v>417</v>
      </c>
      <c r="P22" s="1590"/>
      <c r="Q22" s="1599"/>
      <c r="R22" s="1599"/>
      <c r="S22" s="952"/>
      <c r="T22" s="1385" t="s">
        <v>418</v>
      </c>
      <c r="AA22" s="409" t="s">
        <v>419</v>
      </c>
      <c r="AC22" s="409" t="s">
        <v>420</v>
      </c>
      <c r="AD22" s="1385" t="s">
        <v>418</v>
      </c>
      <c r="AI22" s="409" t="s">
        <v>421</v>
      </c>
      <c r="AK22" s="409" t="s">
        <v>420</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ООО "Новая Энергетика"</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3547"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Агенство по тарифам Приморского края</v>
      </c>
      <c r="W29" s="2382"/>
      <c r="X29" s="2382"/>
      <c r="Y29" s="2382"/>
      <c r="Z29" s="2382"/>
      <c r="AA29" s="2382"/>
      <c r="AB29" s="2382"/>
      <c r="AC29" s="549"/>
      <c r="AD29" s="2382" t="str">
        <f>IF(TITLE_NAME_OR_PR_CHANGE="",IF(TITLE_NAME_OR_PR="","",TITLE_NAME_OR_PR),TITLE_NAME_OR_PR_CHANGE)</f>
        <v>Агенство по тарифам Приморского края</v>
      </c>
      <c r="AE29" s="2382"/>
      <c r="AF29" s="2382"/>
      <c r="AG29" s="2382"/>
      <c r="AH29" s="2382"/>
      <c r="AI29" s="2382"/>
      <c r="AJ29" s="2382"/>
      <c r="AK29" s="549"/>
      <c r="AL29" s="549"/>
      <c r="AM29" s="503"/>
      <c r="AN29" s="591"/>
      <c r="AO29" s="591"/>
      <c r="AP29" s="591"/>
      <c r="AQ29" s="591"/>
      <c r="AR29" s="591"/>
    </row>
    <row s="13547" customFormat="1" customHeight="1" ht="18.75">
      <c r="A30" s="1596"/>
      <c r="B30" s="1596"/>
      <c r="C30" s="1596"/>
      <c r="D30" s="1596"/>
      <c r="E30" s="1596"/>
      <c r="F30" s="1596"/>
      <c r="G30" s="1596"/>
      <c r="H30" s="1596"/>
      <c r="I30" s="1596"/>
      <c r="J30" s="1596"/>
      <c r="K30" s="1596"/>
      <c r="L30" s="1597"/>
      <c r="M30" s="1596"/>
      <c r="N30" s="1596"/>
      <c r="O30" s="1596"/>
      <c r="S30" s="2380" t="s">
        <v>422</v>
      </c>
      <c r="T30" s="2380"/>
      <c r="U30" s="1600"/>
      <c r="V30" s="2381" t="str">
        <f>IF(TITLE_DATE_PR_CHANGE="",IF(TITLE_DATE_PR="","",TITLE_DATE_PR),TITLE_DATE_PR_CHANGE)</f>
        <v>45281.66994212963</v>
      </c>
      <c r="W30" s="2381"/>
      <c r="X30" s="2381"/>
      <c r="Y30" s="2381"/>
      <c r="Z30" s="2381"/>
      <c r="AA30" s="2381"/>
      <c r="AB30" s="2381"/>
      <c r="AC30" s="549"/>
      <c r="AD30" s="2381" t="str">
        <f>IF(TITLE_DATE_PR_CHANGE="",IF(TITLE_DATE_PR="","",TITLE_DATE_PR),TITLE_DATE_PR_CHANGE)</f>
        <v>45281.66994212963</v>
      </c>
      <c r="AE30" s="2381"/>
      <c r="AF30" s="2381"/>
      <c r="AG30" s="2381"/>
      <c r="AH30" s="2381"/>
      <c r="AI30" s="2381"/>
      <c r="AJ30" s="2381"/>
      <c r="AK30" s="549"/>
      <c r="AL30" s="549"/>
      <c r="AM30" s="503"/>
      <c r="AN30" s="591"/>
      <c r="AO30" s="591"/>
      <c r="AP30" s="591"/>
      <c r="AQ30" s="591"/>
      <c r="AR30" s="591"/>
    </row>
    <row s="13547" customFormat="1" customHeight="1" ht="18.75">
      <c r="A31" s="1596"/>
      <c r="B31" s="1596"/>
      <c r="C31" s="1596"/>
      <c r="D31" s="1596"/>
      <c r="E31" s="1596"/>
      <c r="F31" s="1596"/>
      <c r="G31" s="1596"/>
      <c r="H31" s="1596"/>
      <c r="I31" s="1596"/>
      <c r="J31" s="1596"/>
      <c r="K31" s="1596"/>
      <c r="L31" s="1597"/>
      <c r="M31" s="1596"/>
      <c r="N31" s="1596"/>
      <c r="O31" s="1596"/>
      <c r="S31" s="2380" t="s">
        <v>423</v>
      </c>
      <c r="T31" s="2380"/>
      <c r="U31" s="1600"/>
      <c r="V31" s="2382" t="str">
        <f>IF(TITLE_NUMBER_PR_CHANGE="",IF(TITLE_NUMBER_PR="","",TITLE_NUMBER_PR),TITLE_NUMBER_PR_CHANGE)</f>
        <v>72/1</v>
      </c>
      <c r="W31" s="2382"/>
      <c r="X31" s="2382"/>
      <c r="Y31" s="2382"/>
      <c r="Z31" s="2382"/>
      <c r="AA31" s="2382"/>
      <c r="AB31" s="2382"/>
      <c r="AC31" s="549"/>
      <c r="AD31" s="2382" t="str">
        <f>IF(TITLE_NUMBER_PR_CHANGE="",IF(TITLE_NUMBER_PR="","",TITLE_NUMBER_PR),TITLE_NUMBER_PR_CHANGE)</f>
        <v>72/1</v>
      </c>
      <c r="AE31" s="2382"/>
      <c r="AF31" s="2382"/>
      <c r="AG31" s="2382"/>
      <c r="AH31" s="2382"/>
      <c r="AI31" s="2382"/>
      <c r="AJ31" s="2382"/>
      <c r="AK31" s="549"/>
      <c r="AL31" s="549"/>
      <c r="AM31" s="503"/>
      <c r="AN31" s="591"/>
      <c r="AO31" s="591"/>
      <c r="AP31" s="591"/>
      <c r="AQ31" s="591"/>
      <c r="AR31" s="591"/>
    </row>
    <row s="13547"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http://pravo.gov.ru Номер опубликования: 2501202312270032 Дата опубликования: 27.12.2023</v>
      </c>
      <c r="W32" s="2382"/>
      <c r="X32" s="2382"/>
      <c r="Y32" s="2382"/>
      <c r="Z32" s="2382"/>
      <c r="AA32" s="2382"/>
      <c r="AB32" s="2382"/>
      <c r="AC32" s="549"/>
      <c r="AD32" s="2382" t="str">
        <f>IF(TITLE_IST_PUB_CHANGE="",IF(TITLE_IST_PUB="","",TITLE_IST_PUB),TITLE_IST_PUB_CHANGE)</f>
        <v>http://pravo.gov.ru Номер опубликования: 2501202312270032 Дата опубликования: 27.12.2023</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3547" customFormat="1" customHeight="1" ht="18.75" hidden="1">
      <c r="A34" s="1596"/>
      <c r="B34" s="1596"/>
      <c r="C34" s="1596"/>
      <c r="D34" s="1596"/>
      <c r="E34" s="1596"/>
      <c r="F34" s="1596"/>
      <c r="G34" s="1596"/>
      <c r="H34" s="1596"/>
      <c r="I34" s="1596"/>
      <c r="J34" s="1596"/>
      <c r="K34" s="1596"/>
      <c r="L34" s="1597"/>
      <c r="M34" s="1596"/>
      <c r="N34" s="1596"/>
      <c r="O34" s="1596"/>
      <c r="S34" s="2380" t="s">
        <v>424</v>
      </c>
      <c r="T34" s="2380"/>
      <c r="U34" s="1600"/>
      <c r="V34" s="2381" t="str">
        <f>IF(TITLE_DATE_PR_CHANGE="",IF(TITLE_DATE_PR="","",TITLE_DATE_PR),TITLE_DATE_PR_CHANGE)</f>
        <v>45281.66994212963</v>
      </c>
      <c r="W34" s="2381"/>
      <c r="X34" s="2381"/>
      <c r="Y34" s="2381"/>
      <c r="Z34" s="2381"/>
      <c r="AA34" s="2381"/>
      <c r="AB34" s="2381"/>
      <c r="AC34" s="549"/>
      <c r="AD34" s="2381" t="str">
        <f>IF(TITLE_DATE_PR_CHANGE="",IF(TITLE_DATE_PR="","",TITLE_DATE_PR),TITLE_DATE_PR_CHANGE)</f>
        <v>45281.66994212963</v>
      </c>
      <c r="AE34" s="2381"/>
      <c r="AF34" s="2381"/>
      <c r="AG34" s="2381"/>
      <c r="AH34" s="2381"/>
      <c r="AI34" s="2381"/>
      <c r="AJ34" s="2381"/>
      <c r="AK34" s="549"/>
      <c r="AL34" s="549"/>
      <c r="AM34" s="503"/>
      <c r="AN34" s="591"/>
      <c r="AO34" s="591"/>
      <c r="AP34" s="591"/>
      <c r="AQ34" s="591"/>
      <c r="AR34" s="591"/>
    </row>
    <row s="13547" customFormat="1" customHeight="1" ht="18.75" hidden="1">
      <c r="A35" s="1596"/>
      <c r="B35" s="1596"/>
      <c r="C35" s="1596"/>
      <c r="D35" s="1596"/>
      <c r="E35" s="1596"/>
      <c r="F35" s="1596"/>
      <c r="G35" s="1596"/>
      <c r="H35" s="1596"/>
      <c r="I35" s="1596"/>
      <c r="J35" s="1596"/>
      <c r="K35" s="1596"/>
      <c r="L35" s="1597"/>
      <c r="M35" s="1596"/>
      <c r="N35" s="1596"/>
      <c r="O35" s="1596"/>
      <c r="S35" s="2380" t="s">
        <v>425</v>
      </c>
      <c r="T35" s="2380"/>
      <c r="U35" s="1600"/>
      <c r="V35" s="2382" t="str">
        <f>IF(TITLE_NUMBER_PR_CHANGE="",IF(TITLE_NUMBER_PR="","",TITLE_NUMBER_PR),TITLE_NUMBER_PR_CHANGE)</f>
        <v>72/1</v>
      </c>
      <c r="W35" s="2382"/>
      <c r="X35" s="2382"/>
      <c r="Y35" s="2382"/>
      <c r="Z35" s="2382"/>
      <c r="AA35" s="2382"/>
      <c r="AB35" s="2382"/>
      <c r="AC35" s="549"/>
      <c r="AD35" s="2382" t="str">
        <f>IF(TITLE_NUMBER_PR_CHANGE="",IF(TITLE_NUMBER_PR="","",TITLE_NUMBER_PR),TITLE_NUMBER_PR_CHANGE)</f>
        <v>72/1</v>
      </c>
      <c r="AE35" s="2382"/>
      <c r="AF35" s="2382"/>
      <c r="AG35" s="2382"/>
      <c r="AH35" s="2382"/>
      <c r="AI35" s="2382"/>
      <c r="AJ35" s="2382"/>
      <c r="AK35" s="549"/>
      <c r="AL35" s="549"/>
      <c r="AM35" s="503"/>
      <c r="AN35" s="591"/>
      <c r="AO35" s="591"/>
      <c r="AP35" s="591"/>
      <c r="AQ35" s="591"/>
      <c r="AR35" s="591"/>
    </row>
    <row s="13547"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426</v>
      </c>
      <c r="AD36" s="549"/>
      <c r="AE36" s="549"/>
      <c r="AF36" s="549"/>
      <c r="AG36" s="549"/>
      <c r="AH36" s="549"/>
      <c r="AI36" s="549"/>
      <c r="AJ36" s="549"/>
      <c r="AK36" s="501" t="s">
        <v>426</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301</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302</v>
      </c>
    </row>
    <row customHeight="1" ht="14.25">
      <c r="Q39" s="599"/>
      <c r="R39" s="599"/>
      <c r="S39" s="2407" t="s">
        <v>87</v>
      </c>
      <c r="T39" s="2344" t="s">
        <v>427</v>
      </c>
      <c r="U39" s="524"/>
      <c r="V39" s="2408" t="s">
        <v>428</v>
      </c>
      <c r="W39" s="2409"/>
      <c r="X39" s="2409"/>
      <c r="Y39" s="2409"/>
      <c r="Z39" s="2409"/>
      <c r="AA39" s="2409"/>
      <c r="AB39" s="2410"/>
      <c r="AC39" s="2411" t="s">
        <v>429</v>
      </c>
      <c r="AD39" s="2408" t="s">
        <v>428</v>
      </c>
      <c r="AE39" s="2409"/>
      <c r="AF39" s="2409"/>
      <c r="AG39" s="2409"/>
      <c r="AH39" s="2409"/>
      <c r="AI39" s="2409"/>
      <c r="AJ39" s="2410"/>
      <c r="AK39" s="2411" t="s">
        <v>430</v>
      </c>
      <c r="AL39" s="2414" t="s">
        <v>431</v>
      </c>
      <c r="AM39" s="2254"/>
    </row>
    <row customHeight="1" ht="33.75">
      <c r="Q40" s="599"/>
      <c r="R40" s="599"/>
      <c r="S40" s="2407"/>
      <c r="T40" s="2344"/>
      <c r="U40" s="1255"/>
      <c r="V40" s="2417" t="s">
        <v>432</v>
      </c>
      <c r="W40" s="2398" t="s">
        <v>433</v>
      </c>
      <c r="X40" s="2400" t="s">
        <v>434</v>
      </c>
      <c r="Y40" s="2402"/>
      <c r="Z40" s="2400" t="s">
        <v>447</v>
      </c>
      <c r="AA40" s="2401"/>
      <c r="AB40" s="2402"/>
      <c r="AC40" s="2412"/>
      <c r="AD40" s="2417" t="s">
        <v>432</v>
      </c>
      <c r="AE40" s="2398" t="s">
        <v>433</v>
      </c>
      <c r="AF40" s="2400" t="s">
        <v>434</v>
      </c>
      <c r="AG40" s="2402"/>
      <c r="AH40" s="2400" t="s">
        <v>435</v>
      </c>
      <c r="AI40" s="2401"/>
      <c r="AJ40" s="2402"/>
      <c r="AK40" s="2412"/>
      <c r="AL40" s="2415"/>
      <c r="AM40" s="2254"/>
    </row>
    <row customHeight="1" ht="33.75">
      <c r="A41" s="1598"/>
      <c r="B41" s="1598" t="s">
        <v>134</v>
      </c>
      <c r="C41" s="1598" t="s">
        <v>135</v>
      </c>
      <c r="D41" s="1598" t="s">
        <v>136</v>
      </c>
      <c r="E41" s="1592" t="s">
        <v>436</v>
      </c>
      <c r="F41" s="1592" t="s">
        <v>437</v>
      </c>
      <c r="G41" s="1592" t="s">
        <v>438</v>
      </c>
      <c r="H41" s="1592" t="s">
        <v>439</v>
      </c>
      <c r="I41" s="1592" t="s">
        <v>440</v>
      </c>
      <c r="J41" s="1592" t="s">
        <v>441</v>
      </c>
      <c r="K41" s="1592" t="s">
        <v>442</v>
      </c>
      <c r="L41" s="1592" t="s">
        <v>417</v>
      </c>
      <c r="Q41" s="599"/>
      <c r="R41" s="599"/>
      <c r="S41" s="2407"/>
      <c r="T41" s="2344"/>
      <c r="U41" s="525"/>
      <c r="V41" s="2418"/>
      <c r="W41" s="2399"/>
      <c r="X41" s="1449" t="s">
        <v>443</v>
      </c>
      <c r="Y41" s="1449" t="s">
        <v>444</v>
      </c>
      <c r="Z41" s="1566" t="s">
        <v>445</v>
      </c>
      <c r="AA41" s="2403" t="s">
        <v>446</v>
      </c>
      <c r="AB41" s="2404"/>
      <c r="AC41" s="2413"/>
      <c r="AD41" s="2418"/>
      <c r="AE41" s="2399"/>
      <c r="AF41" s="1449" t="s">
        <v>443</v>
      </c>
      <c r="AG41" s="1449" t="s">
        <v>444</v>
      </c>
      <c r="AH41" s="1566" t="s">
        <v>445</v>
      </c>
      <c r="AI41" s="2403" t="s">
        <v>446</v>
      </c>
      <c r="AJ41" s="2404"/>
      <c r="AK41" s="2413"/>
      <c r="AL41" s="2416"/>
      <c r="AM41" s="2254"/>
    </row>
    <row s="13364"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108</v>
      </c>
      <c r="T42" s="1482" t="s">
        <v>109</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161</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122</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161</v>
      </c>
      <c r="B44" s="1591" t="s">
        <v>162</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398</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399</v>
      </c>
      <c r="AO44" s="723"/>
      <c r="AP44" s="723" t="str">
        <f>IF(T44="","",T44)</f>
        <v>Территория действия тарифа</v>
      </c>
      <c r="AQ44" s="723"/>
      <c r="AR44" s="723"/>
    </row>
    <row customHeight="1" ht="23.25">
      <c r="A45" s="1591" t="s">
        <v>161</v>
      </c>
      <c r="B45" s="1591" t="s">
        <v>162</v>
      </c>
      <c r="C45" s="1591" t="s">
        <v>163</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400</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401</v>
      </c>
      <c r="AO45" s="723"/>
      <c r="AP45" s="723" t="str">
        <f>IF(T45="","",T45)</f>
        <v>Наименование системы теплоснабжения </v>
      </c>
      <c r="AQ45" s="723"/>
      <c r="AR45" s="723"/>
    </row>
    <row customHeight="1" ht="21">
      <c r="A46" s="1591" t="s">
        <v>161</v>
      </c>
      <c r="B46" s="1591" t="s">
        <v>162</v>
      </c>
      <c r="C46" s="1591" t="s">
        <v>163</v>
      </c>
      <c r="D46" s="1591" t="s">
        <v>164</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402</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403</v>
      </c>
      <c r="AO46" s="723"/>
      <c r="AP46" s="723" t="str">
        <f>IF(T46="","",T46)</f>
        <v>Источник тепловой энергии  </v>
      </c>
      <c r="AQ46" s="723"/>
      <c r="AR46" s="723"/>
    </row>
    <row customHeight="1" ht="47.25">
      <c r="A47" s="1591" t="s">
        <v>161</v>
      </c>
      <c r="B47" s="1591" t="s">
        <v>162</v>
      </c>
      <c r="C47" s="1591" t="s">
        <v>163</v>
      </c>
      <c r="D47" s="1591" t="s">
        <v>164</v>
      </c>
      <c r="E47" s="2390"/>
      <c r="F47" s="2390"/>
      <c r="G47" s="2390"/>
      <c r="H47" s="2390"/>
      <c r="I47" s="2391" t="str">
        <f>S46&amp;".1"</f>
        <v>....1</v>
      </c>
      <c r="J47" s="1591"/>
      <c r="K47" s="1591"/>
      <c r="L47" s="1592" t="s">
        <v>404</v>
      </c>
      <c r="P47" s="2393">
        <v>1</v>
      </c>
      <c r="Q47" s="1559"/>
      <c r="R47" s="579"/>
      <c r="S47" s="1564" t="str">
        <f>$I47</f>
        <v>....1</v>
      </c>
      <c r="T47" s="508" t="s">
        <v>405</v>
      </c>
      <c r="U47" s="523"/>
      <c r="V47" s="2377"/>
      <c r="W47" s="2378"/>
      <c r="X47" s="2378"/>
      <c r="Y47" s="2378"/>
      <c r="Z47" s="2378"/>
      <c r="AA47" s="2378"/>
      <c r="AB47" s="2378"/>
      <c r="AC47" s="2379"/>
      <c r="AD47" s="2377"/>
      <c r="AE47" s="2378"/>
      <c r="AF47" s="2378"/>
      <c r="AG47" s="2378"/>
      <c r="AH47" s="2378"/>
      <c r="AI47" s="2378"/>
      <c r="AJ47" s="2378"/>
      <c r="AK47" s="2378"/>
      <c r="AL47" s="2379"/>
      <c r="AM47" s="1485" t="s">
        <v>406</v>
      </c>
      <c r="AO47" s="723"/>
      <c r="AP47" s="723" t="str">
        <f>IF(T47="","",T47)</f>
        <v>Схема подключения теплопотребляющей установки к коллектору источника тепловой энергии</v>
      </c>
      <c r="AQ47" s="723"/>
      <c r="AR47" s="723"/>
    </row>
    <row customHeight="1" ht="21">
      <c r="A48" s="1591" t="s">
        <v>161</v>
      </c>
      <c r="B48" s="1591" t="s">
        <v>162</v>
      </c>
      <c r="C48" s="1591" t="s">
        <v>163</v>
      </c>
      <c r="D48" s="1591" t="s">
        <v>164</v>
      </c>
      <c r="E48" s="2390"/>
      <c r="F48" s="2390"/>
      <c r="G48" s="2390"/>
      <c r="H48" s="2390"/>
      <c r="I48" s="2392"/>
      <c r="J48" s="2391" t="str">
        <f>I47&amp;".1"</f>
        <v>....1.1</v>
      </c>
      <c r="K48" s="1591"/>
      <c r="L48" s="1592" t="s">
        <v>407</v>
      </c>
      <c r="P48" s="2393"/>
      <c r="Q48" s="2393">
        <v>1</v>
      </c>
      <c r="R48" s="580"/>
      <c r="S48" s="1564" t="str">
        <f>$J48</f>
        <v>....1.1</v>
      </c>
      <c r="T48" s="509" t="s">
        <v>408</v>
      </c>
      <c r="U48" s="523"/>
      <c r="V48" s="2377"/>
      <c r="W48" s="2378"/>
      <c r="X48" s="2378"/>
      <c r="Y48" s="2378"/>
      <c r="Z48" s="2378"/>
      <c r="AA48" s="2378"/>
      <c r="AB48" s="2378"/>
      <c r="AC48" s="2379"/>
      <c r="AD48" s="2377"/>
      <c r="AE48" s="2378"/>
      <c r="AF48" s="2378"/>
      <c r="AG48" s="2378"/>
      <c r="AH48" s="2378"/>
      <c r="AI48" s="2378"/>
      <c r="AJ48" s="2378"/>
      <c r="AK48" s="2378"/>
      <c r="AL48" s="2379"/>
      <c r="AM48" s="1485" t="s">
        <v>409</v>
      </c>
      <c r="AO48" s="723"/>
      <c r="AP48" s="723" t="str">
        <f>IF(T48="","",T48)</f>
        <v>Группа потребителей</v>
      </c>
      <c r="AQ48" s="723"/>
      <c r="AR48" s="723"/>
    </row>
    <row customHeight="1" ht="21">
      <c r="A49" s="1591" t="s">
        <v>161</v>
      </c>
      <c r="B49" s="1591" t="s">
        <v>162</v>
      </c>
      <c r="C49" s="1591" t="s">
        <v>163</v>
      </c>
      <c r="D49" s="1591" t="s">
        <v>164</v>
      </c>
      <c r="E49" s="2390"/>
      <c r="F49" s="2390"/>
      <c r="G49" s="2390"/>
      <c r="H49" s="2390"/>
      <c r="I49" s="2392"/>
      <c r="J49" s="2392"/>
      <c r="K49" s="2391" t="str">
        <f>J48&amp;".1"</f>
        <v>....1.1.1</v>
      </c>
      <c r="L49" s="1592" t="s">
        <v>410</v>
      </c>
      <c r="P49" s="2393"/>
      <c r="Q49" s="2393"/>
      <c r="R49" s="580">
        <v>1</v>
      </c>
      <c r="S49" s="1564" t="str">
        <f>$K49</f>
        <v>....1.1.1</v>
      </c>
      <c r="T49" s="1575"/>
      <c r="U49" s="523"/>
      <c r="V49" s="974"/>
      <c r="W49" s="548"/>
      <c r="X49" s="974"/>
      <c r="Y49" s="1484"/>
      <c r="Z49" s="2394"/>
      <c r="AA49" s="2264" t="s">
        <v>66</v>
      </c>
      <c r="AB49" s="2394"/>
      <c r="AC49" s="2264" t="s">
        <v>66</v>
      </c>
      <c r="AD49" s="974"/>
      <c r="AE49" s="548"/>
      <c r="AF49" s="974"/>
      <c r="AG49" s="1484"/>
      <c r="AH49" s="2394"/>
      <c r="AI49" s="2264" t="s">
        <v>66</v>
      </c>
      <c r="AJ49" s="2396"/>
      <c r="AK49" s="2264" t="s">
        <v>66</v>
      </c>
      <c r="AL49" s="1576"/>
      <c r="AM49" s="2419" t="s">
        <v>411</v>
      </c>
      <c r="AN49" s="734">
        <f>STRCHECKDATE(V50:AL50)</f>
      </c>
      <c r="AO49" s="723"/>
      <c r="AP49" s="723" t="str">
        <f>IF(T49="","",T49)</f>
        <v/>
      </c>
      <c r="AQ49" s="723"/>
      <c r="AR49" s="723"/>
    </row>
    <row customHeight="1" ht="0.75">
      <c r="A50" s="1591" t="s">
        <v>161</v>
      </c>
      <c r="B50" s="1591" t="s">
        <v>162</v>
      </c>
      <c r="C50" s="1591" t="s">
        <v>163</v>
      </c>
      <c r="D50" s="1591" t="s">
        <v>164</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161</v>
      </c>
      <c r="B51" s="1591" t="s">
        <v>162</v>
      </c>
      <c r="C51" s="1591" t="s">
        <v>163</v>
      </c>
      <c r="D51" s="1591" t="s">
        <v>164</v>
      </c>
      <c r="E51" s="2390"/>
      <c r="F51" s="2390"/>
      <c r="G51" s="2390"/>
      <c r="H51" s="2390"/>
      <c r="I51" s="2392"/>
      <c r="J51" s="2391"/>
      <c r="K51" s="1591"/>
      <c r="L51" s="1592"/>
      <c r="P51" s="2393"/>
      <c r="Q51" s="2393"/>
      <c r="R51" s="579"/>
      <c r="S51" s="1506"/>
      <c r="T51" s="511" t="s">
        <v>412</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161</v>
      </c>
      <c r="B52" s="1591" t="s">
        <v>162</v>
      </c>
      <c r="C52" s="1591" t="s">
        <v>163</v>
      </c>
      <c r="D52" s="1591" t="s">
        <v>164</v>
      </c>
      <c r="E52" s="2390"/>
      <c r="F52" s="2390"/>
      <c r="G52" s="2390"/>
      <c r="H52" s="2390"/>
      <c r="I52" s="2391"/>
      <c r="J52" s="1591"/>
      <c r="K52" s="1591"/>
      <c r="L52" s="1592"/>
      <c r="P52" s="2393"/>
      <c r="Q52" s="1559"/>
      <c r="R52" s="579"/>
      <c r="S52" s="1506"/>
      <c r="T52" s="510" t="s">
        <v>413</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91" t="s">
        <v>161</v>
      </c>
      <c r="B53" s="1591" t="s">
        <v>162</v>
      </c>
      <c r="C53" s="1591" t="s">
        <v>163</v>
      </c>
      <c r="D53" s="1591" t="s">
        <v>164</v>
      </c>
      <c r="E53" s="2390"/>
      <c r="F53" s="2390"/>
      <c r="G53" s="2390"/>
      <c r="H53" s="2389"/>
      <c r="I53" s="1591"/>
      <c r="J53" s="1591"/>
      <c r="K53" s="1591"/>
      <c r="L53" s="1592"/>
      <c r="M53" s="1593"/>
      <c r="N53" s="1593"/>
      <c r="O53" s="760"/>
      <c r="P53" s="583"/>
      <c r="Q53" s="598"/>
      <c r="R53" s="578"/>
      <c r="S53" s="1506"/>
      <c r="T53" s="588" t="s">
        <v>414</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13514" customFormat="1" customHeight="1" ht="0.75">
      <c r="A54" s="1571" t="s">
        <v>161</v>
      </c>
      <c r="B54" s="1571" t="s">
        <v>162</v>
      </c>
      <c r="C54" s="1571" t="s">
        <v>163</v>
      </c>
      <c r="D54" s="1542"/>
      <c r="E54" s="2390"/>
      <c r="F54" s="2390"/>
      <c r="G54" s="2389"/>
      <c r="H54" s="1542"/>
      <c r="I54" s="1542"/>
      <c r="J54" s="1542"/>
      <c r="K54" s="1542"/>
      <c r="L54" s="1567"/>
      <c r="M54" s="1543"/>
      <c r="N54" s="1543"/>
      <c r="P54" s="1544"/>
      <c r="Q54" s="1545"/>
      <c r="R54" s="1544"/>
      <c r="S54" s="1550"/>
      <c r="T54" s="1553" t="s">
        <v>415</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3514" customFormat="1" customHeight="1" ht="0.75">
      <c r="A55" s="1571" t="s">
        <v>161</v>
      </c>
      <c r="B55" s="1571" t="s">
        <v>162</v>
      </c>
      <c r="C55" s="1542"/>
      <c r="D55" s="1542"/>
      <c r="E55" s="2390"/>
      <c r="F55" s="2389"/>
      <c r="G55" s="1542"/>
      <c r="H55" s="1542"/>
      <c r="I55" s="1542"/>
      <c r="J55" s="1542"/>
      <c r="K55" s="1542"/>
      <c r="L55" s="1567"/>
      <c r="M55" s="1549"/>
      <c r="N55" s="1549"/>
      <c r="P55" s="1544"/>
      <c r="Q55" s="1545"/>
      <c r="R55" s="1544"/>
      <c r="S55" s="1550"/>
      <c r="T55" s="1553" t="s">
        <v>252</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3606" customFormat="1" customHeight="1" ht="0.75">
      <c r="A56" s="1571" t="s">
        <v>161</v>
      </c>
      <c r="B56" s="1571"/>
      <c r="C56" s="1571"/>
      <c r="D56" s="1571"/>
      <c r="E56" s="2389"/>
      <c r="F56" s="1571"/>
      <c r="G56" s="1571"/>
      <c r="H56" s="1571"/>
      <c r="I56" s="1571"/>
      <c r="J56" s="1571"/>
      <c r="K56" s="1571"/>
      <c r="L56" s="1574"/>
      <c r="M56" s="1549"/>
      <c r="N56" s="1549"/>
      <c r="O56" s="741"/>
      <c r="P56" s="603"/>
      <c r="Q56" s="1572"/>
      <c r="R56" s="603"/>
      <c r="S56" s="1550"/>
      <c r="T56" s="1553" t="s">
        <v>253</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3514"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254</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2.2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row>
    <row customHeight="1" ht="18">
      <c r="O62" s="760"/>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760"/>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6A903-0B19-7F04-7515-C6AB140C7446}"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3661" width="10.57421875" hidden="1"/>
    <col min="2" max="2" style="13661" width="11.00390625" hidden="1" customWidth="1"/>
    <col min="3" max="3" style="13661" width="10.57421875" hidden="1"/>
    <col min="4" max="4" style="13661" width="11.8515625" hidden="1" customWidth="1"/>
    <col min="5" max="5" style="13661" width="10.00390625" hidden="1" customWidth="1"/>
    <col min="6" max="6" style="13661" width="8.7109375" hidden="1" customWidth="1"/>
    <col min="7" max="7" style="13661" width="7.57421875" hidden="1" customWidth="1"/>
    <col min="8" max="8" style="13661" width="11.421875" hidden="1" customWidth="1"/>
    <col min="9" max="9" style="13661" width="12.00390625" hidden="1" customWidth="1"/>
    <col min="10" max="10" style="13661" width="9.8515625" hidden="1" customWidth="1"/>
    <col min="11" max="11" style="13661" width="11.421875" hidden="1" customWidth="1"/>
    <col min="12" max="12" style="13662" width="19.140625" hidden="1" customWidth="1"/>
    <col min="13" max="14" style="13663" width="12.28125" hidden="1" customWidth="1"/>
    <col min="15" max="15" style="13663" width="23.421875" hidden="1" customWidth="1"/>
    <col min="16" max="16" style="13663" width="3.7109375" customWidth="1"/>
    <col min="17" max="18" style="13617" width="3.7109375" customWidth="1"/>
    <col min="19" max="19" style="13618" width="12.7109375" customWidth="1"/>
    <col min="20" max="20" style="13661" width="32.00390625" customWidth="1"/>
    <col min="21" max="21" style="13661" width="0.140625" customWidth="1"/>
    <col min="22" max="22" style="13661" width="24.7109375" hidden="1" customWidth="1"/>
    <col min="23" max="23" style="13661" width="0.140625" hidden="1" customWidth="1"/>
    <col min="24" max="25" style="13661" width="24.7109375" hidden="1" customWidth="1"/>
    <col min="26" max="26" style="13661" width="11.7109375" hidden="1" customWidth="1"/>
    <col min="27" max="27" style="13661" width="3.7109375" hidden="1" customWidth="1"/>
    <col min="28" max="28" style="13661" width="11.7109375" hidden="1" customWidth="1"/>
    <col min="29" max="29" style="13661" width="8.57421875" hidden="1" customWidth="1"/>
    <col min="30" max="30" style="13661" width="24.7109375" customWidth="1"/>
    <col min="31" max="31" style="13661" width="0.140625" customWidth="1"/>
    <col min="32" max="33" style="13661" width="24.7109375" customWidth="1"/>
    <col min="34" max="34" style="13661" width="11.7109375" customWidth="1"/>
    <col min="35" max="35" style="13661" width="3.7109375" customWidth="1"/>
    <col min="36" max="36" style="13661" width="11.7109375" customWidth="1"/>
    <col min="37" max="37" style="13661" width="8.57421875" hidden="1" customWidth="1"/>
    <col min="38" max="38" style="13661" width="4.7109375" customWidth="1"/>
    <col min="39" max="39" style="13661" width="115.7109375" customWidth="1"/>
    <col min="40" max="41" style="13659" width="10.57421875"/>
    <col min="42" max="42" style="13659" width="11.140625" customWidth="1"/>
    <col min="43" max="44" style="13659" width="10.57421875"/>
  </cols>
  <sheetData>
    <row customHeight="1" ht="14.25" hidden="1"/>
    <row customHeight="1" ht="21" hidden="1">
      <c r="A2" s="1495"/>
      <c r="B2" s="1495"/>
      <c r="C2" s="1495"/>
      <c r="D2" s="1495"/>
      <c r="E2" s="2424">
        <v>1</v>
      </c>
      <c r="F2" s="1495"/>
      <c r="G2" s="1495"/>
      <c r="H2" s="1495"/>
      <c r="I2" s="1495"/>
      <c r="J2" s="1495"/>
      <c r="K2" s="1495"/>
      <c r="L2" s="1538"/>
      <c r="M2" s="1838"/>
      <c r="N2" s="1838"/>
      <c r="O2" s="1838"/>
      <c r="P2" s="1818"/>
      <c r="Q2" s="583"/>
      <c r="R2" s="578"/>
      <c r="S2" s="2187">
        <f>INDEX(PT_DIFFERENTIATION_NUM_NTAR,MATCH(A2,PT_DIFFERENTIATION_NTAR_ID,0))</f>
      </c>
      <c r="T2" s="1753" t="s">
        <v>122</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397</v>
      </c>
      <c r="AO2" s="1852"/>
      <c r="AP2" s="1852" t="str">
        <f>IF(T2="","",T2)</f>
        <v>Наименование тарифа</v>
      </c>
      <c r="AQ2" s="1852"/>
      <c r="AR2" s="1852"/>
    </row>
    <row customHeight="1" ht="21" hidden="1">
      <c r="A3" s="1495"/>
      <c r="B3" s="1495"/>
      <c r="C3" s="1495"/>
      <c r="D3" s="1495"/>
      <c r="E3" s="2425"/>
      <c r="F3" s="2424">
        <v>1</v>
      </c>
      <c r="G3" s="1495"/>
      <c r="H3" s="1495"/>
      <c r="I3" s="1495"/>
      <c r="J3" s="1495"/>
      <c r="K3" s="1495"/>
      <c r="L3" s="1538"/>
      <c r="M3" s="1838"/>
      <c r="N3" s="1838"/>
      <c r="O3" s="1838"/>
      <c r="P3" s="2169"/>
      <c r="Q3" s="575"/>
      <c r="R3" s="576"/>
      <c r="S3" s="2187">
        <f>INDEX(PT_DIFFERENTIATION_NUM_TER,MATCH(B3,PT_DIFFERENTIATION_TER_ID,0))</f>
      </c>
      <c r="T3" s="1750" t="s">
        <v>398</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399</v>
      </c>
      <c r="AO3" s="1852"/>
      <c r="AP3" s="1852" t="str">
        <f>IF(T3="","",T3)</f>
        <v>Территория действия тарифа</v>
      </c>
      <c r="AQ3" s="1852"/>
      <c r="AR3" s="1852"/>
    </row>
    <row customHeight="1" ht="23.25" hidden="1">
      <c r="A4" s="1495"/>
      <c r="B4" s="1495"/>
      <c r="C4" s="1495"/>
      <c r="D4" s="1495"/>
      <c r="E4" s="2425"/>
      <c r="F4" s="2425"/>
      <c r="G4" s="2424">
        <v>1</v>
      </c>
      <c r="H4" s="1495"/>
      <c r="I4" s="1495"/>
      <c r="J4" s="1495"/>
      <c r="K4" s="1495"/>
      <c r="L4" s="1538"/>
      <c r="M4" s="1838"/>
      <c r="N4" s="1838"/>
      <c r="O4" s="1838"/>
      <c r="P4" s="577"/>
      <c r="Q4" s="575"/>
      <c r="R4" s="576"/>
      <c r="S4" s="2187">
        <f>INDEX(PT_DIFFERENTIATION_NUM_CS,MATCH(C4,PT_DIFFERENTIATION_CS_ID,0))</f>
      </c>
      <c r="T4" s="532" t="s">
        <v>400</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401</v>
      </c>
      <c r="AO4" s="1852"/>
      <c r="AP4" s="1852" t="str">
        <f>IF(T4="","",T4)</f>
        <v>Наименование системы теплоснабжения </v>
      </c>
      <c r="AQ4" s="1852"/>
      <c r="AR4" s="1852"/>
    </row>
    <row customHeight="1" ht="21" hidden="1">
      <c r="A5" s="1495"/>
      <c r="B5" s="1495"/>
      <c r="C5" s="1495"/>
      <c r="D5" s="1495"/>
      <c r="E5" s="2425"/>
      <c r="F5" s="2425"/>
      <c r="G5" s="2425"/>
      <c r="H5" s="2424">
        <v>1</v>
      </c>
      <c r="I5" s="1495"/>
      <c r="J5" s="1495"/>
      <c r="K5" s="1495"/>
      <c r="L5" s="1538"/>
      <c r="M5" s="1838"/>
      <c r="N5" s="1838"/>
      <c r="O5" s="1838"/>
      <c r="P5" s="577"/>
      <c r="Q5" s="575"/>
      <c r="R5" s="576"/>
      <c r="S5" s="2187">
        <f>INDEX(PT_DIFFERENTIATION_NUM_IST_TE,MATCH(D5,PT_DIFFERENTIATION_IST_TE_ID,0))</f>
      </c>
      <c r="T5" s="533" t="s">
        <v>402</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403</v>
      </c>
      <c r="AO5" s="1852"/>
      <c r="AP5" s="1852" t="str">
        <f>IF(T5="","",T5)</f>
        <v>Источник тепловой энергии  </v>
      </c>
      <c r="AQ5" s="1852"/>
      <c r="AR5" s="1852"/>
    </row>
    <row customHeight="1" ht="47.25" hidden="1">
      <c r="A6" s="1495"/>
      <c r="B6" s="1495"/>
      <c r="C6" s="1495"/>
      <c r="D6" s="1495"/>
      <c r="E6" s="2425"/>
      <c r="F6" s="2425"/>
      <c r="G6" s="2425"/>
      <c r="H6" s="2425"/>
      <c r="I6" s="2254">
        <f>S5&amp;".1"</f>
      </c>
      <c r="J6" s="1495"/>
      <c r="K6" s="1495"/>
      <c r="L6" s="1538" t="s">
        <v>404</v>
      </c>
      <c r="M6" s="1863"/>
      <c r="P6" s="2393">
        <v>1</v>
      </c>
      <c r="Q6" s="2183"/>
      <c r="R6" s="579"/>
      <c r="S6" s="2187">
        <f>$I6</f>
      </c>
      <c r="T6" s="508" t="s">
        <v>405</v>
      </c>
      <c r="U6" s="523"/>
      <c r="V6" s="2377"/>
      <c r="W6" s="2378"/>
      <c r="X6" s="2378"/>
      <c r="Y6" s="2378"/>
      <c r="Z6" s="2378"/>
      <c r="AA6" s="2378"/>
      <c r="AB6" s="2378"/>
      <c r="AC6" s="2379"/>
      <c r="AD6" s="2377"/>
      <c r="AE6" s="2378"/>
      <c r="AF6" s="2378"/>
      <c r="AG6" s="2378"/>
      <c r="AH6" s="2378"/>
      <c r="AI6" s="2378"/>
      <c r="AJ6" s="2378"/>
      <c r="AK6" s="2378"/>
      <c r="AL6" s="2379"/>
      <c r="AM6" s="1485" t="s">
        <v>406</v>
      </c>
      <c r="AO6" s="1852"/>
      <c r="AP6" s="1852" t="str">
        <f>IF(T6="","",T6)</f>
        <v>Схема подключения теплопотребляющей установки к коллектору источника тепловой энергии</v>
      </c>
      <c r="AQ6" s="1852"/>
      <c r="AR6" s="1852"/>
    </row>
    <row customHeight="1" ht="21" hidden="1">
      <c r="A7" s="1495"/>
      <c r="B7" s="1495"/>
      <c r="C7" s="1495"/>
      <c r="D7" s="1495"/>
      <c r="E7" s="2425"/>
      <c r="F7" s="2425"/>
      <c r="G7" s="2425"/>
      <c r="H7" s="2425"/>
      <c r="I7" s="2238"/>
      <c r="J7" s="2254">
        <f>I6&amp;".1"</f>
      </c>
      <c r="K7" s="1495"/>
      <c r="L7" s="1538" t="s">
        <v>407</v>
      </c>
      <c r="M7" s="1863"/>
      <c r="N7" s="1859"/>
      <c r="P7" s="2393"/>
      <c r="Q7" s="2393">
        <v>1</v>
      </c>
      <c r="R7" s="580"/>
      <c r="S7" s="2187">
        <f>$J7</f>
      </c>
      <c r="T7" s="509" t="s">
        <v>408</v>
      </c>
      <c r="U7" s="523"/>
      <c r="V7" s="2377"/>
      <c r="W7" s="2378"/>
      <c r="X7" s="2378"/>
      <c r="Y7" s="2378"/>
      <c r="Z7" s="2378"/>
      <c r="AA7" s="2378"/>
      <c r="AB7" s="2378"/>
      <c r="AC7" s="2379"/>
      <c r="AD7" s="2377"/>
      <c r="AE7" s="2378"/>
      <c r="AF7" s="2378"/>
      <c r="AG7" s="2378"/>
      <c r="AH7" s="2378"/>
      <c r="AI7" s="2378"/>
      <c r="AJ7" s="2378"/>
      <c r="AK7" s="2378"/>
      <c r="AL7" s="2379"/>
      <c r="AM7" s="1485" t="s">
        <v>409</v>
      </c>
      <c r="AO7" s="1852"/>
      <c r="AP7" s="1852" t="str">
        <f>IF(T7="","",T7)</f>
        <v>Группа потребителей</v>
      </c>
      <c r="AQ7" s="1852"/>
      <c r="AR7" s="1852"/>
    </row>
    <row customHeight="1" ht="21" hidden="1">
      <c r="A8" s="1495"/>
      <c r="B8" s="1495"/>
      <c r="C8" s="1495"/>
      <c r="D8" s="1495"/>
      <c r="E8" s="2425"/>
      <c r="F8" s="2425"/>
      <c r="G8" s="2425"/>
      <c r="H8" s="2425"/>
      <c r="I8" s="2238"/>
      <c r="J8" s="2238"/>
      <c r="K8" s="2254">
        <f>J7&amp;".1"</f>
      </c>
      <c r="L8" s="1538" t="s">
        <v>410</v>
      </c>
      <c r="M8" s="1863"/>
      <c r="N8" s="1859"/>
      <c r="O8" s="1859"/>
      <c r="P8" s="2393"/>
      <c r="Q8" s="2393"/>
      <c r="R8" s="580">
        <v>1</v>
      </c>
      <c r="S8" s="2187">
        <f>$K8</f>
      </c>
      <c r="T8" s="1575"/>
      <c r="U8" s="523"/>
      <c r="V8" s="974"/>
      <c r="W8" s="548"/>
      <c r="X8" s="974"/>
      <c r="Y8" s="1484"/>
      <c r="Z8" s="2394"/>
      <c r="AA8" s="2264" t="s">
        <v>66</v>
      </c>
      <c r="AB8" s="2394"/>
      <c r="AC8" s="2264" t="s">
        <v>66</v>
      </c>
      <c r="AD8" s="974"/>
      <c r="AE8" s="548"/>
      <c r="AF8" s="974"/>
      <c r="AG8" s="1484"/>
      <c r="AH8" s="2394"/>
      <c r="AI8" s="2264" t="s">
        <v>66</v>
      </c>
      <c r="AJ8" s="2394"/>
      <c r="AK8" s="2264" t="s">
        <v>66</v>
      </c>
      <c r="AL8" s="548"/>
      <c r="AM8" s="2419" t="s">
        <v>411</v>
      </c>
      <c r="AN8" s="1864">
        <f>STRCHECKDATE(V9:AL9)</f>
      </c>
      <c r="AO8" s="1852"/>
      <c r="AP8" s="1852" t="str">
        <f>IF(T8="","",T8)</f>
        <v/>
      </c>
      <c r="AQ8" s="1852"/>
      <c r="AR8" s="1852"/>
    </row>
    <row customHeight="1" ht="0.75" hidden="1">
      <c r="A9" s="1495"/>
      <c r="B9" s="1495"/>
      <c r="C9" s="1495"/>
      <c r="D9" s="1495"/>
      <c r="E9" s="2425"/>
      <c r="F9" s="2425"/>
      <c r="G9" s="2425"/>
      <c r="H9" s="2425"/>
      <c r="I9" s="2238"/>
      <c r="J9" s="2238"/>
      <c r="K9" s="2254"/>
      <c r="L9" s="1538"/>
      <c r="M9" s="1863"/>
      <c r="N9" s="1859"/>
      <c r="O9" s="1859"/>
      <c r="P9" s="2393"/>
      <c r="Q9" s="2393"/>
      <c r="R9" s="580"/>
      <c r="S9" s="2196"/>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1852"/>
      <c r="AP9" s="1852" t="str">
        <f>IF(T9="","",T9)</f>
        <v/>
      </c>
      <c r="AQ9" s="1852"/>
      <c r="AR9" s="1852"/>
    </row>
    <row customHeight="1" ht="15" hidden="1">
      <c r="A10" s="1495"/>
      <c r="B10" s="1495"/>
      <c r="C10" s="1495"/>
      <c r="D10" s="1495"/>
      <c r="E10" s="2425"/>
      <c r="F10" s="2425"/>
      <c r="G10" s="2425"/>
      <c r="H10" s="2425"/>
      <c r="I10" s="2238"/>
      <c r="J10" s="2254"/>
      <c r="K10" s="1495"/>
      <c r="L10" s="1538"/>
      <c r="M10" s="1863"/>
      <c r="N10" s="1859"/>
      <c r="P10" s="2393"/>
      <c r="Q10" s="2393"/>
      <c r="R10" s="579"/>
      <c r="S10" s="1506"/>
      <c r="T10" s="511" t="s">
        <v>412</v>
      </c>
      <c r="U10" s="823"/>
      <c r="V10" s="823"/>
      <c r="W10" s="823"/>
      <c r="X10" s="823"/>
      <c r="Y10" s="823"/>
      <c r="Z10" s="823"/>
      <c r="AA10" s="823"/>
      <c r="AB10" s="823"/>
      <c r="AC10" s="823"/>
      <c r="AD10" s="823"/>
      <c r="AE10" s="823"/>
      <c r="AF10" s="823"/>
      <c r="AG10" s="823"/>
      <c r="AH10" s="823"/>
      <c r="AI10" s="823"/>
      <c r="AJ10" s="823"/>
      <c r="AK10" s="823"/>
      <c r="AL10" s="547"/>
      <c r="AM10" s="2421"/>
      <c r="AO10" s="1852"/>
      <c r="AP10" s="1852" t="str">
        <f>IF(T10="","",T10)</f>
        <v>Добавить вид теплоносителя (параметры теплоносителя)</v>
      </c>
      <c r="AQ10" s="1852"/>
      <c r="AR10" s="1852"/>
    </row>
    <row customHeight="1" ht="15" hidden="1">
      <c r="A11" s="1495"/>
      <c r="B11" s="1495"/>
      <c r="C11" s="1495"/>
      <c r="D11" s="1495"/>
      <c r="E11" s="2425"/>
      <c r="F11" s="2425"/>
      <c r="G11" s="2425"/>
      <c r="H11" s="2425"/>
      <c r="I11" s="2254"/>
      <c r="J11" s="1495"/>
      <c r="K11" s="1495"/>
      <c r="L11" s="1538"/>
      <c r="M11" s="1863"/>
      <c r="P11" s="2393"/>
      <c r="Q11" s="2183"/>
      <c r="R11" s="579"/>
      <c r="S11" s="1506"/>
      <c r="T11" s="510" t="s">
        <v>413</v>
      </c>
      <c r="U11" s="823"/>
      <c r="V11" s="823"/>
      <c r="W11" s="823"/>
      <c r="X11" s="823"/>
      <c r="Y11" s="823"/>
      <c r="Z11" s="823"/>
      <c r="AA11" s="823"/>
      <c r="AB11" s="823"/>
      <c r="AC11" s="589"/>
      <c r="AD11" s="823"/>
      <c r="AE11" s="823"/>
      <c r="AF11" s="823"/>
      <c r="AG11" s="823"/>
      <c r="AH11" s="823"/>
      <c r="AI11" s="823"/>
      <c r="AJ11" s="823"/>
      <c r="AK11" s="589"/>
      <c r="AL11" s="823"/>
      <c r="AM11" s="526"/>
      <c r="AO11" s="1852"/>
      <c r="AP11" s="1852" t="str">
        <f>IF(T11="","",T11)</f>
        <v>Добавить группу потребителей</v>
      </c>
      <c r="AQ11" s="1852"/>
      <c r="AR11" s="1852"/>
    </row>
    <row customHeight="1" ht="14.25" hidden="1">
      <c r="A12" s="1495"/>
      <c r="B12" s="1495"/>
      <c r="C12" s="1495"/>
      <c r="D12" s="1495"/>
      <c r="E12" s="2425"/>
      <c r="F12" s="2425"/>
      <c r="G12" s="2425"/>
      <c r="H12" s="2424"/>
      <c r="I12" s="1495"/>
      <c r="J12" s="1495"/>
      <c r="K12" s="1495"/>
      <c r="L12" s="1538"/>
      <c r="M12" s="1838"/>
      <c r="N12" s="1838"/>
      <c r="O12" s="1863"/>
      <c r="P12" s="583"/>
      <c r="Q12" s="598"/>
      <c r="R12" s="578"/>
      <c r="S12" s="1506"/>
      <c r="T12" s="588" t="s">
        <v>414</v>
      </c>
      <c r="U12" s="823"/>
      <c r="V12" s="823"/>
      <c r="W12" s="823"/>
      <c r="X12" s="823"/>
      <c r="Y12" s="823"/>
      <c r="Z12" s="823"/>
      <c r="AA12" s="823"/>
      <c r="AB12" s="823"/>
      <c r="AC12" s="589"/>
      <c r="AD12" s="823"/>
      <c r="AE12" s="823"/>
      <c r="AF12" s="823"/>
      <c r="AG12" s="823"/>
      <c r="AH12" s="823"/>
      <c r="AI12" s="823"/>
      <c r="AJ12" s="823"/>
      <c r="AK12" s="589"/>
      <c r="AL12" s="823"/>
      <c r="AM12" s="526"/>
      <c r="AO12" s="1852"/>
      <c r="AP12" s="1852" t="str">
        <f>IF(T12="","",T12)</f>
        <v>Добавить схему подключения</v>
      </c>
      <c r="AQ12" s="1852"/>
      <c r="AR12" s="1852"/>
    </row>
    <row s="13639" customFormat="1" customHeight="1" ht="0.75" hidden="1">
      <c r="A13" s="1602"/>
      <c r="B13" s="1602"/>
      <c r="C13" s="1602"/>
      <c r="D13" s="1602"/>
      <c r="E13" s="2425"/>
      <c r="F13" s="2425"/>
      <c r="G13" s="2424"/>
      <c r="H13" s="1602"/>
      <c r="I13" s="1602"/>
      <c r="J13" s="1602"/>
      <c r="K13" s="1602"/>
      <c r="L13" s="1605"/>
      <c r="M13" s="1606"/>
      <c r="N13" s="1606"/>
      <c r="O13" s="574"/>
      <c r="P13" s="1544"/>
      <c r="Q13" s="1545"/>
      <c r="R13" s="1544"/>
      <c r="S13" s="1546"/>
      <c r="T13" s="1547" t="s">
        <v>415</v>
      </c>
      <c r="U13" s="1548"/>
      <c r="V13" s="1548"/>
      <c r="W13" s="1548"/>
      <c r="X13" s="1548"/>
      <c r="Y13" s="1548"/>
      <c r="Z13" s="1548"/>
      <c r="AA13" s="1548"/>
      <c r="AB13" s="1548"/>
      <c r="AC13" s="1548"/>
      <c r="AD13" s="1548"/>
      <c r="AE13" s="1548"/>
      <c r="AF13" s="1548"/>
      <c r="AG13" s="1548"/>
      <c r="AH13" s="1548"/>
      <c r="AI13" s="1548"/>
      <c r="AJ13" s="1548"/>
      <c r="AK13" s="1548"/>
      <c r="AL13" s="1548"/>
      <c r="AM13" s="1548"/>
      <c r="AO13" s="1478"/>
      <c r="AP13" s="1478" t="str">
        <f>IF(T13="","",T13)</f>
        <v>Добавить источник для дифференциации</v>
      </c>
      <c r="AQ13" s="1478"/>
      <c r="AR13" s="1478"/>
    </row>
    <row s="13639" customFormat="1" customHeight="1" ht="0.75" hidden="1">
      <c r="A14" s="1602"/>
      <c r="B14" s="1602"/>
      <c r="C14" s="1602"/>
      <c r="D14" s="1602"/>
      <c r="E14" s="2425"/>
      <c r="F14" s="2424"/>
      <c r="G14" s="1602"/>
      <c r="H14" s="1602"/>
      <c r="I14" s="1602"/>
      <c r="J14" s="1602"/>
      <c r="K14" s="1602"/>
      <c r="L14" s="1605"/>
      <c r="M14" s="1607"/>
      <c r="N14" s="1607"/>
      <c r="O14" s="574"/>
      <c r="P14" s="1544"/>
      <c r="Q14" s="1545"/>
      <c r="R14" s="1544"/>
      <c r="S14" s="1550"/>
      <c r="T14" s="1551" t="s">
        <v>252</v>
      </c>
      <c r="U14" s="1552"/>
      <c r="V14" s="1552"/>
      <c r="W14" s="1552"/>
      <c r="X14" s="1552"/>
      <c r="Y14" s="1552"/>
      <c r="Z14" s="1552"/>
      <c r="AA14" s="1552"/>
      <c r="AB14" s="1552"/>
      <c r="AC14" s="1552"/>
      <c r="AD14" s="1552"/>
      <c r="AE14" s="1552"/>
      <c r="AF14" s="1552"/>
      <c r="AG14" s="1552"/>
      <c r="AH14" s="1552"/>
      <c r="AI14" s="1552"/>
      <c r="AJ14" s="1552"/>
      <c r="AK14" s="1552"/>
      <c r="AL14" s="1552"/>
      <c r="AM14" s="1552"/>
      <c r="AO14" s="1478"/>
      <c r="AP14" s="1478" t="str">
        <f>IF(T14="","",T14)</f>
        <v>Добавить централизованную систему для дифференциации</v>
      </c>
      <c r="AQ14" s="1478"/>
      <c r="AR14" s="1478"/>
    </row>
    <row s="13639" customFormat="1" customHeight="1" ht="0.75" hidden="1">
      <c r="A15" s="1602"/>
      <c r="B15" s="1602"/>
      <c r="C15" s="1602"/>
      <c r="D15" s="1602"/>
      <c r="E15" s="2424"/>
      <c r="F15" s="1602"/>
      <c r="G15" s="1602"/>
      <c r="H15" s="1602"/>
      <c r="I15" s="1602"/>
      <c r="J15" s="1602"/>
      <c r="K15" s="1602"/>
      <c r="L15" s="1605"/>
      <c r="M15" s="1607"/>
      <c r="N15" s="1607"/>
      <c r="O15" s="574"/>
      <c r="P15" s="1544"/>
      <c r="Q15" s="1545"/>
      <c r="R15" s="1544"/>
      <c r="S15" s="1550"/>
      <c r="T15" s="1553" t="s">
        <v>253</v>
      </c>
      <c r="U15" s="1552"/>
      <c r="V15" s="1552"/>
      <c r="W15" s="1552"/>
      <c r="X15" s="1552"/>
      <c r="Y15" s="1552"/>
      <c r="Z15" s="1552"/>
      <c r="AA15" s="1552"/>
      <c r="AB15" s="1552"/>
      <c r="AC15" s="1552"/>
      <c r="AD15" s="1552"/>
      <c r="AE15" s="1552"/>
      <c r="AF15" s="1552"/>
      <c r="AG15" s="1552"/>
      <c r="AH15" s="1552"/>
      <c r="AI15" s="1552"/>
      <c r="AJ15" s="1552"/>
      <c r="AK15" s="1552"/>
      <c r="AL15" s="1552"/>
      <c r="AM15" s="1552"/>
      <c r="AO15" s="1478"/>
      <c r="AP15" s="1478" t="str">
        <f>IF(T15="","",T15)</f>
        <v>Добавить территорию для дифференциации</v>
      </c>
      <c r="AQ15" s="1478"/>
      <c r="AR15" s="1478"/>
    </row>
    <row customHeight="1" ht="14.25" hidden="1"/>
    <row customHeight="1" ht="14.25" hidden="1">
      <c r="AD17" s="1588"/>
      <c r="AE17" s="1588"/>
      <c r="AF17" s="1588"/>
      <c r="AG17" s="1589"/>
      <c r="AH17" s="2387"/>
      <c r="AI17" s="2386" t="s">
        <v>66</v>
      </c>
      <c r="AJ17" s="2387"/>
      <c r="AK17" s="2386" t="s">
        <v>66</v>
      </c>
    </row>
    <row customHeight="1" ht="14.25" hidden="1">
      <c r="AD18" s="1588"/>
      <c r="AE18" s="1588"/>
      <c r="AF18" s="1588"/>
      <c r="AG18" s="551" t="str">
        <f>AH17&amp;"-"&amp;AJ17</f>
        <v>-</v>
      </c>
      <c r="AH18" s="2386"/>
      <c r="AI18" s="2386"/>
      <c r="AJ18" s="2386"/>
      <c r="AK18" s="2386"/>
    </row>
    <row customHeight="1" ht="14.25" hidden="1"/>
    <row s="13646" customFormat="1" customHeight="1" ht="14.25" hidden="1">
      <c r="A20" s="1859"/>
      <c r="B20" s="1859"/>
      <c r="C20" s="1859"/>
      <c r="D20" s="1859"/>
      <c r="E20" s="1859"/>
      <c r="F20" s="1859"/>
      <c r="G20" s="1859"/>
      <c r="H20" s="1859"/>
      <c r="I20" s="1859"/>
      <c r="J20" s="1859"/>
      <c r="K20" s="1859"/>
      <c r="L20" s="2168"/>
      <c r="M20" s="2194"/>
      <c r="N20" s="2194"/>
      <c r="O20" s="1573" t="s">
        <v>416</v>
      </c>
      <c r="P20" s="1590"/>
      <c r="Q20" s="1599"/>
      <c r="R20" s="1599"/>
      <c r="S20" s="952"/>
      <c r="Z20" s="1595"/>
      <c r="AB20" s="1595"/>
      <c r="AH20" s="1595"/>
      <c r="AJ20" s="1595"/>
      <c r="AN20" s="1864"/>
      <c r="AO20" s="1864"/>
      <c r="AP20" s="1864"/>
      <c r="AQ20" s="1864"/>
      <c r="AR20" s="1864"/>
    </row>
    <row s="13646" customFormat="1" customHeight="1" ht="14.25" hidden="1">
      <c r="A21" s="1859"/>
      <c r="B21" s="1859"/>
      <c r="C21" s="1859"/>
      <c r="D21" s="1859"/>
      <c r="E21" s="1859"/>
      <c r="F21" s="1859"/>
      <c r="G21" s="1859"/>
      <c r="H21" s="1859"/>
      <c r="I21" s="1859"/>
      <c r="J21" s="1859"/>
      <c r="K21" s="1859"/>
      <c r="L21" s="2168"/>
      <c r="M21" s="2194"/>
      <c r="N21" s="2194"/>
      <c r="O21" s="2194"/>
      <c r="P21" s="1590"/>
      <c r="Q21" s="1599"/>
      <c r="R21" s="1599"/>
      <c r="S21" s="952"/>
      <c r="AN21" s="1864"/>
      <c r="AO21" s="1864"/>
      <c r="AP21" s="1864"/>
      <c r="AQ21" s="1864"/>
      <c r="AR21" s="1864"/>
    </row>
    <row s="13646" customFormat="1" customHeight="1" ht="14.25" hidden="1">
      <c r="A22" s="1859"/>
      <c r="B22" s="1859"/>
      <c r="C22" s="1859"/>
      <c r="D22" s="1859"/>
      <c r="E22" s="1859"/>
      <c r="F22" s="1859"/>
      <c r="G22" s="1859"/>
      <c r="H22" s="1859"/>
      <c r="I22" s="1859"/>
      <c r="J22" s="1859"/>
      <c r="K22" s="1859"/>
      <c r="L22" s="2168"/>
      <c r="M22" s="2194"/>
      <c r="N22" s="2194"/>
      <c r="O22" s="1538" t="s">
        <v>417</v>
      </c>
      <c r="P22" s="1590"/>
      <c r="Q22" s="1599"/>
      <c r="R22" s="1599"/>
      <c r="S22" s="952"/>
      <c r="T22" s="1594" t="s">
        <v>418</v>
      </c>
      <c r="AA22" s="818" t="s">
        <v>419</v>
      </c>
      <c r="AC22" s="818" t="s">
        <v>420</v>
      </c>
      <c r="AD22" s="1594" t="s">
        <v>418</v>
      </c>
      <c r="AI22" s="818" t="s">
        <v>421</v>
      </c>
      <c r="AK22" s="818" t="s">
        <v>420</v>
      </c>
      <c r="AN22" s="1864"/>
      <c r="AO22" s="1864"/>
      <c r="AP22" s="1864"/>
      <c r="AQ22" s="1864"/>
      <c r="AR22" s="1864"/>
    </row>
    <row customHeight="1" ht="14.25" hidden="1">
      <c r="O23" s="1538"/>
    </row>
    <row customHeight="1" ht="14.25" hidden="1">
      <c r="O24" s="1538"/>
    </row>
    <row customHeight="1" ht="14.25">
      <c r="Q25" s="599"/>
      <c r="R25" s="599"/>
      <c r="S25" s="1503"/>
      <c r="T25" s="680"/>
      <c r="U25" s="680"/>
      <c r="V25" s="1863"/>
      <c r="W25" s="1863"/>
      <c r="X25" s="1863"/>
      <c r="Y25" s="1863"/>
      <c r="Z25" s="1863"/>
      <c r="AA25" s="1863"/>
      <c r="AB25" s="1863"/>
      <c r="AC25" s="1863"/>
      <c r="AD25" s="1863"/>
      <c r="AE25" s="1863"/>
      <c r="AF25" s="1863"/>
      <c r="AG25" s="1863"/>
      <c r="AH25" s="1863"/>
      <c r="AI25" s="1863"/>
      <c r="AJ25" s="1863"/>
      <c r="AK25" s="1863"/>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ООО "Новая Энергетика"</v>
      </c>
      <c r="T27" s="2423"/>
      <c r="U27" s="2423"/>
      <c r="V27" s="2423"/>
      <c r="W27" s="2423"/>
      <c r="X27" s="2423"/>
      <c r="Y27" s="2423"/>
      <c r="Z27" s="2423"/>
      <c r="AA27" s="2423"/>
      <c r="AB27" s="2423"/>
      <c r="AC27" s="2423"/>
      <c r="AD27" s="2423"/>
      <c r="AE27" s="2423"/>
      <c r="AF27" s="2423"/>
      <c r="AG27" s="2423"/>
      <c r="AH27" s="2423"/>
      <c r="AI27" s="2423"/>
      <c r="AJ27" s="2423"/>
      <c r="AK27" s="1470"/>
    </row>
    <row customHeight="1" ht="14.25" hidden="1">
      <c r="Q28" s="599"/>
      <c r="R28" s="599"/>
      <c r="S28" s="1503"/>
      <c r="T28" s="680"/>
      <c r="U28" s="680"/>
      <c r="V28" s="545"/>
      <c r="W28" s="545"/>
      <c r="X28" s="545"/>
      <c r="Y28" s="545"/>
      <c r="Z28" s="545"/>
      <c r="AA28" s="545"/>
      <c r="AB28" s="545"/>
      <c r="AC28" s="545"/>
      <c r="AD28" s="545"/>
      <c r="AE28" s="545"/>
      <c r="AF28" s="545"/>
      <c r="AG28" s="545"/>
      <c r="AH28" s="545"/>
      <c r="AI28" s="545"/>
      <c r="AJ28" s="545"/>
      <c r="AK28" s="545"/>
      <c r="AL28" s="1863"/>
    </row>
    <row s="13547" customFormat="1" customHeight="1" ht="25.5" hidden="1">
      <c r="A29" s="1475"/>
      <c r="B29" s="1475"/>
      <c r="C29" s="1475"/>
      <c r="D29" s="1475"/>
      <c r="E29" s="1475"/>
      <c r="F29" s="1475"/>
      <c r="G29" s="1475"/>
      <c r="H29" s="1475"/>
      <c r="I29" s="1475"/>
      <c r="J29" s="1475"/>
      <c r="K29" s="1475"/>
      <c r="L29" s="1608"/>
      <c r="M29" s="1475"/>
      <c r="N29" s="1475"/>
      <c r="O29" s="1475"/>
      <c r="S29" s="2380" t="s">
        <v>38</v>
      </c>
      <c r="T29" s="2380"/>
      <c r="U29" s="1600"/>
      <c r="V29" s="2382" t="str">
        <f>IF(TITLE_NAME_OR_PR_CHANGE="",IF(TITLE_NAME_OR_PR="","",TITLE_NAME_OR_PR),TITLE_NAME_OR_PR_CHANGE)</f>
        <v>Агенство по тарифам Приморского края</v>
      </c>
      <c r="W29" s="2382"/>
      <c r="X29" s="2382"/>
      <c r="Y29" s="2382"/>
      <c r="Z29" s="2382"/>
      <c r="AA29" s="2382"/>
      <c r="AB29" s="2382"/>
      <c r="AC29" s="1863"/>
      <c r="AD29" s="2382" t="str">
        <f>IF(TITLE_NAME_OR_PR_CHANGE="",IF(TITLE_NAME_OR_PR="","",TITLE_NAME_OR_PR),TITLE_NAME_OR_PR_CHANGE)</f>
        <v>Агенство по тарифам Приморского края</v>
      </c>
      <c r="AE29" s="2382"/>
      <c r="AF29" s="2382"/>
      <c r="AG29" s="2382"/>
      <c r="AH29" s="2382"/>
      <c r="AI29" s="2382"/>
      <c r="AJ29" s="2382"/>
      <c r="AK29" s="1863"/>
      <c r="AL29" s="1863"/>
      <c r="AM29" s="503"/>
      <c r="AN29" s="591"/>
      <c r="AO29" s="591"/>
      <c r="AP29" s="591"/>
      <c r="AQ29" s="591"/>
      <c r="AR29" s="591"/>
    </row>
    <row s="13547" customFormat="1" customHeight="1" ht="18.75" hidden="1">
      <c r="A30" s="1475"/>
      <c r="B30" s="1475"/>
      <c r="C30" s="1475"/>
      <c r="D30" s="1475"/>
      <c r="E30" s="1475"/>
      <c r="F30" s="1475"/>
      <c r="G30" s="1475"/>
      <c r="H30" s="1475"/>
      <c r="I30" s="1475"/>
      <c r="J30" s="1475"/>
      <c r="K30" s="1475"/>
      <c r="L30" s="1608"/>
      <c r="M30" s="1475"/>
      <c r="N30" s="1475"/>
      <c r="O30" s="1475"/>
      <c r="S30" s="2380" t="s">
        <v>422</v>
      </c>
      <c r="T30" s="2380"/>
      <c r="U30" s="1600"/>
      <c r="V30" s="2381" t="str">
        <f>IF(TITLE_DATE_PR_CHANGE="",IF(TITLE_DATE_PR="","",TITLE_DATE_PR),TITLE_DATE_PR_CHANGE)</f>
        <v>45281.66994212963</v>
      </c>
      <c r="W30" s="2381"/>
      <c r="X30" s="2381"/>
      <c r="Y30" s="2381"/>
      <c r="Z30" s="2381"/>
      <c r="AA30" s="2381"/>
      <c r="AB30" s="2381"/>
      <c r="AC30" s="1863"/>
      <c r="AD30" s="2381" t="str">
        <f>IF(TITLE_DATE_PR_CHANGE="",IF(TITLE_DATE_PR="","",TITLE_DATE_PR),TITLE_DATE_PR_CHANGE)</f>
        <v>45281.66994212963</v>
      </c>
      <c r="AE30" s="2381"/>
      <c r="AF30" s="2381"/>
      <c r="AG30" s="2381"/>
      <c r="AH30" s="2381"/>
      <c r="AI30" s="2381"/>
      <c r="AJ30" s="2381"/>
      <c r="AK30" s="1863"/>
      <c r="AL30" s="1863"/>
      <c r="AM30" s="503"/>
      <c r="AN30" s="591"/>
      <c r="AO30" s="591"/>
      <c r="AP30" s="591"/>
      <c r="AQ30" s="591"/>
      <c r="AR30" s="591"/>
    </row>
    <row s="13547" customFormat="1" customHeight="1" ht="18.75" hidden="1">
      <c r="A31" s="1475"/>
      <c r="B31" s="1475"/>
      <c r="C31" s="1475"/>
      <c r="D31" s="1475"/>
      <c r="E31" s="1475"/>
      <c r="F31" s="1475"/>
      <c r="G31" s="1475"/>
      <c r="H31" s="1475"/>
      <c r="I31" s="1475"/>
      <c r="J31" s="1475"/>
      <c r="K31" s="1475"/>
      <c r="L31" s="1608"/>
      <c r="M31" s="1475"/>
      <c r="N31" s="1475"/>
      <c r="O31" s="1475"/>
      <c r="S31" s="2380" t="s">
        <v>423</v>
      </c>
      <c r="T31" s="2380"/>
      <c r="U31" s="1600"/>
      <c r="V31" s="2382" t="str">
        <f>IF(TITLE_NUMBER_PR_CHANGE="",IF(TITLE_NUMBER_PR="","",TITLE_NUMBER_PR),TITLE_NUMBER_PR_CHANGE)</f>
        <v>72/1</v>
      </c>
      <c r="W31" s="2382"/>
      <c r="X31" s="2382"/>
      <c r="Y31" s="2382"/>
      <c r="Z31" s="2382"/>
      <c r="AA31" s="2382"/>
      <c r="AB31" s="2382"/>
      <c r="AC31" s="1863"/>
      <c r="AD31" s="2382" t="str">
        <f>IF(TITLE_NUMBER_PR_CHANGE="",IF(TITLE_NUMBER_PR="","",TITLE_NUMBER_PR),TITLE_NUMBER_PR_CHANGE)</f>
        <v>72/1</v>
      </c>
      <c r="AE31" s="2382"/>
      <c r="AF31" s="2382"/>
      <c r="AG31" s="2382"/>
      <c r="AH31" s="2382"/>
      <c r="AI31" s="2382"/>
      <c r="AJ31" s="2382"/>
      <c r="AK31" s="1863"/>
      <c r="AL31" s="1863"/>
      <c r="AM31" s="503"/>
      <c r="AN31" s="591"/>
      <c r="AO31" s="591"/>
      <c r="AP31" s="591"/>
      <c r="AQ31" s="591"/>
      <c r="AR31" s="591"/>
    </row>
    <row s="13547" customFormat="1" customHeight="1" ht="18.75" hidden="1">
      <c r="A32" s="1475"/>
      <c r="B32" s="1475"/>
      <c r="C32" s="1475"/>
      <c r="D32" s="1475"/>
      <c r="E32" s="1475"/>
      <c r="F32" s="1475"/>
      <c r="G32" s="1475"/>
      <c r="H32" s="1475"/>
      <c r="I32" s="1475"/>
      <c r="J32" s="1475"/>
      <c r="K32" s="1475"/>
      <c r="L32" s="1608"/>
      <c r="M32" s="1475"/>
      <c r="N32" s="1475"/>
      <c r="O32" s="1475"/>
      <c r="S32" s="2380" t="s">
        <v>40</v>
      </c>
      <c r="T32" s="2380"/>
      <c r="U32" s="1600"/>
      <c r="V32" s="2382" t="str">
        <f>IF(TITLE_IST_PUB_CHANGE="",IF(TITLE_IST_PUB="","",TITLE_IST_PUB),TITLE_IST_PUB_CHANGE)</f>
        <v>http://pravo.gov.ru Номер опубликования: 2501202312270032 Дата опубликования: 27.12.2023</v>
      </c>
      <c r="W32" s="2382"/>
      <c r="X32" s="2382"/>
      <c r="Y32" s="2382"/>
      <c r="Z32" s="2382"/>
      <c r="AA32" s="2382"/>
      <c r="AB32" s="2382"/>
      <c r="AC32" s="1863"/>
      <c r="AD32" s="2382" t="str">
        <f>IF(TITLE_IST_PUB_CHANGE="",IF(TITLE_IST_PUB="","",TITLE_IST_PUB),TITLE_IST_PUB_CHANGE)</f>
        <v>http://pravo.gov.ru Номер опубликования: 2501202312270032 Дата опубликования: 27.12.2023</v>
      </c>
      <c r="AE32" s="2382"/>
      <c r="AF32" s="2382"/>
      <c r="AG32" s="2382"/>
      <c r="AH32" s="2382"/>
      <c r="AI32" s="2382"/>
      <c r="AJ32" s="2382"/>
      <c r="AK32" s="1863"/>
      <c r="AL32" s="1863"/>
      <c r="AM32" s="503"/>
      <c r="AN32" s="591"/>
      <c r="AO32" s="591"/>
      <c r="AP32" s="591"/>
      <c r="AQ32" s="591"/>
      <c r="AR32" s="591"/>
    </row>
    <row customHeight="1" ht="14.25" hidden="1">
      <c r="Q33" s="599"/>
      <c r="R33" s="599"/>
      <c r="S33" s="1503"/>
      <c r="T33" s="680"/>
      <c r="U33" s="680"/>
      <c r="V33" s="545"/>
      <c r="W33" s="545"/>
      <c r="X33" s="545"/>
      <c r="Y33" s="545"/>
      <c r="Z33" s="545"/>
      <c r="AA33" s="545"/>
      <c r="AB33" s="545"/>
      <c r="AC33" s="545"/>
      <c r="AD33" s="545"/>
      <c r="AE33" s="545"/>
      <c r="AF33" s="545"/>
      <c r="AG33" s="545"/>
      <c r="AH33" s="545"/>
      <c r="AI33" s="545"/>
      <c r="AJ33" s="545"/>
      <c r="AK33" s="545"/>
      <c r="AL33" s="1863"/>
    </row>
    <row s="13547" customFormat="1" customHeight="1" ht="18.75" hidden="1">
      <c r="A34" s="1475"/>
      <c r="B34" s="1475"/>
      <c r="C34" s="1475"/>
      <c r="D34" s="1475"/>
      <c r="E34" s="1475"/>
      <c r="F34" s="1475"/>
      <c r="G34" s="1475"/>
      <c r="H34" s="1475"/>
      <c r="I34" s="1475"/>
      <c r="J34" s="1475"/>
      <c r="K34" s="1475"/>
      <c r="L34" s="1608"/>
      <c r="M34" s="1475"/>
      <c r="N34" s="1475"/>
      <c r="O34" s="1475"/>
      <c r="S34" s="2380" t="s">
        <v>424</v>
      </c>
      <c r="T34" s="2380"/>
      <c r="U34" s="1600"/>
      <c r="V34" s="2381" t="str">
        <f>IF(TITLE_DATE_PR_CHANGE="",IF(TITLE_DATE_PR="","",TITLE_DATE_PR),TITLE_DATE_PR_CHANGE)</f>
        <v>45281.66994212963</v>
      </c>
      <c r="W34" s="2381"/>
      <c r="X34" s="2381"/>
      <c r="Y34" s="2381"/>
      <c r="Z34" s="2381"/>
      <c r="AA34" s="2381"/>
      <c r="AB34" s="2381"/>
      <c r="AC34" s="1863"/>
      <c r="AD34" s="2381" t="str">
        <f>IF(TITLE_DATE_PR_CHANGE="",IF(TITLE_DATE_PR="","",TITLE_DATE_PR),TITLE_DATE_PR_CHANGE)</f>
        <v>45281.66994212963</v>
      </c>
      <c r="AE34" s="2381"/>
      <c r="AF34" s="2381"/>
      <c r="AG34" s="2381"/>
      <c r="AH34" s="2381"/>
      <c r="AI34" s="2381"/>
      <c r="AJ34" s="2381"/>
      <c r="AK34" s="1863"/>
      <c r="AL34" s="1863"/>
      <c r="AM34" s="503"/>
      <c r="AN34" s="591"/>
      <c r="AO34" s="591"/>
      <c r="AP34" s="591"/>
      <c r="AQ34" s="591"/>
      <c r="AR34" s="591"/>
    </row>
    <row s="13547" customFormat="1" customHeight="1" ht="18.75" hidden="1">
      <c r="A35" s="1475"/>
      <c r="B35" s="1475"/>
      <c r="C35" s="1475"/>
      <c r="D35" s="1475"/>
      <c r="E35" s="1475"/>
      <c r="F35" s="1475"/>
      <c r="G35" s="1475"/>
      <c r="H35" s="1475"/>
      <c r="I35" s="1475"/>
      <c r="J35" s="1475"/>
      <c r="K35" s="1475"/>
      <c r="L35" s="1608"/>
      <c r="M35" s="1475"/>
      <c r="N35" s="1475"/>
      <c r="O35" s="1475"/>
      <c r="S35" s="2380" t="s">
        <v>425</v>
      </c>
      <c r="T35" s="2380"/>
      <c r="U35" s="1600"/>
      <c r="V35" s="2382" t="str">
        <f>IF(TITLE_NUMBER_PR_CHANGE="",IF(TITLE_NUMBER_PR="","",TITLE_NUMBER_PR),TITLE_NUMBER_PR_CHANGE)</f>
        <v>72/1</v>
      </c>
      <c r="W35" s="2382"/>
      <c r="X35" s="2382"/>
      <c r="Y35" s="2382"/>
      <c r="Z35" s="2382"/>
      <c r="AA35" s="2382"/>
      <c r="AB35" s="2382"/>
      <c r="AC35" s="1863"/>
      <c r="AD35" s="2382" t="str">
        <f>IF(TITLE_NUMBER_PR_CHANGE="",IF(TITLE_NUMBER_PR="","",TITLE_NUMBER_PR),TITLE_NUMBER_PR_CHANGE)</f>
        <v>72/1</v>
      </c>
      <c r="AE35" s="2382"/>
      <c r="AF35" s="2382"/>
      <c r="AG35" s="2382"/>
      <c r="AH35" s="2382"/>
      <c r="AI35" s="2382"/>
      <c r="AJ35" s="2382"/>
      <c r="AK35" s="1863"/>
      <c r="AL35" s="1863"/>
      <c r="AM35" s="503"/>
      <c r="AN35" s="591"/>
      <c r="AO35" s="591"/>
      <c r="AP35" s="591"/>
      <c r="AQ35" s="591"/>
      <c r="AR35" s="591"/>
    </row>
    <row s="13547" customFormat="1" customHeight="1" ht="0">
      <c r="A36" s="1475"/>
      <c r="B36" s="1475"/>
      <c r="C36" s="1475"/>
      <c r="D36" s="1475"/>
      <c r="E36" s="1475"/>
      <c r="F36" s="1475"/>
      <c r="G36" s="1475"/>
      <c r="H36" s="1475"/>
      <c r="I36" s="1475"/>
      <c r="J36" s="1475"/>
      <c r="K36" s="1475"/>
      <c r="L36" s="1608"/>
      <c r="M36" s="1475"/>
      <c r="N36" s="1475"/>
      <c r="O36" s="1475"/>
      <c r="S36" s="1863"/>
      <c r="T36" s="1863"/>
      <c r="U36" s="2199"/>
      <c r="V36" s="1863"/>
      <c r="W36" s="1863"/>
      <c r="X36" s="1863"/>
      <c r="Y36" s="1863"/>
      <c r="Z36" s="1863"/>
      <c r="AA36" s="1863"/>
      <c r="AB36" s="1863"/>
      <c r="AC36" s="1870" t="s">
        <v>426</v>
      </c>
      <c r="AD36" s="1863"/>
      <c r="AE36" s="1863"/>
      <c r="AF36" s="1863"/>
      <c r="AG36" s="1863"/>
      <c r="AH36" s="1863"/>
      <c r="AI36" s="1863"/>
      <c r="AJ36" s="1863"/>
      <c r="AK36" s="1870" t="s">
        <v>426</v>
      </c>
      <c r="AN36" s="591"/>
      <c r="AO36" s="591"/>
      <c r="AP36" s="591"/>
      <c r="AQ36" s="591"/>
      <c r="AR36" s="591"/>
    </row>
    <row customHeight="1" ht="14.25">
      <c r="Q37" s="599"/>
      <c r="R37" s="599"/>
      <c r="S37" s="1503"/>
      <c r="T37" s="680"/>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301</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302</v>
      </c>
    </row>
    <row customHeight="1" ht="14.25">
      <c r="Q39" s="599"/>
      <c r="R39" s="599"/>
      <c r="S39" s="2407" t="s">
        <v>87</v>
      </c>
      <c r="T39" s="2344" t="s">
        <v>427</v>
      </c>
      <c r="U39" s="560"/>
      <c r="V39" s="2408" t="s">
        <v>428</v>
      </c>
      <c r="W39" s="2409"/>
      <c r="X39" s="2409"/>
      <c r="Y39" s="2409"/>
      <c r="Z39" s="2409"/>
      <c r="AA39" s="2409"/>
      <c r="AB39" s="2410"/>
      <c r="AC39" s="2411" t="s">
        <v>429</v>
      </c>
      <c r="AD39" s="2408" t="s">
        <v>428</v>
      </c>
      <c r="AE39" s="2409"/>
      <c r="AF39" s="2409"/>
      <c r="AG39" s="2409"/>
      <c r="AH39" s="2409"/>
      <c r="AI39" s="2409"/>
      <c r="AJ39" s="2410"/>
      <c r="AK39" s="2411" t="s">
        <v>430</v>
      </c>
      <c r="AL39" s="2414" t="s">
        <v>431</v>
      </c>
      <c r="AM39" s="2254"/>
    </row>
    <row customHeight="1" ht="33.75">
      <c r="Q40" s="599"/>
      <c r="R40" s="599"/>
      <c r="S40" s="2407"/>
      <c r="T40" s="2344"/>
      <c r="U40" s="1255"/>
      <c r="V40" s="2417" t="s">
        <v>432</v>
      </c>
      <c r="W40" s="2398" t="s">
        <v>433</v>
      </c>
      <c r="X40" s="2400" t="s">
        <v>434</v>
      </c>
      <c r="Y40" s="2402"/>
      <c r="Z40" s="2400" t="s">
        <v>447</v>
      </c>
      <c r="AA40" s="2401"/>
      <c r="AB40" s="2402"/>
      <c r="AC40" s="2412"/>
      <c r="AD40" s="2417" t="s">
        <v>432</v>
      </c>
      <c r="AE40" s="2398" t="s">
        <v>433</v>
      </c>
      <c r="AF40" s="2400" t="s">
        <v>434</v>
      </c>
      <c r="AG40" s="2402"/>
      <c r="AH40" s="2400" t="s">
        <v>435</v>
      </c>
      <c r="AI40" s="2401"/>
      <c r="AJ40" s="2402"/>
      <c r="AK40" s="2412"/>
      <c r="AL40" s="2415"/>
      <c r="AM40" s="2254"/>
    </row>
    <row customHeight="1" ht="33.75">
      <c r="A41" s="1494"/>
      <c r="B41" s="1494" t="s">
        <v>134</v>
      </c>
      <c r="C41" s="1494" t="s">
        <v>135</v>
      </c>
      <c r="D41" s="1494" t="s">
        <v>136</v>
      </c>
      <c r="E41" s="1538" t="s">
        <v>436</v>
      </c>
      <c r="F41" s="1538" t="s">
        <v>437</v>
      </c>
      <c r="G41" s="1538" t="s">
        <v>438</v>
      </c>
      <c r="H41" s="1538" t="s">
        <v>439</v>
      </c>
      <c r="I41" s="1538" t="s">
        <v>440</v>
      </c>
      <c r="J41" s="1538" t="s">
        <v>441</v>
      </c>
      <c r="K41" s="1538" t="s">
        <v>442</v>
      </c>
      <c r="L41" s="1538" t="s">
        <v>417</v>
      </c>
      <c r="Q41" s="599"/>
      <c r="R41" s="599"/>
      <c r="S41" s="2407"/>
      <c r="T41" s="2344"/>
      <c r="U41" s="525"/>
      <c r="V41" s="2418"/>
      <c r="W41" s="2399"/>
      <c r="X41" s="2167" t="s">
        <v>443</v>
      </c>
      <c r="Y41" s="2167" t="s">
        <v>444</v>
      </c>
      <c r="Z41" s="2167" t="s">
        <v>445</v>
      </c>
      <c r="AA41" s="2403" t="s">
        <v>446</v>
      </c>
      <c r="AB41" s="2404"/>
      <c r="AC41" s="2413"/>
      <c r="AD41" s="2418"/>
      <c r="AE41" s="2399"/>
      <c r="AF41" s="2167" t="s">
        <v>443</v>
      </c>
      <c r="AG41" s="2167" t="s">
        <v>444</v>
      </c>
      <c r="AH41" s="2167" t="s">
        <v>445</v>
      </c>
      <c r="AI41" s="2403" t="s">
        <v>446</v>
      </c>
      <c r="AJ41" s="2404"/>
      <c r="AK41" s="2413"/>
      <c r="AL41" s="2416"/>
      <c r="AM41" s="2254"/>
    </row>
    <row s="13656" customFormat="1" customHeight="1" ht="11.25" hidden="1">
      <c r="A42" s="1494"/>
      <c r="B42" s="1494"/>
      <c r="C42" s="1494"/>
      <c r="D42" s="1494"/>
      <c r="E42" s="1494"/>
      <c r="F42" s="1494"/>
      <c r="G42" s="1494"/>
      <c r="H42" s="1494"/>
      <c r="I42" s="1494"/>
      <c r="J42" s="1494"/>
      <c r="K42" s="1494"/>
      <c r="L42" s="1538"/>
      <c r="M42" s="2194"/>
      <c r="N42" s="2194"/>
      <c r="O42" s="2194"/>
      <c r="P42" s="1473"/>
      <c r="Q42" s="1474"/>
      <c r="R42" s="1481">
        <v>1</v>
      </c>
      <c r="S42" s="1505" t="s">
        <v>108</v>
      </c>
      <c r="T42" s="1482" t="s">
        <v>109</v>
      </c>
      <c r="U42" s="1472" t="str">
        <f>OFFSET(U42,0,-1)</f>
        <v>2</v>
      </c>
      <c r="V42" s="2185">
        <f>OFFSET(V42,0,-1)+1</f>
        <v>3</v>
      </c>
      <c r="W42" s="2185"/>
      <c r="X42" s="2185">
        <f>OFFSET(X42,0,-1)+1</f>
        <v>1</v>
      </c>
      <c r="Y42" s="2185">
        <f>OFFSET(Y42,0,-1)+1</f>
        <v>2</v>
      </c>
      <c r="Z42" s="2185">
        <f>OFFSET(Z42,0,-1)+1</f>
        <v>3</v>
      </c>
      <c r="AA42" s="2405">
        <f>OFFSET(AA42,0,-1)+1</f>
        <v>4</v>
      </c>
      <c r="AB42" s="2405"/>
      <c r="AC42" s="2185">
        <f>OFFSET(AC42,0,-2)+1</f>
        <v>5</v>
      </c>
      <c r="AD42" s="2185">
        <f>OFFSET(AD42,0,-1)+1</f>
        <v>6</v>
      </c>
      <c r="AE42" s="2185"/>
      <c r="AF42" s="2185">
        <f>OFFSET(AF42,0,-1)+1</f>
        <v>1</v>
      </c>
      <c r="AG42" s="2185">
        <f>OFFSET(AG42,0,-1)+1</f>
        <v>2</v>
      </c>
      <c r="AH42" s="2185">
        <f>OFFSET(AH42,0,-1)+1</f>
        <v>3</v>
      </c>
      <c r="AI42" s="2405">
        <f>OFFSET(AI42,0,-1)+1</f>
        <v>4</v>
      </c>
      <c r="AJ42" s="2405"/>
      <c r="AK42" s="2185">
        <f>OFFSET(AK42,0,-2)+1</f>
        <v>5</v>
      </c>
      <c r="AL42" s="1472">
        <f>OFFSET(AL42,0,-1)</f>
        <v>5</v>
      </c>
      <c r="AM42" s="2185">
        <f>OFFSET(AM42,0,-1)+1</f>
        <v>6</v>
      </c>
      <c r="AN42" s="1864"/>
      <c r="AO42" s="1864"/>
      <c r="AP42" s="1864"/>
      <c r="AQ42" s="1864"/>
      <c r="AR42" s="1864"/>
    </row>
    <row customHeight="1" ht="21">
      <c r="A43" s="1495" t="s">
        <v>209</v>
      </c>
      <c r="B43" s="1495"/>
      <c r="C43" s="1495"/>
      <c r="D43" s="1495"/>
      <c r="E43" s="2424">
        <v>1</v>
      </c>
      <c r="F43" s="1495"/>
      <c r="G43" s="1495"/>
      <c r="H43" s="1495"/>
      <c r="I43" s="1495"/>
      <c r="J43" s="1495"/>
      <c r="K43" s="1495"/>
      <c r="L43" s="1538"/>
      <c r="M43" s="1838"/>
      <c r="N43" s="1838"/>
      <c r="O43" s="1838"/>
      <c r="P43" s="1818"/>
      <c r="Q43" s="583"/>
      <c r="R43" s="578"/>
      <c r="S43" s="2187">
        <f>INDEX(PT_DIFFERENTIATION_NUM_NTAR,MATCH(A43,PT_DIFFERENTIATION_NTAR_ID,0))</f>
        <v>0</v>
      </c>
      <c r="T43" s="1753" t="s">
        <v>122</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2"/>
      <c r="AP43" s="1852" t="str">
        <f>IF(T43="","",T43)</f>
        <v>Наименование тарифа</v>
      </c>
      <c r="AQ43" s="1852"/>
      <c r="AR43" s="1852"/>
    </row>
    <row customHeight="1" ht="21">
      <c r="A44" s="1495" t="s">
        <v>209</v>
      </c>
      <c r="B44" s="1495" t="s">
        <v>210</v>
      </c>
      <c r="C44" s="1495"/>
      <c r="D44" s="1495"/>
      <c r="E44" s="2425"/>
      <c r="F44" s="2424">
        <v>1</v>
      </c>
      <c r="G44" s="1495"/>
      <c r="H44" s="1495"/>
      <c r="I44" s="1495"/>
      <c r="J44" s="1495"/>
      <c r="K44" s="1495"/>
      <c r="L44" s="1538"/>
      <c r="M44" s="1838"/>
      <c r="N44" s="1838"/>
      <c r="O44" s="1838"/>
      <c r="P44" s="2169"/>
      <c r="Q44" s="575"/>
      <c r="R44" s="576"/>
      <c r="S44" s="2187" t="str">
        <f>INDEX(PT_DIFFERENTIATION_NUM_TER,MATCH(B44,PT_DIFFERENTIATION_TER_ID,0))</f>
        <v>.</v>
      </c>
      <c r="T44" s="1750" t="s">
        <v>398</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399</v>
      </c>
      <c r="AO44" s="1852"/>
      <c r="AP44" s="1852" t="str">
        <f>IF(T44="","",T44)</f>
        <v>Территория действия тарифа</v>
      </c>
      <c r="AQ44" s="1852"/>
      <c r="AR44" s="1852"/>
    </row>
    <row customHeight="1" ht="23.25">
      <c r="A45" s="1495" t="s">
        <v>209</v>
      </c>
      <c r="B45" s="1495" t="s">
        <v>210</v>
      </c>
      <c r="C45" s="1495" t="s">
        <v>211</v>
      </c>
      <c r="D45" s="1495"/>
      <c r="E45" s="2425"/>
      <c r="F45" s="2425"/>
      <c r="G45" s="2424">
        <v>1</v>
      </c>
      <c r="H45" s="1495"/>
      <c r="I45" s="1495"/>
      <c r="J45" s="1495"/>
      <c r="K45" s="1495"/>
      <c r="L45" s="1538"/>
      <c r="M45" s="1838"/>
      <c r="N45" s="1838"/>
      <c r="O45" s="1838"/>
      <c r="P45" s="577"/>
      <c r="Q45" s="575"/>
      <c r="R45" s="576"/>
      <c r="S45" s="2187" t="str">
        <f>INDEX(PT_DIFFERENTIATION_NUM_CS,MATCH(C45,PT_DIFFERENTIATION_CS_ID,0))</f>
        <v>..</v>
      </c>
      <c r="T45" s="532" t="s">
        <v>400</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401</v>
      </c>
      <c r="AO45" s="1852"/>
      <c r="AP45" s="1852" t="str">
        <f>IF(T45="","",T45)</f>
        <v>Наименование системы теплоснабжения </v>
      </c>
      <c r="AQ45" s="1852"/>
      <c r="AR45" s="1852"/>
    </row>
    <row customHeight="1" ht="21">
      <c r="A46" s="1495" t="s">
        <v>209</v>
      </c>
      <c r="B46" s="1495" t="s">
        <v>210</v>
      </c>
      <c r="C46" s="1495" t="s">
        <v>211</v>
      </c>
      <c r="D46" s="1495" t="s">
        <v>212</v>
      </c>
      <c r="E46" s="2425"/>
      <c r="F46" s="2425"/>
      <c r="G46" s="2425"/>
      <c r="H46" s="2424">
        <v>1</v>
      </c>
      <c r="I46" s="1495"/>
      <c r="J46" s="1495"/>
      <c r="K46" s="1495"/>
      <c r="L46" s="1538"/>
      <c r="M46" s="1838"/>
      <c r="N46" s="1838"/>
      <c r="O46" s="1838"/>
      <c r="P46" s="577"/>
      <c r="Q46" s="575"/>
      <c r="R46" s="576"/>
      <c r="S46" s="2187" t="str">
        <f>INDEX(PT_DIFFERENTIATION_NUM_IST_TE,MATCH(D46,PT_DIFFERENTIATION_IST_TE_ID,0))</f>
        <v>...</v>
      </c>
      <c r="T46" s="533" t="s">
        <v>402</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403</v>
      </c>
      <c r="AO46" s="1852"/>
      <c r="AP46" s="1852" t="str">
        <f>IF(T46="","",T46)</f>
        <v>Источник тепловой энергии  </v>
      </c>
      <c r="AQ46" s="1852"/>
      <c r="AR46" s="1852"/>
    </row>
    <row customHeight="1" ht="47.25">
      <c r="A47" s="1495" t="s">
        <v>209</v>
      </c>
      <c r="B47" s="1495" t="s">
        <v>210</v>
      </c>
      <c r="C47" s="1495" t="s">
        <v>211</v>
      </c>
      <c r="D47" s="1495" t="s">
        <v>212</v>
      </c>
      <c r="E47" s="2425"/>
      <c r="F47" s="2425"/>
      <c r="G47" s="2425"/>
      <c r="H47" s="2425"/>
      <c r="I47" s="2254" t="str">
        <f>S46&amp;".1"</f>
        <v>....1</v>
      </c>
      <c r="J47" s="1495"/>
      <c r="K47" s="1495"/>
      <c r="L47" s="1538" t="s">
        <v>404</v>
      </c>
      <c r="P47" s="2393">
        <v>1</v>
      </c>
      <c r="Q47" s="2183"/>
      <c r="R47" s="579"/>
      <c r="S47" s="2187" t="str">
        <f>$I47</f>
        <v>....1</v>
      </c>
      <c r="T47" s="508" t="s">
        <v>405</v>
      </c>
      <c r="U47" s="523"/>
      <c r="V47" s="2377"/>
      <c r="W47" s="2378"/>
      <c r="X47" s="2378"/>
      <c r="Y47" s="2378"/>
      <c r="Z47" s="2378"/>
      <c r="AA47" s="2378"/>
      <c r="AB47" s="2378"/>
      <c r="AC47" s="2379"/>
      <c r="AD47" s="2377"/>
      <c r="AE47" s="2378"/>
      <c r="AF47" s="2378"/>
      <c r="AG47" s="2378"/>
      <c r="AH47" s="2378"/>
      <c r="AI47" s="2378"/>
      <c r="AJ47" s="2378"/>
      <c r="AK47" s="2378"/>
      <c r="AL47" s="2379"/>
      <c r="AM47" s="1485" t="s">
        <v>406</v>
      </c>
      <c r="AO47" s="1852"/>
      <c r="AP47" s="1852" t="str">
        <f>IF(T47="","",T47)</f>
        <v>Схема подключения теплопотребляющей установки к коллектору источника тепловой энергии</v>
      </c>
      <c r="AQ47" s="1852"/>
      <c r="AR47" s="1852"/>
    </row>
    <row customHeight="1" ht="21">
      <c r="A48" s="1495" t="s">
        <v>209</v>
      </c>
      <c r="B48" s="1495" t="s">
        <v>210</v>
      </c>
      <c r="C48" s="1495" t="s">
        <v>211</v>
      </c>
      <c r="D48" s="1495" t="s">
        <v>212</v>
      </c>
      <c r="E48" s="2425"/>
      <c r="F48" s="2425"/>
      <c r="G48" s="2425"/>
      <c r="H48" s="2425"/>
      <c r="I48" s="2238"/>
      <c r="J48" s="2254" t="str">
        <f>I47&amp;".1"</f>
        <v>....1.1</v>
      </c>
      <c r="K48" s="1495"/>
      <c r="L48" s="1538" t="s">
        <v>407</v>
      </c>
      <c r="P48" s="2393"/>
      <c r="Q48" s="2393">
        <v>1</v>
      </c>
      <c r="R48" s="580"/>
      <c r="S48" s="2187" t="str">
        <f>$J48</f>
        <v>....1.1</v>
      </c>
      <c r="T48" s="509" t="s">
        <v>408</v>
      </c>
      <c r="U48" s="523"/>
      <c r="V48" s="2377"/>
      <c r="W48" s="2378"/>
      <c r="X48" s="2378"/>
      <c r="Y48" s="2378"/>
      <c r="Z48" s="2378"/>
      <c r="AA48" s="2378"/>
      <c r="AB48" s="2378"/>
      <c r="AC48" s="2379"/>
      <c r="AD48" s="2377"/>
      <c r="AE48" s="2378"/>
      <c r="AF48" s="2378"/>
      <c r="AG48" s="2378"/>
      <c r="AH48" s="2378"/>
      <c r="AI48" s="2378"/>
      <c r="AJ48" s="2378"/>
      <c r="AK48" s="2378"/>
      <c r="AL48" s="2379"/>
      <c r="AM48" s="1485" t="s">
        <v>409</v>
      </c>
      <c r="AO48" s="1852"/>
      <c r="AP48" s="1852" t="str">
        <f>IF(T48="","",T48)</f>
        <v>Группа потребителей</v>
      </c>
      <c r="AQ48" s="1852"/>
      <c r="AR48" s="1852"/>
    </row>
    <row customHeight="1" ht="21">
      <c r="A49" s="1495" t="s">
        <v>209</v>
      </c>
      <c r="B49" s="1495" t="s">
        <v>210</v>
      </c>
      <c r="C49" s="1495" t="s">
        <v>211</v>
      </c>
      <c r="D49" s="1495" t="s">
        <v>212</v>
      </c>
      <c r="E49" s="2425"/>
      <c r="F49" s="2425"/>
      <c r="G49" s="2425"/>
      <c r="H49" s="2425"/>
      <c r="I49" s="2238"/>
      <c r="J49" s="2238"/>
      <c r="K49" s="2254" t="str">
        <f>J48&amp;".1"</f>
        <v>....1.1.1</v>
      </c>
      <c r="L49" s="1538" t="s">
        <v>410</v>
      </c>
      <c r="P49" s="2393"/>
      <c r="Q49" s="2393"/>
      <c r="R49" s="580">
        <v>1</v>
      </c>
      <c r="S49" s="2187" t="str">
        <f>$K49</f>
        <v>....1.1.1</v>
      </c>
      <c r="T49" s="1575"/>
      <c r="U49" s="523"/>
      <c r="V49" s="974"/>
      <c r="W49" s="548"/>
      <c r="X49" s="974"/>
      <c r="Y49" s="1484"/>
      <c r="Z49" s="2394"/>
      <c r="AA49" s="2264" t="s">
        <v>66</v>
      </c>
      <c r="AB49" s="2394"/>
      <c r="AC49" s="2264" t="s">
        <v>66</v>
      </c>
      <c r="AD49" s="974"/>
      <c r="AE49" s="548"/>
      <c r="AF49" s="974"/>
      <c r="AG49" s="1484"/>
      <c r="AH49" s="2394"/>
      <c r="AI49" s="2264" t="s">
        <v>66</v>
      </c>
      <c r="AJ49" s="2396"/>
      <c r="AK49" s="2264" t="s">
        <v>66</v>
      </c>
      <c r="AL49" s="1576"/>
      <c r="AM49" s="2419" t="s">
        <v>411</v>
      </c>
      <c r="AN49" s="1864">
        <f>STRCHECKDATE(V50:AL50)</f>
      </c>
      <c r="AO49" s="1852"/>
      <c r="AP49" s="1852" t="str">
        <f>IF(T49="","",T49)</f>
        <v/>
      </c>
      <c r="AQ49" s="1852"/>
      <c r="AR49" s="1852"/>
    </row>
    <row customHeight="1" ht="0.75">
      <c r="A50" s="1495" t="s">
        <v>209</v>
      </c>
      <c r="B50" s="1495" t="s">
        <v>210</v>
      </c>
      <c r="C50" s="1495" t="s">
        <v>211</v>
      </c>
      <c r="D50" s="1495" t="s">
        <v>212</v>
      </c>
      <c r="E50" s="2425"/>
      <c r="F50" s="2425"/>
      <c r="G50" s="2425"/>
      <c r="H50" s="2425"/>
      <c r="I50" s="2238"/>
      <c r="J50" s="2238"/>
      <c r="K50" s="2254"/>
      <c r="L50" s="1538"/>
      <c r="P50" s="2393"/>
      <c r="Q50" s="2393"/>
      <c r="R50" s="580"/>
      <c r="S50" s="2196"/>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1852"/>
      <c r="AP50" s="1852" t="str">
        <f>IF(T50="","",T50)</f>
        <v/>
      </c>
      <c r="AQ50" s="1852"/>
      <c r="AR50" s="1852"/>
    </row>
    <row customHeight="1" ht="11.25">
      <c r="A51" s="1495" t="s">
        <v>209</v>
      </c>
      <c r="B51" s="1495" t="s">
        <v>210</v>
      </c>
      <c r="C51" s="1495" t="s">
        <v>211</v>
      </c>
      <c r="D51" s="1495" t="s">
        <v>212</v>
      </c>
      <c r="E51" s="2425"/>
      <c r="F51" s="2425"/>
      <c r="G51" s="2425"/>
      <c r="H51" s="2425"/>
      <c r="I51" s="2238"/>
      <c r="J51" s="2254"/>
      <c r="K51" s="1495"/>
      <c r="L51" s="1538"/>
      <c r="P51" s="2393"/>
      <c r="Q51" s="2393"/>
      <c r="R51" s="579"/>
      <c r="S51" s="1506"/>
      <c r="T51" s="511" t="s">
        <v>412</v>
      </c>
      <c r="U51" s="823"/>
      <c r="V51" s="823"/>
      <c r="W51" s="823"/>
      <c r="X51" s="823"/>
      <c r="Y51" s="823"/>
      <c r="Z51" s="823"/>
      <c r="AA51" s="823"/>
      <c r="AB51" s="823"/>
      <c r="AC51" s="823"/>
      <c r="AD51" s="823"/>
      <c r="AE51" s="823"/>
      <c r="AF51" s="823"/>
      <c r="AG51" s="823"/>
      <c r="AH51" s="823"/>
      <c r="AI51" s="823"/>
      <c r="AJ51" s="823"/>
      <c r="AK51" s="823"/>
      <c r="AL51" s="547"/>
      <c r="AM51" s="2421"/>
      <c r="AO51" s="1852"/>
      <c r="AP51" s="1852" t="str">
        <f>IF(T51="","",T51)</f>
        <v>Добавить вид теплоносителя (параметры теплоносителя)</v>
      </c>
      <c r="AQ51" s="1852"/>
      <c r="AR51" s="1852"/>
    </row>
    <row customHeight="1" ht="11.25">
      <c r="A52" s="1495" t="s">
        <v>209</v>
      </c>
      <c r="B52" s="1495" t="s">
        <v>210</v>
      </c>
      <c r="C52" s="1495" t="s">
        <v>211</v>
      </c>
      <c r="D52" s="1495" t="s">
        <v>212</v>
      </c>
      <c r="E52" s="2425"/>
      <c r="F52" s="2425"/>
      <c r="G52" s="2425"/>
      <c r="H52" s="2425"/>
      <c r="I52" s="2254"/>
      <c r="J52" s="1495"/>
      <c r="K52" s="1495"/>
      <c r="L52" s="1538"/>
      <c r="P52" s="2393"/>
      <c r="Q52" s="2183"/>
      <c r="R52" s="579"/>
      <c r="S52" s="1506"/>
      <c r="T52" s="510" t="s">
        <v>413</v>
      </c>
      <c r="U52" s="823"/>
      <c r="V52" s="823"/>
      <c r="W52" s="823"/>
      <c r="X52" s="823"/>
      <c r="Y52" s="823"/>
      <c r="Z52" s="823"/>
      <c r="AA52" s="823"/>
      <c r="AB52" s="823"/>
      <c r="AC52" s="589"/>
      <c r="AD52" s="823"/>
      <c r="AE52" s="823"/>
      <c r="AF52" s="823"/>
      <c r="AG52" s="823"/>
      <c r="AH52" s="823"/>
      <c r="AI52" s="823"/>
      <c r="AJ52" s="823"/>
      <c r="AK52" s="589"/>
      <c r="AL52" s="823"/>
      <c r="AM52" s="526"/>
      <c r="AO52" s="1852"/>
      <c r="AP52" s="1852" t="str">
        <f>IF(T52="","",T52)</f>
        <v>Добавить группу потребителей</v>
      </c>
      <c r="AQ52" s="1852"/>
      <c r="AR52" s="1852"/>
    </row>
    <row customHeight="1" ht="14.25">
      <c r="A53" s="1495" t="s">
        <v>209</v>
      </c>
      <c r="B53" s="1495" t="s">
        <v>210</v>
      </c>
      <c r="C53" s="1495" t="s">
        <v>211</v>
      </c>
      <c r="D53" s="1495" t="s">
        <v>212</v>
      </c>
      <c r="E53" s="2425"/>
      <c r="F53" s="2425"/>
      <c r="G53" s="2425"/>
      <c r="H53" s="2424"/>
      <c r="I53" s="1495"/>
      <c r="J53" s="1495"/>
      <c r="K53" s="1495"/>
      <c r="L53" s="1538"/>
      <c r="M53" s="1838"/>
      <c r="N53" s="1838"/>
      <c r="O53" s="1863"/>
      <c r="P53" s="583"/>
      <c r="Q53" s="598"/>
      <c r="R53" s="578"/>
      <c r="S53" s="1506"/>
      <c r="T53" s="588" t="s">
        <v>414</v>
      </c>
      <c r="U53" s="823"/>
      <c r="V53" s="823"/>
      <c r="W53" s="823"/>
      <c r="X53" s="823"/>
      <c r="Y53" s="823"/>
      <c r="Z53" s="823"/>
      <c r="AA53" s="823"/>
      <c r="AB53" s="823"/>
      <c r="AC53" s="589"/>
      <c r="AD53" s="823"/>
      <c r="AE53" s="823"/>
      <c r="AF53" s="823"/>
      <c r="AG53" s="823"/>
      <c r="AH53" s="823"/>
      <c r="AI53" s="823"/>
      <c r="AJ53" s="823"/>
      <c r="AK53" s="589"/>
      <c r="AL53" s="823"/>
      <c r="AM53" s="526"/>
      <c r="AO53" s="1852"/>
      <c r="AP53" s="1852" t="str">
        <f>IF(T53="","",T53)</f>
        <v>Добавить схему подключения</v>
      </c>
      <c r="AQ53" s="1852"/>
      <c r="AR53" s="1852"/>
    </row>
    <row s="13639" customFormat="1" customHeight="1" ht="0.75">
      <c r="A54" s="1603" t="s">
        <v>209</v>
      </c>
      <c r="B54" s="1603" t="s">
        <v>210</v>
      </c>
      <c r="C54" s="1603" t="s">
        <v>211</v>
      </c>
      <c r="D54" s="1602"/>
      <c r="E54" s="2425"/>
      <c r="F54" s="2425"/>
      <c r="G54" s="2424"/>
      <c r="H54" s="1602"/>
      <c r="I54" s="1602"/>
      <c r="J54" s="1602"/>
      <c r="K54" s="1602"/>
      <c r="L54" s="1605"/>
      <c r="M54" s="1606"/>
      <c r="N54" s="1606"/>
      <c r="O54" s="574"/>
      <c r="P54" s="1544"/>
      <c r="Q54" s="1545"/>
      <c r="R54" s="1544"/>
      <c r="S54" s="1550"/>
      <c r="T54" s="1553" t="s">
        <v>415</v>
      </c>
      <c r="U54" s="1552"/>
      <c r="V54" s="1552"/>
      <c r="W54" s="1552"/>
      <c r="X54" s="1552"/>
      <c r="Y54" s="1552"/>
      <c r="Z54" s="1552"/>
      <c r="AA54" s="1552"/>
      <c r="AB54" s="1552"/>
      <c r="AC54" s="1552"/>
      <c r="AD54" s="1552"/>
      <c r="AE54" s="1552"/>
      <c r="AF54" s="1552"/>
      <c r="AG54" s="1552"/>
      <c r="AH54" s="1552"/>
      <c r="AI54" s="1552"/>
      <c r="AJ54" s="1552"/>
      <c r="AK54" s="1552"/>
      <c r="AL54" s="1552"/>
      <c r="AM54" s="1552"/>
      <c r="AO54" s="1478"/>
      <c r="AP54" s="1478" t="str">
        <f>IF(T54="","",T54)</f>
        <v>Добавить источник для дифференциации</v>
      </c>
      <c r="AQ54" s="1478"/>
      <c r="AR54" s="1478"/>
    </row>
    <row s="13639" customFormat="1" customHeight="1" ht="0.75">
      <c r="A55" s="1603" t="s">
        <v>209</v>
      </c>
      <c r="B55" s="1603" t="s">
        <v>210</v>
      </c>
      <c r="C55" s="1602"/>
      <c r="D55" s="1602"/>
      <c r="E55" s="2425"/>
      <c r="F55" s="2424"/>
      <c r="G55" s="1602"/>
      <c r="H55" s="1602"/>
      <c r="I55" s="1602"/>
      <c r="J55" s="1602"/>
      <c r="K55" s="1602"/>
      <c r="L55" s="1605"/>
      <c r="M55" s="1607"/>
      <c r="N55" s="1607"/>
      <c r="O55" s="574"/>
      <c r="P55" s="1544"/>
      <c r="Q55" s="1545"/>
      <c r="R55" s="1544"/>
      <c r="S55" s="1550"/>
      <c r="T55" s="1553" t="s">
        <v>252</v>
      </c>
      <c r="U55" s="1552"/>
      <c r="V55" s="1552"/>
      <c r="W55" s="1552"/>
      <c r="X55" s="1552"/>
      <c r="Y55" s="1552"/>
      <c r="Z55" s="1552"/>
      <c r="AA55" s="1552"/>
      <c r="AB55" s="1552"/>
      <c r="AC55" s="1552"/>
      <c r="AD55" s="1552"/>
      <c r="AE55" s="1552"/>
      <c r="AF55" s="1552"/>
      <c r="AG55" s="1552"/>
      <c r="AH55" s="1552"/>
      <c r="AI55" s="1552"/>
      <c r="AJ55" s="1552"/>
      <c r="AK55" s="1552"/>
      <c r="AL55" s="1552"/>
      <c r="AM55" s="1552"/>
      <c r="AO55" s="1478"/>
      <c r="AP55" s="1478" t="str">
        <f>IF(T55="","",T55)</f>
        <v>Добавить централизованную систему для дифференциации</v>
      </c>
      <c r="AQ55" s="1478"/>
      <c r="AR55" s="1478"/>
    </row>
    <row s="13659" customFormat="1" customHeight="1" ht="0.75">
      <c r="A56" s="1603" t="s">
        <v>209</v>
      </c>
      <c r="B56" s="1603"/>
      <c r="C56" s="1603"/>
      <c r="D56" s="1603"/>
      <c r="E56" s="2424"/>
      <c r="F56" s="1603"/>
      <c r="G56" s="1603"/>
      <c r="H56" s="1603"/>
      <c r="I56" s="1603"/>
      <c r="J56" s="1603"/>
      <c r="K56" s="1603"/>
      <c r="L56" s="1609"/>
      <c r="M56" s="1607"/>
      <c r="N56" s="1607"/>
      <c r="O56" s="574"/>
      <c r="P56" s="603"/>
      <c r="Q56" s="1572"/>
      <c r="R56" s="603"/>
      <c r="S56" s="1550"/>
      <c r="T56" s="1553" t="s">
        <v>253</v>
      </c>
      <c r="U56" s="1552"/>
      <c r="V56" s="1552"/>
      <c r="W56" s="1552"/>
      <c r="X56" s="1552"/>
      <c r="Y56" s="1552"/>
      <c r="Z56" s="1552"/>
      <c r="AA56" s="1552"/>
      <c r="AB56" s="1552"/>
      <c r="AC56" s="1552"/>
      <c r="AD56" s="1552"/>
      <c r="AE56" s="1552"/>
      <c r="AF56" s="1552"/>
      <c r="AG56" s="1552"/>
      <c r="AH56" s="1552"/>
      <c r="AI56" s="1552"/>
      <c r="AJ56" s="1552"/>
      <c r="AK56" s="1552"/>
      <c r="AL56" s="1552"/>
      <c r="AM56" s="1552"/>
      <c r="AO56" s="1852"/>
      <c r="AP56" s="1852" t="str">
        <f>IF(T56="","",T56)</f>
        <v>Добавить территорию для дифференциации</v>
      </c>
      <c r="AQ56" s="1852"/>
      <c r="AR56" s="1852"/>
    </row>
    <row s="13639" customFormat="1" customHeight="1" ht="0.75">
      <c r="A57" s="1602"/>
      <c r="B57" s="1602"/>
      <c r="C57" s="1602"/>
      <c r="D57" s="1602"/>
      <c r="E57" s="1603"/>
      <c r="F57" s="1602"/>
      <c r="G57" s="1602"/>
      <c r="H57" s="1602"/>
      <c r="I57" s="1602"/>
      <c r="J57" s="1602"/>
      <c r="K57" s="1602"/>
      <c r="L57" s="1605"/>
      <c r="M57" s="1607"/>
      <c r="N57" s="1607"/>
      <c r="O57" s="574"/>
      <c r="P57" s="1544"/>
      <c r="Q57" s="1545"/>
      <c r="R57" s="1544"/>
      <c r="S57" s="1550"/>
      <c r="T57" s="1553" t="s">
        <v>254</v>
      </c>
      <c r="U57" s="1552"/>
      <c r="V57" s="1552"/>
      <c r="W57" s="1552"/>
      <c r="X57" s="1552"/>
      <c r="Y57" s="1552"/>
      <c r="Z57" s="1552"/>
      <c r="AA57" s="1552"/>
      <c r="AB57" s="1552"/>
      <c r="AC57" s="1552"/>
      <c r="AD57" s="1552"/>
      <c r="AE57" s="1552"/>
      <c r="AF57" s="1552"/>
      <c r="AG57" s="1552"/>
      <c r="AH57" s="1552"/>
      <c r="AI57" s="1552"/>
      <c r="AJ57" s="1552"/>
      <c r="AK57" s="1552"/>
      <c r="AL57" s="1552"/>
      <c r="AM57" s="1552"/>
      <c r="AO57" s="1478"/>
      <c r="AP57" s="1478" t="str">
        <f>IF(T57="","",T57)</f>
        <v>Добавить наименование тарифа</v>
      </c>
      <c r="AQ57" s="1478"/>
      <c r="AR57" s="1478"/>
    </row>
    <row customHeight="1" ht="11.25">
      <c r="M58" s="1859"/>
      <c r="N58" s="1859"/>
      <c r="O58" s="1863"/>
      <c r="P58" s="1859"/>
      <c r="Q58" s="1859"/>
      <c r="R58" s="1859"/>
      <c r="S58" s="1859"/>
      <c r="AN58" s="1859"/>
      <c r="AO58" s="1859"/>
      <c r="AP58" s="1859"/>
      <c r="AQ58" s="1859"/>
      <c r="AR58" s="1859"/>
    </row>
    <row customHeight="1" ht="27">
      <c r="O59" s="1863"/>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2.25">
      <c r="O60" s="1863"/>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1863"/>
    </row>
    <row customHeight="1" ht="18">
      <c r="O62" s="1863"/>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1863"/>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1863"/>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9E9F1-662D-D2B3-AE95-31EDD0EF57DD}"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3661" width="10.57421875" hidden="1"/>
    <col min="2" max="2" style="13661" width="11.00390625" hidden="1" customWidth="1"/>
    <col min="3" max="3" style="13661" width="10.57421875" hidden="1"/>
    <col min="4" max="4" style="13661" width="11.8515625" hidden="1" customWidth="1"/>
    <col min="5" max="5" style="13661" width="10.00390625" hidden="1" customWidth="1"/>
    <col min="6" max="6" style="13661" width="8.7109375" hidden="1" customWidth="1"/>
    <col min="7" max="7" style="13661" width="7.57421875" hidden="1" customWidth="1"/>
    <col min="8" max="8" style="13661" width="11.421875" hidden="1" customWidth="1"/>
    <col min="9" max="9" style="13661" width="12.00390625" hidden="1" customWidth="1"/>
    <col min="10" max="10" style="13661" width="9.8515625" hidden="1" customWidth="1"/>
    <col min="11" max="11" style="13661" width="11.421875" hidden="1" customWidth="1"/>
    <col min="12" max="12" style="13662" width="19.140625" hidden="1" customWidth="1"/>
    <col min="13" max="14" style="13663" width="12.28125" hidden="1" customWidth="1"/>
    <col min="15" max="15" style="13663" width="23.421875" hidden="1" customWidth="1"/>
    <col min="16" max="16" style="13663" width="3.7109375" customWidth="1"/>
    <col min="17" max="18" style="13617" width="3.7109375" customWidth="1"/>
    <col min="19" max="19" style="13618" width="12.7109375" customWidth="1"/>
    <col min="20" max="20" style="13661" width="32.00390625" customWidth="1"/>
    <col min="21" max="21" style="13661" width="0.140625" customWidth="1"/>
    <col min="22" max="22" style="13661" width="24.7109375" hidden="1" customWidth="1"/>
    <col min="23" max="23" style="13661" width="0.140625" hidden="1" customWidth="1"/>
    <col min="24" max="25" style="13661" width="24.7109375" hidden="1" customWidth="1"/>
    <col min="26" max="26" style="13661" width="11.7109375" hidden="1" customWidth="1"/>
    <col min="27" max="27" style="13661" width="3.7109375" hidden="1" customWidth="1"/>
    <col min="28" max="28" style="13661" width="11.7109375" hidden="1" customWidth="1"/>
    <col min="29" max="29" style="13661" width="8.57421875" hidden="1" customWidth="1"/>
    <col min="30" max="30" style="13661" width="24.7109375" customWidth="1"/>
    <col min="31" max="31" style="13661" width="0.140625" customWidth="1"/>
    <col min="32" max="33" style="13661" width="24.7109375" customWidth="1"/>
    <col min="34" max="34" style="13661" width="11.7109375" customWidth="1"/>
    <col min="35" max="35" style="13661" width="3.7109375" customWidth="1"/>
    <col min="36" max="36" style="13661" width="11.7109375" customWidth="1"/>
    <col min="37" max="37" style="13661" width="8.57421875" hidden="1" customWidth="1"/>
    <col min="38" max="38" style="13661" width="4.7109375" customWidth="1"/>
    <col min="39" max="39" style="13661" width="115.7109375" customWidth="1"/>
    <col min="40" max="41" style="13659" width="10.57421875"/>
    <col min="42" max="42" style="13659" width="11.140625" customWidth="1"/>
    <col min="43" max="44" style="13659" width="10.57421875"/>
  </cols>
  <sheetData>
    <row customHeight="1" ht="14.25" hidden="1"/>
    <row customHeight="1" ht="21" hidden="1">
      <c r="A2" s="1495"/>
      <c r="B2" s="1495"/>
      <c r="C2" s="1495"/>
      <c r="D2" s="1495"/>
      <c r="E2" s="2424">
        <v>1</v>
      </c>
      <c r="F2" s="1495"/>
      <c r="G2" s="1495"/>
      <c r="H2" s="1495"/>
      <c r="I2" s="1495"/>
      <c r="J2" s="1495"/>
      <c r="K2" s="1495"/>
      <c r="L2" s="1538"/>
      <c r="M2" s="1838"/>
      <c r="N2" s="1838"/>
      <c r="O2" s="1838"/>
      <c r="P2" s="1818"/>
      <c r="Q2" s="583"/>
      <c r="R2" s="578"/>
      <c r="S2" s="2187">
        <f>INDEX(PT_DIFFERENTIATION_NUM_NTAR,MATCH(A2,PT_DIFFERENTIATION_NTAR_ID,0))</f>
      </c>
      <c r="T2" s="1753" t="s">
        <v>122</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397</v>
      </c>
      <c r="AO2" s="1852"/>
      <c r="AP2" s="1852" t="str">
        <f>IF(T2="","",T2)</f>
        <v>Наименование тарифа</v>
      </c>
      <c r="AQ2" s="1852"/>
      <c r="AR2" s="1852"/>
    </row>
    <row customHeight="1" ht="21" hidden="1">
      <c r="A3" s="1495"/>
      <c r="B3" s="1495"/>
      <c r="C3" s="1495"/>
      <c r="D3" s="1495"/>
      <c r="E3" s="2425"/>
      <c r="F3" s="2424">
        <v>1</v>
      </c>
      <c r="G3" s="1495"/>
      <c r="H3" s="1495"/>
      <c r="I3" s="1495"/>
      <c r="J3" s="1495"/>
      <c r="K3" s="1495"/>
      <c r="L3" s="1538"/>
      <c r="M3" s="1838"/>
      <c r="N3" s="1838"/>
      <c r="O3" s="1838"/>
      <c r="P3" s="2169"/>
      <c r="Q3" s="575"/>
      <c r="R3" s="576"/>
      <c r="S3" s="2187">
        <f>INDEX(PT_DIFFERENTIATION_NUM_TER,MATCH(B3,PT_DIFFERENTIATION_TER_ID,0))</f>
      </c>
      <c r="T3" s="1750" t="s">
        <v>398</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399</v>
      </c>
      <c r="AO3" s="1852"/>
      <c r="AP3" s="1852" t="str">
        <f>IF(T3="","",T3)</f>
        <v>Территория действия тарифа</v>
      </c>
      <c r="AQ3" s="1852"/>
      <c r="AR3" s="1852"/>
    </row>
    <row customHeight="1" ht="23.25" hidden="1">
      <c r="A4" s="1495"/>
      <c r="B4" s="1495"/>
      <c r="C4" s="1495"/>
      <c r="D4" s="1495"/>
      <c r="E4" s="2425"/>
      <c r="F4" s="2425"/>
      <c r="G4" s="2424">
        <v>1</v>
      </c>
      <c r="H4" s="1495"/>
      <c r="I4" s="1495"/>
      <c r="J4" s="1495"/>
      <c r="K4" s="1495"/>
      <c r="L4" s="1538"/>
      <c r="M4" s="1838"/>
      <c r="N4" s="1838"/>
      <c r="O4" s="1838"/>
      <c r="P4" s="577"/>
      <c r="Q4" s="575"/>
      <c r="R4" s="576"/>
      <c r="S4" s="2187">
        <f>INDEX(PT_DIFFERENTIATION_NUM_CS,MATCH(C4,PT_DIFFERENTIATION_CS_ID,0))</f>
      </c>
      <c r="T4" s="532" t="s">
        <v>400</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401</v>
      </c>
      <c r="AO4" s="1852"/>
      <c r="AP4" s="1852" t="str">
        <f>IF(T4="","",T4)</f>
        <v>Наименование системы теплоснабжения </v>
      </c>
      <c r="AQ4" s="1852"/>
      <c r="AR4" s="1852"/>
    </row>
    <row customHeight="1" ht="21" hidden="1">
      <c r="A5" s="1495"/>
      <c r="B5" s="1495"/>
      <c r="C5" s="1495"/>
      <c r="D5" s="1495"/>
      <c r="E5" s="2425"/>
      <c r="F5" s="2425"/>
      <c r="G5" s="2425"/>
      <c r="H5" s="2424">
        <v>1</v>
      </c>
      <c r="I5" s="1495"/>
      <c r="J5" s="1495"/>
      <c r="K5" s="1495"/>
      <c r="L5" s="1538"/>
      <c r="M5" s="1838"/>
      <c r="N5" s="1838"/>
      <c r="O5" s="1838"/>
      <c r="P5" s="577"/>
      <c r="Q5" s="575"/>
      <c r="R5" s="576"/>
      <c r="S5" s="2187">
        <f>INDEX(PT_DIFFERENTIATION_NUM_IST_TE,MATCH(D5,PT_DIFFERENTIATION_IST_TE_ID,0))</f>
      </c>
      <c r="T5" s="533" t="s">
        <v>402</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403</v>
      </c>
      <c r="AO5" s="1852"/>
      <c r="AP5" s="1852" t="str">
        <f>IF(T5="","",T5)</f>
        <v>Источник тепловой энергии  </v>
      </c>
      <c r="AQ5" s="1852"/>
      <c r="AR5" s="1852"/>
    </row>
    <row customHeight="1" ht="47.25" hidden="1">
      <c r="A6" s="1495"/>
      <c r="B6" s="1495"/>
      <c r="C6" s="1495"/>
      <c r="D6" s="1495"/>
      <c r="E6" s="2425"/>
      <c r="F6" s="2425"/>
      <c r="G6" s="2425"/>
      <c r="H6" s="2425"/>
      <c r="I6" s="2254">
        <f>S5&amp;".1"</f>
      </c>
      <c r="J6" s="1495"/>
      <c r="K6" s="1495"/>
      <c r="L6" s="1538" t="s">
        <v>404</v>
      </c>
      <c r="M6" s="1863"/>
      <c r="P6" s="2393">
        <v>1</v>
      </c>
      <c r="Q6" s="2183"/>
      <c r="R6" s="579"/>
      <c r="S6" s="2187">
        <f>$I6</f>
      </c>
      <c r="T6" s="508" t="s">
        <v>405</v>
      </c>
      <c r="U6" s="523"/>
      <c r="V6" s="2377"/>
      <c r="W6" s="2378"/>
      <c r="X6" s="2378"/>
      <c r="Y6" s="2378"/>
      <c r="Z6" s="2378"/>
      <c r="AA6" s="2378"/>
      <c r="AB6" s="2378"/>
      <c r="AC6" s="2379"/>
      <c r="AD6" s="2377"/>
      <c r="AE6" s="2378"/>
      <c r="AF6" s="2378"/>
      <c r="AG6" s="2378"/>
      <c r="AH6" s="2378"/>
      <c r="AI6" s="2378"/>
      <c r="AJ6" s="2378"/>
      <c r="AK6" s="2378"/>
      <c r="AL6" s="2379"/>
      <c r="AM6" s="1485" t="s">
        <v>406</v>
      </c>
      <c r="AO6" s="1852"/>
      <c r="AP6" s="1852" t="str">
        <f>IF(T6="","",T6)</f>
        <v>Схема подключения теплопотребляющей установки к коллектору источника тепловой энергии</v>
      </c>
      <c r="AQ6" s="1852"/>
      <c r="AR6" s="1852"/>
    </row>
    <row customHeight="1" ht="21" hidden="1">
      <c r="A7" s="1495"/>
      <c r="B7" s="1495"/>
      <c r="C7" s="1495"/>
      <c r="D7" s="1495"/>
      <c r="E7" s="2425"/>
      <c r="F7" s="2425"/>
      <c r="G7" s="2425"/>
      <c r="H7" s="2425"/>
      <c r="I7" s="2238"/>
      <c r="J7" s="2254">
        <f>I6&amp;".1"</f>
      </c>
      <c r="K7" s="1495"/>
      <c r="L7" s="1538" t="s">
        <v>407</v>
      </c>
      <c r="M7" s="1863"/>
      <c r="N7" s="1859"/>
      <c r="P7" s="2393"/>
      <c r="Q7" s="2393">
        <v>1</v>
      </c>
      <c r="R7" s="580"/>
      <c r="S7" s="2187">
        <f>$J7</f>
      </c>
      <c r="T7" s="509" t="s">
        <v>408</v>
      </c>
      <c r="U7" s="523"/>
      <c r="V7" s="2377"/>
      <c r="W7" s="2378"/>
      <c r="X7" s="2378"/>
      <c r="Y7" s="2378"/>
      <c r="Z7" s="2378"/>
      <c r="AA7" s="2378"/>
      <c r="AB7" s="2378"/>
      <c r="AC7" s="2379"/>
      <c r="AD7" s="2377"/>
      <c r="AE7" s="2378"/>
      <c r="AF7" s="2378"/>
      <c r="AG7" s="2378"/>
      <c r="AH7" s="2378"/>
      <c r="AI7" s="2378"/>
      <c r="AJ7" s="2378"/>
      <c r="AK7" s="2378"/>
      <c r="AL7" s="2379"/>
      <c r="AM7" s="1485" t="s">
        <v>409</v>
      </c>
      <c r="AO7" s="1852"/>
      <c r="AP7" s="1852" t="str">
        <f>IF(T7="","",T7)</f>
        <v>Группа потребителей</v>
      </c>
      <c r="AQ7" s="1852"/>
      <c r="AR7" s="1852"/>
    </row>
    <row customHeight="1" ht="21" hidden="1">
      <c r="A8" s="1495"/>
      <c r="B8" s="1495"/>
      <c r="C8" s="1495"/>
      <c r="D8" s="1495"/>
      <c r="E8" s="2425"/>
      <c r="F8" s="2425"/>
      <c r="G8" s="2425"/>
      <c r="H8" s="2425"/>
      <c r="I8" s="2238"/>
      <c r="J8" s="2238"/>
      <c r="K8" s="2254">
        <f>J7&amp;".1"</f>
      </c>
      <c r="L8" s="1538" t="s">
        <v>410</v>
      </c>
      <c r="M8" s="1863"/>
      <c r="N8" s="1859"/>
      <c r="O8" s="1859"/>
      <c r="P8" s="2393"/>
      <c r="Q8" s="2393"/>
      <c r="R8" s="580">
        <v>1</v>
      </c>
      <c r="S8" s="2187">
        <f>$K8</f>
      </c>
      <c r="T8" s="1575"/>
      <c r="U8" s="523"/>
      <c r="V8" s="974"/>
      <c r="W8" s="548"/>
      <c r="X8" s="974"/>
      <c r="Y8" s="1484"/>
      <c r="Z8" s="2394"/>
      <c r="AA8" s="2264" t="s">
        <v>66</v>
      </c>
      <c r="AB8" s="2394"/>
      <c r="AC8" s="2264" t="s">
        <v>66</v>
      </c>
      <c r="AD8" s="974"/>
      <c r="AE8" s="548"/>
      <c r="AF8" s="974"/>
      <c r="AG8" s="1484"/>
      <c r="AH8" s="2394"/>
      <c r="AI8" s="2264" t="s">
        <v>66</v>
      </c>
      <c r="AJ8" s="2394"/>
      <c r="AK8" s="2264" t="s">
        <v>66</v>
      </c>
      <c r="AL8" s="548"/>
      <c r="AM8" s="2419" t="s">
        <v>411</v>
      </c>
      <c r="AN8" s="1864">
        <f>STRCHECKDATE(V9:AL9)</f>
      </c>
      <c r="AO8" s="1852"/>
      <c r="AP8" s="1852" t="str">
        <f>IF(T8="","",T8)</f>
        <v/>
      </c>
      <c r="AQ8" s="1852"/>
      <c r="AR8" s="1852"/>
    </row>
    <row customHeight="1" ht="0.75" hidden="1">
      <c r="A9" s="1495"/>
      <c r="B9" s="1495"/>
      <c r="C9" s="1495"/>
      <c r="D9" s="1495"/>
      <c r="E9" s="2425"/>
      <c r="F9" s="2425"/>
      <c r="G9" s="2425"/>
      <c r="H9" s="2425"/>
      <c r="I9" s="2238"/>
      <c r="J9" s="2238"/>
      <c r="K9" s="2254"/>
      <c r="L9" s="1538"/>
      <c r="M9" s="1863"/>
      <c r="N9" s="1859"/>
      <c r="O9" s="1859"/>
      <c r="P9" s="2393"/>
      <c r="Q9" s="2393"/>
      <c r="R9" s="580"/>
      <c r="S9" s="2196"/>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1852"/>
      <c r="AP9" s="1852" t="str">
        <f>IF(T9="","",T9)</f>
        <v/>
      </c>
      <c r="AQ9" s="1852"/>
      <c r="AR9" s="1852"/>
    </row>
    <row customHeight="1" ht="15" hidden="1">
      <c r="A10" s="1495"/>
      <c r="B10" s="1495"/>
      <c r="C10" s="1495"/>
      <c r="D10" s="1495"/>
      <c r="E10" s="2425"/>
      <c r="F10" s="2425"/>
      <c r="G10" s="2425"/>
      <c r="H10" s="2425"/>
      <c r="I10" s="2238"/>
      <c r="J10" s="2254"/>
      <c r="K10" s="1495"/>
      <c r="L10" s="1538"/>
      <c r="M10" s="1863"/>
      <c r="N10" s="1859"/>
      <c r="P10" s="2393"/>
      <c r="Q10" s="2393"/>
      <c r="R10" s="579"/>
      <c r="S10" s="1506"/>
      <c r="T10" s="511" t="s">
        <v>412</v>
      </c>
      <c r="U10" s="823"/>
      <c r="V10" s="823"/>
      <c r="W10" s="823"/>
      <c r="X10" s="823"/>
      <c r="Y10" s="823"/>
      <c r="Z10" s="823"/>
      <c r="AA10" s="823"/>
      <c r="AB10" s="823"/>
      <c r="AC10" s="823"/>
      <c r="AD10" s="823"/>
      <c r="AE10" s="823"/>
      <c r="AF10" s="823"/>
      <c r="AG10" s="823"/>
      <c r="AH10" s="823"/>
      <c r="AI10" s="823"/>
      <c r="AJ10" s="823"/>
      <c r="AK10" s="823"/>
      <c r="AL10" s="547"/>
      <c r="AM10" s="2421"/>
      <c r="AO10" s="1852"/>
      <c r="AP10" s="1852" t="str">
        <f>IF(T10="","",T10)</f>
        <v>Добавить вид теплоносителя (параметры теплоносителя)</v>
      </c>
      <c r="AQ10" s="1852"/>
      <c r="AR10" s="1852"/>
    </row>
    <row customHeight="1" ht="15" hidden="1">
      <c r="A11" s="1495"/>
      <c r="B11" s="1495"/>
      <c r="C11" s="1495"/>
      <c r="D11" s="1495"/>
      <c r="E11" s="2425"/>
      <c r="F11" s="2425"/>
      <c r="G11" s="2425"/>
      <c r="H11" s="2425"/>
      <c r="I11" s="2254"/>
      <c r="J11" s="1495"/>
      <c r="K11" s="1495"/>
      <c r="L11" s="1538"/>
      <c r="M11" s="1863"/>
      <c r="P11" s="2393"/>
      <c r="Q11" s="2183"/>
      <c r="R11" s="579"/>
      <c r="S11" s="1506"/>
      <c r="T11" s="510" t="s">
        <v>413</v>
      </c>
      <c r="U11" s="823"/>
      <c r="V11" s="823"/>
      <c r="W11" s="823"/>
      <c r="X11" s="823"/>
      <c r="Y11" s="823"/>
      <c r="Z11" s="823"/>
      <c r="AA11" s="823"/>
      <c r="AB11" s="823"/>
      <c r="AC11" s="589"/>
      <c r="AD11" s="823"/>
      <c r="AE11" s="823"/>
      <c r="AF11" s="823"/>
      <c r="AG11" s="823"/>
      <c r="AH11" s="823"/>
      <c r="AI11" s="823"/>
      <c r="AJ11" s="823"/>
      <c r="AK11" s="589"/>
      <c r="AL11" s="823"/>
      <c r="AM11" s="526"/>
      <c r="AO11" s="1852"/>
      <c r="AP11" s="1852" t="str">
        <f>IF(T11="","",T11)</f>
        <v>Добавить группу потребителей</v>
      </c>
      <c r="AQ11" s="1852"/>
      <c r="AR11" s="1852"/>
    </row>
    <row customHeight="1" ht="14.25" hidden="1">
      <c r="A12" s="1495"/>
      <c r="B12" s="1495"/>
      <c r="C12" s="1495"/>
      <c r="D12" s="1495"/>
      <c r="E12" s="2425"/>
      <c r="F12" s="2425"/>
      <c r="G12" s="2425"/>
      <c r="H12" s="2424"/>
      <c r="I12" s="1495"/>
      <c r="J12" s="1495"/>
      <c r="K12" s="1495"/>
      <c r="L12" s="1538"/>
      <c r="M12" s="1838"/>
      <c r="N12" s="1838"/>
      <c r="O12" s="1863"/>
      <c r="P12" s="583"/>
      <c r="Q12" s="598"/>
      <c r="R12" s="578"/>
      <c r="S12" s="1506"/>
      <c r="T12" s="588" t="s">
        <v>414</v>
      </c>
      <c r="U12" s="823"/>
      <c r="V12" s="823"/>
      <c r="W12" s="823"/>
      <c r="X12" s="823"/>
      <c r="Y12" s="823"/>
      <c r="Z12" s="823"/>
      <c r="AA12" s="823"/>
      <c r="AB12" s="823"/>
      <c r="AC12" s="589"/>
      <c r="AD12" s="823"/>
      <c r="AE12" s="823"/>
      <c r="AF12" s="823"/>
      <c r="AG12" s="823"/>
      <c r="AH12" s="823"/>
      <c r="AI12" s="823"/>
      <c r="AJ12" s="823"/>
      <c r="AK12" s="589"/>
      <c r="AL12" s="823"/>
      <c r="AM12" s="526"/>
      <c r="AO12" s="1852"/>
      <c r="AP12" s="1852" t="str">
        <f>IF(T12="","",T12)</f>
        <v>Добавить схему подключения</v>
      </c>
      <c r="AQ12" s="1852"/>
      <c r="AR12" s="1852"/>
    </row>
    <row s="13639" customFormat="1" customHeight="1" ht="0.75" hidden="1">
      <c r="A13" s="2204"/>
      <c r="B13" s="2204"/>
      <c r="C13" s="2204"/>
      <c r="D13" s="2204"/>
      <c r="E13" s="2425"/>
      <c r="F13" s="2425"/>
      <c r="G13" s="2424"/>
      <c r="H13" s="2204"/>
      <c r="I13" s="2204"/>
      <c r="J13" s="2204"/>
      <c r="K13" s="2204"/>
      <c r="L13" s="1608"/>
      <c r="M13" s="1838"/>
      <c r="N13" s="1838"/>
      <c r="O13" s="1863"/>
      <c r="P13" s="1544"/>
      <c r="Q13" s="1545"/>
      <c r="R13" s="1544"/>
      <c r="S13" s="1546"/>
      <c r="T13" s="1547" t="s">
        <v>415</v>
      </c>
      <c r="U13" s="1548"/>
      <c r="V13" s="1548"/>
      <c r="W13" s="1548"/>
      <c r="X13" s="1548"/>
      <c r="Y13" s="1548"/>
      <c r="Z13" s="1548"/>
      <c r="AA13" s="1548"/>
      <c r="AB13" s="1548"/>
      <c r="AC13" s="1548"/>
      <c r="AD13" s="1548"/>
      <c r="AE13" s="1548"/>
      <c r="AF13" s="1548"/>
      <c r="AG13" s="1548"/>
      <c r="AH13" s="1548"/>
      <c r="AI13" s="1548"/>
      <c r="AJ13" s="1548"/>
      <c r="AK13" s="1548"/>
      <c r="AL13" s="1548"/>
      <c r="AM13" s="1548"/>
      <c r="AO13" s="1478"/>
      <c r="AP13" s="1478" t="str">
        <f>IF(T13="","",T13)</f>
        <v>Добавить источник для дифференциации</v>
      </c>
      <c r="AQ13" s="1478"/>
      <c r="AR13" s="1478"/>
    </row>
    <row s="13639" customFormat="1" customHeight="1" ht="0.75" hidden="1">
      <c r="A14" s="2204"/>
      <c r="B14" s="2204"/>
      <c r="C14" s="2204"/>
      <c r="D14" s="2204"/>
      <c r="E14" s="2425"/>
      <c r="F14" s="2424"/>
      <c r="G14" s="2204"/>
      <c r="H14" s="2204"/>
      <c r="I14" s="2204"/>
      <c r="J14" s="2204"/>
      <c r="K14" s="2204"/>
      <c r="L14" s="1608"/>
      <c r="M14" s="2205"/>
      <c r="N14" s="2205"/>
      <c r="O14" s="1863"/>
      <c r="P14" s="1544"/>
      <c r="Q14" s="1545"/>
      <c r="R14" s="1544"/>
      <c r="S14" s="1550"/>
      <c r="T14" s="1551" t="s">
        <v>252</v>
      </c>
      <c r="U14" s="1552"/>
      <c r="V14" s="1552"/>
      <c r="W14" s="1552"/>
      <c r="X14" s="1552"/>
      <c r="Y14" s="1552"/>
      <c r="Z14" s="1552"/>
      <c r="AA14" s="1552"/>
      <c r="AB14" s="1552"/>
      <c r="AC14" s="1552"/>
      <c r="AD14" s="1552"/>
      <c r="AE14" s="1552"/>
      <c r="AF14" s="1552"/>
      <c r="AG14" s="1552"/>
      <c r="AH14" s="1552"/>
      <c r="AI14" s="1552"/>
      <c r="AJ14" s="1552"/>
      <c r="AK14" s="1552"/>
      <c r="AL14" s="1552"/>
      <c r="AM14" s="1552"/>
      <c r="AO14" s="1478"/>
      <c r="AP14" s="1478" t="str">
        <f>IF(T14="","",T14)</f>
        <v>Добавить централизованную систему для дифференциации</v>
      </c>
      <c r="AQ14" s="1478"/>
      <c r="AR14" s="1478"/>
    </row>
    <row s="13639" customFormat="1" customHeight="1" ht="0.75" hidden="1">
      <c r="A15" s="2204"/>
      <c r="B15" s="2204"/>
      <c r="C15" s="2204"/>
      <c r="D15" s="2204"/>
      <c r="E15" s="2424"/>
      <c r="F15" s="2204"/>
      <c r="G15" s="2204"/>
      <c r="H15" s="2204"/>
      <c r="I15" s="2204"/>
      <c r="J15" s="2204"/>
      <c r="K15" s="2204"/>
      <c r="L15" s="1608"/>
      <c r="M15" s="2205"/>
      <c r="N15" s="2205"/>
      <c r="O15" s="1863"/>
      <c r="P15" s="1544"/>
      <c r="Q15" s="1545"/>
      <c r="R15" s="1544"/>
      <c r="S15" s="1550"/>
      <c r="T15" s="1553" t="s">
        <v>253</v>
      </c>
      <c r="U15" s="1552"/>
      <c r="V15" s="1552"/>
      <c r="W15" s="1552"/>
      <c r="X15" s="1552"/>
      <c r="Y15" s="1552"/>
      <c r="Z15" s="1552"/>
      <c r="AA15" s="1552"/>
      <c r="AB15" s="1552"/>
      <c r="AC15" s="1552"/>
      <c r="AD15" s="1552"/>
      <c r="AE15" s="1552"/>
      <c r="AF15" s="1552"/>
      <c r="AG15" s="1552"/>
      <c r="AH15" s="1552"/>
      <c r="AI15" s="1552"/>
      <c r="AJ15" s="1552"/>
      <c r="AK15" s="1552"/>
      <c r="AL15" s="1552"/>
      <c r="AM15" s="1552"/>
      <c r="AO15" s="1478"/>
      <c r="AP15" s="1478" t="str">
        <f>IF(T15="","",T15)</f>
        <v>Добавить территорию для дифференциации</v>
      </c>
      <c r="AQ15" s="1478"/>
      <c r="AR15" s="1478"/>
    </row>
    <row customHeight="1" ht="14.25" hidden="1"/>
    <row customHeight="1" ht="14.25" hidden="1">
      <c r="AD17" s="1588"/>
      <c r="AE17" s="1588"/>
      <c r="AF17" s="1588"/>
      <c r="AG17" s="1589"/>
      <c r="AH17" s="2387"/>
      <c r="AI17" s="2386" t="s">
        <v>66</v>
      </c>
      <c r="AJ17" s="2387"/>
      <c r="AK17" s="2386" t="s">
        <v>66</v>
      </c>
    </row>
    <row customHeight="1" ht="14.25" hidden="1">
      <c r="AD18" s="1588"/>
      <c r="AE18" s="1588"/>
      <c r="AF18" s="1588"/>
      <c r="AG18" s="551" t="str">
        <f>AH17&amp;"-"&amp;AJ17</f>
        <v>-</v>
      </c>
      <c r="AH18" s="2386"/>
      <c r="AI18" s="2386"/>
      <c r="AJ18" s="2386"/>
      <c r="AK18" s="2386"/>
    </row>
    <row customHeight="1" ht="14.25" hidden="1"/>
    <row s="13646" customFormat="1" customHeight="1" ht="14.25" hidden="1">
      <c r="A20" s="1859"/>
      <c r="B20" s="1859"/>
      <c r="C20" s="1859"/>
      <c r="D20" s="1859"/>
      <c r="E20" s="1859"/>
      <c r="F20" s="1859"/>
      <c r="G20" s="1859"/>
      <c r="H20" s="1859"/>
      <c r="I20" s="1859"/>
      <c r="J20" s="1859"/>
      <c r="K20" s="1859"/>
      <c r="L20" s="2168"/>
      <c r="M20" s="2194"/>
      <c r="N20" s="2194"/>
      <c r="O20" s="1573" t="s">
        <v>416</v>
      </c>
      <c r="P20" s="1590"/>
      <c r="Q20" s="1599"/>
      <c r="R20" s="1599"/>
      <c r="S20" s="952"/>
      <c r="Z20" s="1595"/>
      <c r="AB20" s="1595"/>
      <c r="AH20" s="1595"/>
      <c r="AJ20" s="1595"/>
      <c r="AN20" s="1864"/>
      <c r="AO20" s="1864"/>
      <c r="AP20" s="1864"/>
      <c r="AQ20" s="1864"/>
      <c r="AR20" s="1864"/>
    </row>
    <row s="13646" customFormat="1" customHeight="1" ht="14.25" hidden="1">
      <c r="A21" s="1859"/>
      <c r="B21" s="1859"/>
      <c r="C21" s="1859"/>
      <c r="D21" s="1859"/>
      <c r="E21" s="1859"/>
      <c r="F21" s="1859"/>
      <c r="G21" s="1859"/>
      <c r="H21" s="1859"/>
      <c r="I21" s="1859"/>
      <c r="J21" s="1859"/>
      <c r="K21" s="1859"/>
      <c r="L21" s="2168"/>
      <c r="M21" s="2194"/>
      <c r="N21" s="2194"/>
      <c r="O21" s="2194"/>
      <c r="P21" s="1590"/>
      <c r="Q21" s="1599"/>
      <c r="R21" s="1599"/>
      <c r="S21" s="952"/>
      <c r="AN21" s="1864"/>
      <c r="AO21" s="1864"/>
      <c r="AP21" s="1864"/>
      <c r="AQ21" s="1864"/>
      <c r="AR21" s="1864"/>
    </row>
    <row s="13646" customFormat="1" customHeight="1" ht="14.25" hidden="1">
      <c r="A22" s="1859"/>
      <c r="B22" s="1859"/>
      <c r="C22" s="1859"/>
      <c r="D22" s="1859"/>
      <c r="E22" s="1859"/>
      <c r="F22" s="1859"/>
      <c r="G22" s="1859"/>
      <c r="H22" s="1859"/>
      <c r="I22" s="1859"/>
      <c r="J22" s="1859"/>
      <c r="K22" s="1859"/>
      <c r="L22" s="2168"/>
      <c r="M22" s="2194"/>
      <c r="N22" s="2194"/>
      <c r="O22" s="1538" t="s">
        <v>417</v>
      </c>
      <c r="P22" s="1590"/>
      <c r="Q22" s="1599"/>
      <c r="R22" s="1599"/>
      <c r="S22" s="952"/>
      <c r="T22" s="1594" t="s">
        <v>418</v>
      </c>
      <c r="AA22" s="818" t="s">
        <v>419</v>
      </c>
      <c r="AC22" s="818" t="s">
        <v>420</v>
      </c>
      <c r="AD22" s="1594" t="s">
        <v>418</v>
      </c>
      <c r="AI22" s="818" t="s">
        <v>421</v>
      </c>
      <c r="AK22" s="818" t="s">
        <v>420</v>
      </c>
      <c r="AN22" s="1864"/>
      <c r="AO22" s="1864"/>
      <c r="AP22" s="1864"/>
      <c r="AQ22" s="1864"/>
      <c r="AR22" s="1864"/>
    </row>
    <row customHeight="1" ht="14.25" hidden="1">
      <c r="O23" s="1538"/>
    </row>
    <row customHeight="1" ht="14.25" hidden="1">
      <c r="O24" s="1538"/>
    </row>
    <row customHeight="1" ht="14.25">
      <c r="Q25" s="599"/>
      <c r="R25" s="599"/>
      <c r="S25" s="1503"/>
      <c r="T25" s="680"/>
      <c r="U25" s="680"/>
      <c r="V25" s="1863"/>
      <c r="W25" s="1863"/>
      <c r="X25" s="1863"/>
      <c r="Y25" s="1863"/>
      <c r="Z25" s="1863"/>
      <c r="AA25" s="1863"/>
      <c r="AB25" s="1863"/>
      <c r="AC25" s="1863"/>
      <c r="AD25" s="1863"/>
      <c r="AE25" s="1863"/>
      <c r="AF25" s="1863"/>
      <c r="AG25" s="1863"/>
      <c r="AH25" s="1863"/>
      <c r="AI25" s="1863"/>
      <c r="AJ25" s="1863"/>
      <c r="AK25" s="1863"/>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ООО "Новая Энергетика"</v>
      </c>
      <c r="T27" s="2423"/>
      <c r="U27" s="2423"/>
      <c r="V27" s="2423"/>
      <c r="W27" s="2423"/>
      <c r="X27" s="2423"/>
      <c r="Y27" s="2423"/>
      <c r="Z27" s="2423"/>
      <c r="AA27" s="2423"/>
      <c r="AB27" s="2423"/>
      <c r="AC27" s="2423"/>
      <c r="AD27" s="2423"/>
      <c r="AE27" s="2423"/>
      <c r="AF27" s="2423"/>
      <c r="AG27" s="2423"/>
      <c r="AH27" s="2423"/>
      <c r="AI27" s="2423"/>
      <c r="AJ27" s="2423"/>
      <c r="AK27" s="1470"/>
    </row>
    <row customHeight="1" ht="14.25" hidden="1">
      <c r="Q28" s="599"/>
      <c r="R28" s="599"/>
      <c r="S28" s="1503"/>
      <c r="T28" s="680"/>
      <c r="U28" s="680"/>
      <c r="V28" s="545"/>
      <c r="W28" s="545"/>
      <c r="X28" s="545"/>
      <c r="Y28" s="545"/>
      <c r="Z28" s="545"/>
      <c r="AA28" s="545"/>
      <c r="AB28" s="545"/>
      <c r="AC28" s="545"/>
      <c r="AD28" s="545"/>
      <c r="AE28" s="545"/>
      <c r="AF28" s="545"/>
      <c r="AG28" s="545"/>
      <c r="AH28" s="545"/>
      <c r="AI28" s="545"/>
      <c r="AJ28" s="545"/>
      <c r="AK28" s="545"/>
      <c r="AL28" s="1863"/>
    </row>
    <row s="13547" customFormat="1" customHeight="1" ht="25.5" hidden="1">
      <c r="A29" s="1475"/>
      <c r="B29" s="1475"/>
      <c r="C29" s="1475"/>
      <c r="D29" s="1475"/>
      <c r="E29" s="1475"/>
      <c r="F29" s="1475"/>
      <c r="G29" s="1475"/>
      <c r="H29" s="1475"/>
      <c r="I29" s="1475"/>
      <c r="J29" s="1475"/>
      <c r="K29" s="1475"/>
      <c r="L29" s="1608"/>
      <c r="M29" s="1475"/>
      <c r="N29" s="1475"/>
      <c r="O29" s="1475"/>
      <c r="S29" s="2380" t="s">
        <v>38</v>
      </c>
      <c r="T29" s="2380"/>
      <c r="U29" s="1600"/>
      <c r="V29" s="2382" t="str">
        <f>IF(TITLE_NAME_OR_PR_CHANGE="",IF(TITLE_NAME_OR_PR="","",TITLE_NAME_OR_PR),TITLE_NAME_OR_PR_CHANGE)</f>
        <v>Агенство по тарифам Приморского края</v>
      </c>
      <c r="W29" s="2382"/>
      <c r="X29" s="2382"/>
      <c r="Y29" s="2382"/>
      <c r="Z29" s="2382"/>
      <c r="AA29" s="2382"/>
      <c r="AB29" s="2382"/>
      <c r="AC29" s="1863"/>
      <c r="AD29" s="2382" t="str">
        <f>IF(TITLE_NAME_OR_PR_CHANGE="",IF(TITLE_NAME_OR_PR="","",TITLE_NAME_OR_PR),TITLE_NAME_OR_PR_CHANGE)</f>
        <v>Агенство по тарифам Приморского края</v>
      </c>
      <c r="AE29" s="2382"/>
      <c r="AF29" s="2382"/>
      <c r="AG29" s="2382"/>
      <c r="AH29" s="2382"/>
      <c r="AI29" s="2382"/>
      <c r="AJ29" s="2382"/>
      <c r="AK29" s="1863"/>
      <c r="AL29" s="1863"/>
      <c r="AM29" s="503"/>
      <c r="AN29" s="591"/>
      <c r="AO29" s="591"/>
      <c r="AP29" s="591"/>
      <c r="AQ29" s="591"/>
      <c r="AR29" s="591"/>
    </row>
    <row s="13547" customFormat="1" customHeight="1" ht="18.75" hidden="1">
      <c r="A30" s="1475"/>
      <c r="B30" s="1475"/>
      <c r="C30" s="1475"/>
      <c r="D30" s="1475"/>
      <c r="E30" s="1475"/>
      <c r="F30" s="1475"/>
      <c r="G30" s="1475"/>
      <c r="H30" s="1475"/>
      <c r="I30" s="1475"/>
      <c r="J30" s="1475"/>
      <c r="K30" s="1475"/>
      <c r="L30" s="1608"/>
      <c r="M30" s="1475"/>
      <c r="N30" s="1475"/>
      <c r="O30" s="1475"/>
      <c r="S30" s="2380" t="s">
        <v>422</v>
      </c>
      <c r="T30" s="2380"/>
      <c r="U30" s="1600"/>
      <c r="V30" s="2381" t="str">
        <f>IF(TITLE_DATE_PR_CHANGE="",IF(TITLE_DATE_PR="","",TITLE_DATE_PR),TITLE_DATE_PR_CHANGE)</f>
        <v>45281.66994212963</v>
      </c>
      <c r="W30" s="2381"/>
      <c r="X30" s="2381"/>
      <c r="Y30" s="2381"/>
      <c r="Z30" s="2381"/>
      <c r="AA30" s="2381"/>
      <c r="AB30" s="2381"/>
      <c r="AC30" s="1863"/>
      <c r="AD30" s="2381" t="str">
        <f>IF(TITLE_DATE_PR_CHANGE="",IF(TITLE_DATE_PR="","",TITLE_DATE_PR),TITLE_DATE_PR_CHANGE)</f>
        <v>45281.66994212963</v>
      </c>
      <c r="AE30" s="2381"/>
      <c r="AF30" s="2381"/>
      <c r="AG30" s="2381"/>
      <c r="AH30" s="2381"/>
      <c r="AI30" s="2381"/>
      <c r="AJ30" s="2381"/>
      <c r="AK30" s="1863"/>
      <c r="AL30" s="1863"/>
      <c r="AM30" s="503"/>
      <c r="AN30" s="591"/>
      <c r="AO30" s="591"/>
      <c r="AP30" s="591"/>
      <c r="AQ30" s="591"/>
      <c r="AR30" s="591"/>
    </row>
    <row s="13547" customFormat="1" customHeight="1" ht="18.75" hidden="1">
      <c r="A31" s="1475"/>
      <c r="B31" s="1475"/>
      <c r="C31" s="1475"/>
      <c r="D31" s="1475"/>
      <c r="E31" s="1475"/>
      <c r="F31" s="1475"/>
      <c r="G31" s="1475"/>
      <c r="H31" s="1475"/>
      <c r="I31" s="1475"/>
      <c r="J31" s="1475"/>
      <c r="K31" s="1475"/>
      <c r="L31" s="1608"/>
      <c r="M31" s="1475"/>
      <c r="N31" s="1475"/>
      <c r="O31" s="1475"/>
      <c r="S31" s="2380" t="s">
        <v>423</v>
      </c>
      <c r="T31" s="2380"/>
      <c r="U31" s="1600"/>
      <c r="V31" s="2382" t="str">
        <f>IF(TITLE_NUMBER_PR_CHANGE="",IF(TITLE_NUMBER_PR="","",TITLE_NUMBER_PR),TITLE_NUMBER_PR_CHANGE)</f>
        <v>72/1</v>
      </c>
      <c r="W31" s="2382"/>
      <c r="X31" s="2382"/>
      <c r="Y31" s="2382"/>
      <c r="Z31" s="2382"/>
      <c r="AA31" s="2382"/>
      <c r="AB31" s="2382"/>
      <c r="AC31" s="1863"/>
      <c r="AD31" s="2382" t="str">
        <f>IF(TITLE_NUMBER_PR_CHANGE="",IF(TITLE_NUMBER_PR="","",TITLE_NUMBER_PR),TITLE_NUMBER_PR_CHANGE)</f>
        <v>72/1</v>
      </c>
      <c r="AE31" s="2382"/>
      <c r="AF31" s="2382"/>
      <c r="AG31" s="2382"/>
      <c r="AH31" s="2382"/>
      <c r="AI31" s="2382"/>
      <c r="AJ31" s="2382"/>
      <c r="AK31" s="1863"/>
      <c r="AL31" s="1863"/>
      <c r="AM31" s="503"/>
      <c r="AN31" s="591"/>
      <c r="AO31" s="591"/>
      <c r="AP31" s="591"/>
      <c r="AQ31" s="591"/>
      <c r="AR31" s="591"/>
    </row>
    <row s="13547" customFormat="1" customHeight="1" ht="18.75" hidden="1">
      <c r="A32" s="1475"/>
      <c r="B32" s="1475"/>
      <c r="C32" s="1475"/>
      <c r="D32" s="1475"/>
      <c r="E32" s="1475"/>
      <c r="F32" s="1475"/>
      <c r="G32" s="1475"/>
      <c r="H32" s="1475"/>
      <c r="I32" s="1475"/>
      <c r="J32" s="1475"/>
      <c r="K32" s="1475"/>
      <c r="L32" s="1608"/>
      <c r="M32" s="1475"/>
      <c r="N32" s="1475"/>
      <c r="O32" s="1475"/>
      <c r="S32" s="2380" t="s">
        <v>40</v>
      </c>
      <c r="T32" s="2380"/>
      <c r="U32" s="1600"/>
      <c r="V32" s="2382" t="str">
        <f>IF(TITLE_IST_PUB_CHANGE="",IF(TITLE_IST_PUB="","",TITLE_IST_PUB),TITLE_IST_PUB_CHANGE)</f>
        <v>http://pravo.gov.ru Номер опубликования: 2501202312270032 Дата опубликования: 27.12.2023</v>
      </c>
      <c r="W32" s="2382"/>
      <c r="X32" s="2382"/>
      <c r="Y32" s="2382"/>
      <c r="Z32" s="2382"/>
      <c r="AA32" s="2382"/>
      <c r="AB32" s="2382"/>
      <c r="AC32" s="1863"/>
      <c r="AD32" s="2382" t="str">
        <f>IF(TITLE_IST_PUB_CHANGE="",IF(TITLE_IST_PUB="","",TITLE_IST_PUB),TITLE_IST_PUB_CHANGE)</f>
        <v>http://pravo.gov.ru Номер опубликования: 2501202312270032 Дата опубликования: 27.12.2023</v>
      </c>
      <c r="AE32" s="2382"/>
      <c r="AF32" s="2382"/>
      <c r="AG32" s="2382"/>
      <c r="AH32" s="2382"/>
      <c r="AI32" s="2382"/>
      <c r="AJ32" s="2382"/>
      <c r="AK32" s="1863"/>
      <c r="AL32" s="1863"/>
      <c r="AM32" s="503"/>
      <c r="AN32" s="591"/>
      <c r="AO32" s="591"/>
      <c r="AP32" s="591"/>
      <c r="AQ32" s="591"/>
      <c r="AR32" s="591"/>
    </row>
    <row customHeight="1" ht="14.25" hidden="1">
      <c r="Q33" s="599"/>
      <c r="R33" s="599"/>
      <c r="S33" s="1503"/>
      <c r="T33" s="680"/>
      <c r="U33" s="680"/>
      <c r="V33" s="545"/>
      <c r="W33" s="545"/>
      <c r="X33" s="545"/>
      <c r="Y33" s="545"/>
      <c r="Z33" s="545"/>
      <c r="AA33" s="545"/>
      <c r="AB33" s="545"/>
      <c r="AC33" s="545"/>
      <c r="AD33" s="545"/>
      <c r="AE33" s="545"/>
      <c r="AF33" s="545"/>
      <c r="AG33" s="545"/>
      <c r="AH33" s="545"/>
      <c r="AI33" s="545"/>
      <c r="AJ33" s="545"/>
      <c r="AK33" s="545"/>
      <c r="AL33" s="1863"/>
    </row>
    <row s="13547" customFormat="1" customHeight="1" ht="18.75" hidden="1">
      <c r="A34" s="1475"/>
      <c r="B34" s="1475"/>
      <c r="C34" s="1475"/>
      <c r="D34" s="1475"/>
      <c r="E34" s="1475"/>
      <c r="F34" s="1475"/>
      <c r="G34" s="1475"/>
      <c r="H34" s="1475"/>
      <c r="I34" s="1475"/>
      <c r="J34" s="1475"/>
      <c r="K34" s="1475"/>
      <c r="L34" s="1608"/>
      <c r="M34" s="1475"/>
      <c r="N34" s="1475"/>
      <c r="O34" s="1475"/>
      <c r="S34" s="2380" t="s">
        <v>424</v>
      </c>
      <c r="T34" s="2380"/>
      <c r="U34" s="1600"/>
      <c r="V34" s="2381" t="str">
        <f>IF(TITLE_DATE_PR_CHANGE="",IF(TITLE_DATE_PR="","",TITLE_DATE_PR),TITLE_DATE_PR_CHANGE)</f>
        <v>45281.66994212963</v>
      </c>
      <c r="W34" s="2381"/>
      <c r="X34" s="2381"/>
      <c r="Y34" s="2381"/>
      <c r="Z34" s="2381"/>
      <c r="AA34" s="2381"/>
      <c r="AB34" s="2381"/>
      <c r="AC34" s="1863"/>
      <c r="AD34" s="2381" t="str">
        <f>IF(TITLE_DATE_PR_CHANGE="",IF(TITLE_DATE_PR="","",TITLE_DATE_PR),TITLE_DATE_PR_CHANGE)</f>
        <v>45281.66994212963</v>
      </c>
      <c r="AE34" s="2381"/>
      <c r="AF34" s="2381"/>
      <c r="AG34" s="2381"/>
      <c r="AH34" s="2381"/>
      <c r="AI34" s="2381"/>
      <c r="AJ34" s="2381"/>
      <c r="AK34" s="1863"/>
      <c r="AL34" s="1863"/>
      <c r="AM34" s="503"/>
      <c r="AN34" s="591"/>
      <c r="AO34" s="591"/>
      <c r="AP34" s="591"/>
      <c r="AQ34" s="591"/>
      <c r="AR34" s="591"/>
    </row>
    <row s="13547" customFormat="1" customHeight="1" ht="18.75" hidden="1">
      <c r="A35" s="1475"/>
      <c r="B35" s="1475"/>
      <c r="C35" s="1475"/>
      <c r="D35" s="1475"/>
      <c r="E35" s="1475"/>
      <c r="F35" s="1475"/>
      <c r="G35" s="1475"/>
      <c r="H35" s="1475"/>
      <c r="I35" s="1475"/>
      <c r="J35" s="1475"/>
      <c r="K35" s="1475"/>
      <c r="L35" s="1608"/>
      <c r="M35" s="1475"/>
      <c r="N35" s="1475"/>
      <c r="O35" s="1475"/>
      <c r="S35" s="2380" t="s">
        <v>425</v>
      </c>
      <c r="T35" s="2380"/>
      <c r="U35" s="1600"/>
      <c r="V35" s="2382" t="str">
        <f>IF(TITLE_NUMBER_PR_CHANGE="",IF(TITLE_NUMBER_PR="","",TITLE_NUMBER_PR),TITLE_NUMBER_PR_CHANGE)</f>
        <v>72/1</v>
      </c>
      <c r="W35" s="2382"/>
      <c r="X35" s="2382"/>
      <c r="Y35" s="2382"/>
      <c r="Z35" s="2382"/>
      <c r="AA35" s="2382"/>
      <c r="AB35" s="2382"/>
      <c r="AC35" s="1863"/>
      <c r="AD35" s="2382" t="str">
        <f>IF(TITLE_NUMBER_PR_CHANGE="",IF(TITLE_NUMBER_PR="","",TITLE_NUMBER_PR),TITLE_NUMBER_PR_CHANGE)</f>
        <v>72/1</v>
      </c>
      <c r="AE35" s="2382"/>
      <c r="AF35" s="2382"/>
      <c r="AG35" s="2382"/>
      <c r="AH35" s="2382"/>
      <c r="AI35" s="2382"/>
      <c r="AJ35" s="2382"/>
      <c r="AK35" s="1863"/>
      <c r="AL35" s="1863"/>
      <c r="AM35" s="503"/>
      <c r="AN35" s="591"/>
      <c r="AO35" s="591"/>
      <c r="AP35" s="591"/>
      <c r="AQ35" s="591"/>
      <c r="AR35" s="591"/>
    </row>
    <row s="13547" customFormat="1" customHeight="1" ht="0">
      <c r="A36" s="1475"/>
      <c r="B36" s="1475"/>
      <c r="C36" s="1475"/>
      <c r="D36" s="1475"/>
      <c r="E36" s="1475"/>
      <c r="F36" s="1475"/>
      <c r="G36" s="1475"/>
      <c r="H36" s="1475"/>
      <c r="I36" s="1475"/>
      <c r="J36" s="1475"/>
      <c r="K36" s="1475"/>
      <c r="L36" s="1608"/>
      <c r="M36" s="1475"/>
      <c r="N36" s="1475"/>
      <c r="O36" s="1475"/>
      <c r="S36" s="1863"/>
      <c r="T36" s="1863"/>
      <c r="U36" s="2199"/>
      <c r="V36" s="1863"/>
      <c r="W36" s="1863"/>
      <c r="X36" s="1863"/>
      <c r="Y36" s="1863"/>
      <c r="Z36" s="1863"/>
      <c r="AA36" s="1863"/>
      <c r="AB36" s="1863"/>
      <c r="AC36" s="1870" t="s">
        <v>426</v>
      </c>
      <c r="AD36" s="1863"/>
      <c r="AE36" s="1863"/>
      <c r="AF36" s="1863"/>
      <c r="AG36" s="1863"/>
      <c r="AH36" s="1863"/>
      <c r="AI36" s="1863"/>
      <c r="AJ36" s="1863"/>
      <c r="AK36" s="1870" t="s">
        <v>426</v>
      </c>
      <c r="AN36" s="591"/>
      <c r="AO36" s="591"/>
      <c r="AP36" s="591"/>
      <c r="AQ36" s="591"/>
      <c r="AR36" s="591"/>
    </row>
    <row customHeight="1" ht="14.25">
      <c r="Q37" s="599"/>
      <c r="R37" s="599"/>
      <c r="S37" s="1503"/>
      <c r="T37" s="680"/>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301</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302</v>
      </c>
    </row>
    <row customHeight="1" ht="14.25">
      <c r="Q39" s="599"/>
      <c r="R39" s="599"/>
      <c r="S39" s="2407" t="s">
        <v>87</v>
      </c>
      <c r="T39" s="2344" t="s">
        <v>427</v>
      </c>
      <c r="U39" s="560"/>
      <c r="V39" s="2408" t="s">
        <v>428</v>
      </c>
      <c r="W39" s="2409"/>
      <c r="X39" s="2409"/>
      <c r="Y39" s="2409"/>
      <c r="Z39" s="2409"/>
      <c r="AA39" s="2409"/>
      <c r="AB39" s="2410"/>
      <c r="AC39" s="2411" t="s">
        <v>429</v>
      </c>
      <c r="AD39" s="2408" t="s">
        <v>428</v>
      </c>
      <c r="AE39" s="2409"/>
      <c r="AF39" s="2409"/>
      <c r="AG39" s="2409"/>
      <c r="AH39" s="2409"/>
      <c r="AI39" s="2409"/>
      <c r="AJ39" s="2410"/>
      <c r="AK39" s="2411" t="s">
        <v>430</v>
      </c>
      <c r="AL39" s="2414" t="s">
        <v>431</v>
      </c>
      <c r="AM39" s="2254"/>
    </row>
    <row customHeight="1" ht="33.75">
      <c r="Q40" s="599"/>
      <c r="R40" s="599"/>
      <c r="S40" s="2407"/>
      <c r="T40" s="2344"/>
      <c r="U40" s="1255"/>
      <c r="V40" s="2417" t="s">
        <v>432</v>
      </c>
      <c r="W40" s="2398" t="s">
        <v>433</v>
      </c>
      <c r="X40" s="2400" t="s">
        <v>434</v>
      </c>
      <c r="Y40" s="2402"/>
      <c r="Z40" s="2400" t="s">
        <v>447</v>
      </c>
      <c r="AA40" s="2401"/>
      <c r="AB40" s="2402"/>
      <c r="AC40" s="2412"/>
      <c r="AD40" s="2417" t="s">
        <v>432</v>
      </c>
      <c r="AE40" s="2398" t="s">
        <v>433</v>
      </c>
      <c r="AF40" s="2400" t="s">
        <v>434</v>
      </c>
      <c r="AG40" s="2402"/>
      <c r="AH40" s="2400" t="s">
        <v>435</v>
      </c>
      <c r="AI40" s="2401"/>
      <c r="AJ40" s="2402"/>
      <c r="AK40" s="2412"/>
      <c r="AL40" s="2415"/>
      <c r="AM40" s="2254"/>
    </row>
    <row customHeight="1" ht="33.75">
      <c r="A41" s="1494"/>
      <c r="B41" s="1494" t="s">
        <v>134</v>
      </c>
      <c r="C41" s="1494" t="s">
        <v>135</v>
      </c>
      <c r="D41" s="1494" t="s">
        <v>136</v>
      </c>
      <c r="E41" s="1538" t="s">
        <v>436</v>
      </c>
      <c r="F41" s="1538" t="s">
        <v>437</v>
      </c>
      <c r="G41" s="1538" t="s">
        <v>438</v>
      </c>
      <c r="H41" s="1538" t="s">
        <v>439</v>
      </c>
      <c r="I41" s="1538" t="s">
        <v>440</v>
      </c>
      <c r="J41" s="1538" t="s">
        <v>441</v>
      </c>
      <c r="K41" s="1538" t="s">
        <v>442</v>
      </c>
      <c r="L41" s="1538" t="s">
        <v>417</v>
      </c>
      <c r="Q41" s="599"/>
      <c r="R41" s="599"/>
      <c r="S41" s="2407"/>
      <c r="T41" s="2344"/>
      <c r="U41" s="525"/>
      <c r="V41" s="2418"/>
      <c r="W41" s="2399"/>
      <c r="X41" s="2167" t="s">
        <v>443</v>
      </c>
      <c r="Y41" s="2167" t="s">
        <v>444</v>
      </c>
      <c r="Z41" s="2167" t="s">
        <v>445</v>
      </c>
      <c r="AA41" s="2403" t="s">
        <v>446</v>
      </c>
      <c r="AB41" s="2404"/>
      <c r="AC41" s="2413"/>
      <c r="AD41" s="2418"/>
      <c r="AE41" s="2399"/>
      <c r="AF41" s="2167" t="s">
        <v>443</v>
      </c>
      <c r="AG41" s="2167" t="s">
        <v>444</v>
      </c>
      <c r="AH41" s="2167" t="s">
        <v>445</v>
      </c>
      <c r="AI41" s="2403" t="s">
        <v>446</v>
      </c>
      <c r="AJ41" s="2404"/>
      <c r="AK41" s="2413"/>
      <c r="AL41" s="2416"/>
      <c r="AM41" s="2254"/>
    </row>
    <row s="13656" customFormat="1" customHeight="1" ht="11.25" hidden="1">
      <c r="A42" s="1494"/>
      <c r="B42" s="1494"/>
      <c r="C42" s="1494"/>
      <c r="D42" s="1494"/>
      <c r="E42" s="1494"/>
      <c r="F42" s="1494"/>
      <c r="G42" s="1494"/>
      <c r="H42" s="1494"/>
      <c r="I42" s="1494"/>
      <c r="J42" s="1494"/>
      <c r="K42" s="1494"/>
      <c r="L42" s="1538"/>
      <c r="M42" s="2194"/>
      <c r="N42" s="2194"/>
      <c r="O42" s="2194"/>
      <c r="P42" s="1473"/>
      <c r="Q42" s="1474"/>
      <c r="R42" s="1481">
        <v>1</v>
      </c>
      <c r="S42" s="1505" t="s">
        <v>108</v>
      </c>
      <c r="T42" s="1482" t="s">
        <v>109</v>
      </c>
      <c r="U42" s="1472" t="str">
        <f>OFFSET(U42,0,-1)</f>
        <v>2</v>
      </c>
      <c r="V42" s="2185">
        <f>OFFSET(V42,0,-1)+1</f>
        <v>3</v>
      </c>
      <c r="W42" s="2185"/>
      <c r="X42" s="2185">
        <f>OFFSET(X42,0,-1)+1</f>
        <v>1</v>
      </c>
      <c r="Y42" s="2185">
        <f>OFFSET(Y42,0,-1)+1</f>
        <v>2</v>
      </c>
      <c r="Z42" s="2185">
        <f>OFFSET(Z42,0,-1)+1</f>
        <v>3</v>
      </c>
      <c r="AA42" s="2405">
        <f>OFFSET(AA42,0,-1)+1</f>
        <v>4</v>
      </c>
      <c r="AB42" s="2405"/>
      <c r="AC42" s="2185">
        <f>OFFSET(AC42,0,-2)+1</f>
        <v>5</v>
      </c>
      <c r="AD42" s="2185">
        <f>OFFSET(AD42,0,-1)+1</f>
        <v>6</v>
      </c>
      <c r="AE42" s="2185"/>
      <c r="AF42" s="2185">
        <f>OFFSET(AF42,0,-1)+1</f>
        <v>1</v>
      </c>
      <c r="AG42" s="2185">
        <f>OFFSET(AG42,0,-1)+1</f>
        <v>2</v>
      </c>
      <c r="AH42" s="2185">
        <f>OFFSET(AH42,0,-1)+1</f>
        <v>3</v>
      </c>
      <c r="AI42" s="2405">
        <f>OFFSET(AI42,0,-1)+1</f>
        <v>4</v>
      </c>
      <c r="AJ42" s="2405"/>
      <c r="AK42" s="2185">
        <f>OFFSET(AK42,0,-2)+1</f>
        <v>5</v>
      </c>
      <c r="AL42" s="1472">
        <f>OFFSET(AL42,0,-1)</f>
        <v>5</v>
      </c>
      <c r="AM42" s="2185">
        <f>OFFSET(AM42,0,-1)+1</f>
        <v>6</v>
      </c>
      <c r="AN42" s="1864"/>
      <c r="AO42" s="1864"/>
      <c r="AP42" s="1864"/>
      <c r="AQ42" s="1864"/>
      <c r="AR42" s="1864"/>
    </row>
    <row customHeight="1" ht="21">
      <c r="A43" s="1495" t="s">
        <v>209</v>
      </c>
      <c r="B43" s="1495"/>
      <c r="C43" s="1495"/>
      <c r="D43" s="1495"/>
      <c r="E43" s="2424">
        <v>1</v>
      </c>
      <c r="F43" s="1495"/>
      <c r="G43" s="1495"/>
      <c r="H43" s="1495"/>
      <c r="I43" s="1495"/>
      <c r="J43" s="1495"/>
      <c r="K43" s="1495"/>
      <c r="L43" s="1538"/>
      <c r="M43" s="1838"/>
      <c r="N43" s="1838"/>
      <c r="O43" s="1838"/>
      <c r="P43" s="1818"/>
      <c r="Q43" s="583"/>
      <c r="R43" s="578"/>
      <c r="S43" s="2187">
        <f>INDEX(PT_DIFFERENTIATION_NUM_NTAR,MATCH(A43,PT_DIFFERENTIATION_NTAR_ID,0))</f>
        <v>0</v>
      </c>
      <c r="T43" s="1753" t="s">
        <v>122</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2"/>
      <c r="AP43" s="1852" t="str">
        <f>IF(T43="","",T43)</f>
        <v>Наименование тарифа</v>
      </c>
      <c r="AQ43" s="1852"/>
      <c r="AR43" s="1852"/>
    </row>
    <row customHeight="1" ht="21">
      <c r="A44" s="1495" t="s">
        <v>209</v>
      </c>
      <c r="B44" s="1495" t="s">
        <v>210</v>
      </c>
      <c r="C44" s="1495"/>
      <c r="D44" s="1495"/>
      <c r="E44" s="2425"/>
      <c r="F44" s="2424">
        <v>1</v>
      </c>
      <c r="G44" s="1495"/>
      <c r="H44" s="1495"/>
      <c r="I44" s="1495"/>
      <c r="J44" s="1495"/>
      <c r="K44" s="1495"/>
      <c r="L44" s="1538"/>
      <c r="M44" s="1838"/>
      <c r="N44" s="1838"/>
      <c r="O44" s="1838"/>
      <c r="P44" s="2169"/>
      <c r="Q44" s="575"/>
      <c r="R44" s="576"/>
      <c r="S44" s="2187" t="str">
        <f>INDEX(PT_DIFFERENTIATION_NUM_TER,MATCH(B44,PT_DIFFERENTIATION_TER_ID,0))</f>
        <v>.</v>
      </c>
      <c r="T44" s="1750" t="s">
        <v>398</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399</v>
      </c>
      <c r="AO44" s="1852"/>
      <c r="AP44" s="1852" t="str">
        <f>IF(T44="","",T44)</f>
        <v>Территория действия тарифа</v>
      </c>
      <c r="AQ44" s="1852"/>
      <c r="AR44" s="1852"/>
    </row>
    <row customHeight="1" ht="23.25">
      <c r="A45" s="1495" t="s">
        <v>209</v>
      </c>
      <c r="B45" s="1495" t="s">
        <v>210</v>
      </c>
      <c r="C45" s="1495" t="s">
        <v>211</v>
      </c>
      <c r="D45" s="1495"/>
      <c r="E45" s="2425"/>
      <c r="F45" s="2425"/>
      <c r="G45" s="2424">
        <v>1</v>
      </c>
      <c r="H45" s="1495"/>
      <c r="I45" s="1495"/>
      <c r="J45" s="1495"/>
      <c r="K45" s="1495"/>
      <c r="L45" s="1538"/>
      <c r="M45" s="1838"/>
      <c r="N45" s="1838"/>
      <c r="O45" s="1838"/>
      <c r="P45" s="577"/>
      <c r="Q45" s="575"/>
      <c r="R45" s="576"/>
      <c r="S45" s="2187" t="str">
        <f>INDEX(PT_DIFFERENTIATION_NUM_CS,MATCH(C45,PT_DIFFERENTIATION_CS_ID,0))</f>
        <v>..</v>
      </c>
      <c r="T45" s="532" t="s">
        <v>400</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401</v>
      </c>
      <c r="AO45" s="1852"/>
      <c r="AP45" s="1852" t="str">
        <f>IF(T45="","",T45)</f>
        <v>Наименование системы теплоснабжения </v>
      </c>
      <c r="AQ45" s="1852"/>
      <c r="AR45" s="1852"/>
    </row>
    <row customHeight="1" ht="21">
      <c r="A46" s="1495" t="s">
        <v>209</v>
      </c>
      <c r="B46" s="1495" t="s">
        <v>210</v>
      </c>
      <c r="C46" s="1495" t="s">
        <v>211</v>
      </c>
      <c r="D46" s="1495" t="s">
        <v>212</v>
      </c>
      <c r="E46" s="2425"/>
      <c r="F46" s="2425"/>
      <c r="G46" s="2425"/>
      <c r="H46" s="2424">
        <v>1</v>
      </c>
      <c r="I46" s="1495"/>
      <c r="J46" s="1495"/>
      <c r="K46" s="1495"/>
      <c r="L46" s="1538"/>
      <c r="M46" s="1838"/>
      <c r="N46" s="1838"/>
      <c r="O46" s="1838"/>
      <c r="P46" s="577"/>
      <c r="Q46" s="575"/>
      <c r="R46" s="576"/>
      <c r="S46" s="2187" t="str">
        <f>INDEX(PT_DIFFERENTIATION_NUM_IST_TE,MATCH(D46,PT_DIFFERENTIATION_IST_TE_ID,0))</f>
        <v>...</v>
      </c>
      <c r="T46" s="533" t="s">
        <v>402</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403</v>
      </c>
      <c r="AO46" s="1852"/>
      <c r="AP46" s="1852" t="str">
        <f>IF(T46="","",T46)</f>
        <v>Источник тепловой энергии  </v>
      </c>
      <c r="AQ46" s="1852"/>
      <c r="AR46" s="1852"/>
    </row>
    <row customHeight="1" ht="47.25">
      <c r="A47" s="1495" t="s">
        <v>209</v>
      </c>
      <c r="B47" s="1495" t="s">
        <v>210</v>
      </c>
      <c r="C47" s="1495" t="s">
        <v>211</v>
      </c>
      <c r="D47" s="1495" t="s">
        <v>212</v>
      </c>
      <c r="E47" s="2425"/>
      <c r="F47" s="2425"/>
      <c r="G47" s="2425"/>
      <c r="H47" s="2425"/>
      <c r="I47" s="2254" t="str">
        <f>S46&amp;".1"</f>
        <v>....1</v>
      </c>
      <c r="J47" s="1495"/>
      <c r="K47" s="1495"/>
      <c r="L47" s="1538" t="s">
        <v>404</v>
      </c>
      <c r="P47" s="2393">
        <v>1</v>
      </c>
      <c r="Q47" s="2183"/>
      <c r="R47" s="579"/>
      <c r="S47" s="2187" t="str">
        <f>$I47</f>
        <v>....1</v>
      </c>
      <c r="T47" s="508" t="s">
        <v>405</v>
      </c>
      <c r="U47" s="523"/>
      <c r="V47" s="2377"/>
      <c r="W47" s="2378"/>
      <c r="X47" s="2378"/>
      <c r="Y47" s="2378"/>
      <c r="Z47" s="2378"/>
      <c r="AA47" s="2378"/>
      <c r="AB47" s="2378"/>
      <c r="AC47" s="2379"/>
      <c r="AD47" s="2377"/>
      <c r="AE47" s="2378"/>
      <c r="AF47" s="2378"/>
      <c r="AG47" s="2378"/>
      <c r="AH47" s="2378"/>
      <c r="AI47" s="2378"/>
      <c r="AJ47" s="2378"/>
      <c r="AK47" s="2378"/>
      <c r="AL47" s="2379"/>
      <c r="AM47" s="1485" t="s">
        <v>406</v>
      </c>
      <c r="AO47" s="1852"/>
      <c r="AP47" s="1852" t="str">
        <f>IF(T47="","",T47)</f>
        <v>Схема подключения теплопотребляющей установки к коллектору источника тепловой энергии</v>
      </c>
      <c r="AQ47" s="1852"/>
      <c r="AR47" s="1852"/>
    </row>
    <row customHeight="1" ht="21">
      <c r="A48" s="1495" t="s">
        <v>209</v>
      </c>
      <c r="B48" s="1495" t="s">
        <v>210</v>
      </c>
      <c r="C48" s="1495" t="s">
        <v>211</v>
      </c>
      <c r="D48" s="1495" t="s">
        <v>212</v>
      </c>
      <c r="E48" s="2425"/>
      <c r="F48" s="2425"/>
      <c r="G48" s="2425"/>
      <c r="H48" s="2425"/>
      <c r="I48" s="2238"/>
      <c r="J48" s="2254" t="str">
        <f>I47&amp;".1"</f>
        <v>....1.1</v>
      </c>
      <c r="K48" s="1495"/>
      <c r="L48" s="1538" t="s">
        <v>407</v>
      </c>
      <c r="P48" s="2393"/>
      <c r="Q48" s="2393">
        <v>1</v>
      </c>
      <c r="R48" s="580"/>
      <c r="S48" s="2187" t="str">
        <f>$J48</f>
        <v>....1.1</v>
      </c>
      <c r="T48" s="509" t="s">
        <v>408</v>
      </c>
      <c r="U48" s="523"/>
      <c r="V48" s="2377"/>
      <c r="W48" s="2378"/>
      <c r="X48" s="2378"/>
      <c r="Y48" s="2378"/>
      <c r="Z48" s="2378"/>
      <c r="AA48" s="2378"/>
      <c r="AB48" s="2378"/>
      <c r="AC48" s="2379"/>
      <c r="AD48" s="2377"/>
      <c r="AE48" s="2378"/>
      <c r="AF48" s="2378"/>
      <c r="AG48" s="2378"/>
      <c r="AH48" s="2378"/>
      <c r="AI48" s="2378"/>
      <c r="AJ48" s="2378"/>
      <c r="AK48" s="2378"/>
      <c r="AL48" s="2379"/>
      <c r="AM48" s="1485" t="s">
        <v>409</v>
      </c>
      <c r="AO48" s="1852"/>
      <c r="AP48" s="1852" t="str">
        <f>IF(T48="","",T48)</f>
        <v>Группа потребителей</v>
      </c>
      <c r="AQ48" s="1852"/>
      <c r="AR48" s="1852"/>
    </row>
    <row customHeight="1" ht="21">
      <c r="A49" s="1495" t="s">
        <v>209</v>
      </c>
      <c r="B49" s="1495" t="s">
        <v>210</v>
      </c>
      <c r="C49" s="1495" t="s">
        <v>211</v>
      </c>
      <c r="D49" s="1495" t="s">
        <v>212</v>
      </c>
      <c r="E49" s="2425"/>
      <c r="F49" s="2425"/>
      <c r="G49" s="2425"/>
      <c r="H49" s="2425"/>
      <c r="I49" s="2238"/>
      <c r="J49" s="2238"/>
      <c r="K49" s="2254" t="str">
        <f>J48&amp;".1"</f>
        <v>....1.1.1</v>
      </c>
      <c r="L49" s="1538" t="s">
        <v>410</v>
      </c>
      <c r="P49" s="2393"/>
      <c r="Q49" s="2393"/>
      <c r="R49" s="580">
        <v>1</v>
      </c>
      <c r="S49" s="2187" t="str">
        <f>$K49</f>
        <v>....1.1.1</v>
      </c>
      <c r="T49" s="1575"/>
      <c r="U49" s="523"/>
      <c r="V49" s="974"/>
      <c r="W49" s="548"/>
      <c r="X49" s="974"/>
      <c r="Y49" s="1484"/>
      <c r="Z49" s="2394"/>
      <c r="AA49" s="2264" t="s">
        <v>66</v>
      </c>
      <c r="AB49" s="2394"/>
      <c r="AC49" s="2264" t="s">
        <v>66</v>
      </c>
      <c r="AD49" s="974"/>
      <c r="AE49" s="548"/>
      <c r="AF49" s="974"/>
      <c r="AG49" s="1484"/>
      <c r="AH49" s="2394"/>
      <c r="AI49" s="2264" t="s">
        <v>66</v>
      </c>
      <c r="AJ49" s="2396"/>
      <c r="AK49" s="2264" t="s">
        <v>66</v>
      </c>
      <c r="AL49" s="1576"/>
      <c r="AM49" s="2419" t="s">
        <v>411</v>
      </c>
      <c r="AN49" s="1864">
        <f>STRCHECKDATE(V50:AL50)</f>
      </c>
      <c r="AO49" s="1852"/>
      <c r="AP49" s="1852" t="str">
        <f>IF(T49="","",T49)</f>
        <v/>
      </c>
      <c r="AQ49" s="1852"/>
      <c r="AR49" s="1852"/>
    </row>
    <row customHeight="1" ht="0.75">
      <c r="A50" s="1495" t="s">
        <v>209</v>
      </c>
      <c r="B50" s="1495" t="s">
        <v>210</v>
      </c>
      <c r="C50" s="1495" t="s">
        <v>211</v>
      </c>
      <c r="D50" s="1495" t="s">
        <v>212</v>
      </c>
      <c r="E50" s="2425"/>
      <c r="F50" s="2425"/>
      <c r="G50" s="2425"/>
      <c r="H50" s="2425"/>
      <c r="I50" s="2238"/>
      <c r="J50" s="2238"/>
      <c r="K50" s="2254"/>
      <c r="L50" s="1538"/>
      <c r="P50" s="2393"/>
      <c r="Q50" s="2393"/>
      <c r="R50" s="580"/>
      <c r="S50" s="2196"/>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1852"/>
      <c r="AP50" s="1852" t="str">
        <f>IF(T50="","",T50)</f>
        <v/>
      </c>
      <c r="AQ50" s="1852"/>
      <c r="AR50" s="1852"/>
    </row>
    <row customHeight="1" ht="11.25">
      <c r="A51" s="1495" t="s">
        <v>209</v>
      </c>
      <c r="B51" s="1495" t="s">
        <v>210</v>
      </c>
      <c r="C51" s="1495" t="s">
        <v>211</v>
      </c>
      <c r="D51" s="1495" t="s">
        <v>212</v>
      </c>
      <c r="E51" s="2425"/>
      <c r="F51" s="2425"/>
      <c r="G51" s="2425"/>
      <c r="H51" s="2425"/>
      <c r="I51" s="2238"/>
      <c r="J51" s="2254"/>
      <c r="K51" s="1495"/>
      <c r="L51" s="1538"/>
      <c r="P51" s="2393"/>
      <c r="Q51" s="2393"/>
      <c r="R51" s="579"/>
      <c r="S51" s="1506"/>
      <c r="T51" s="511" t="s">
        <v>412</v>
      </c>
      <c r="U51" s="823"/>
      <c r="V51" s="823"/>
      <c r="W51" s="823"/>
      <c r="X51" s="823"/>
      <c r="Y51" s="823"/>
      <c r="Z51" s="823"/>
      <c r="AA51" s="823"/>
      <c r="AB51" s="823"/>
      <c r="AC51" s="823"/>
      <c r="AD51" s="823"/>
      <c r="AE51" s="823"/>
      <c r="AF51" s="823"/>
      <c r="AG51" s="823"/>
      <c r="AH51" s="823"/>
      <c r="AI51" s="823"/>
      <c r="AJ51" s="823"/>
      <c r="AK51" s="823"/>
      <c r="AL51" s="547"/>
      <c r="AM51" s="2421"/>
      <c r="AO51" s="1852"/>
      <c r="AP51" s="1852" t="str">
        <f>IF(T51="","",T51)</f>
        <v>Добавить вид теплоносителя (параметры теплоносителя)</v>
      </c>
      <c r="AQ51" s="1852"/>
      <c r="AR51" s="1852"/>
    </row>
    <row customHeight="1" ht="11.25">
      <c r="A52" s="1495" t="s">
        <v>209</v>
      </c>
      <c r="B52" s="1495" t="s">
        <v>210</v>
      </c>
      <c r="C52" s="1495" t="s">
        <v>211</v>
      </c>
      <c r="D52" s="1495" t="s">
        <v>212</v>
      </c>
      <c r="E52" s="2425"/>
      <c r="F52" s="2425"/>
      <c r="G52" s="2425"/>
      <c r="H52" s="2425"/>
      <c r="I52" s="2254"/>
      <c r="J52" s="1495"/>
      <c r="K52" s="1495"/>
      <c r="L52" s="1538"/>
      <c r="P52" s="2393"/>
      <c r="Q52" s="2183"/>
      <c r="R52" s="579"/>
      <c r="S52" s="1506"/>
      <c r="T52" s="510" t="s">
        <v>413</v>
      </c>
      <c r="U52" s="823"/>
      <c r="V52" s="823"/>
      <c r="W52" s="823"/>
      <c r="X52" s="823"/>
      <c r="Y52" s="823"/>
      <c r="Z52" s="823"/>
      <c r="AA52" s="823"/>
      <c r="AB52" s="823"/>
      <c r="AC52" s="589"/>
      <c r="AD52" s="823"/>
      <c r="AE52" s="823"/>
      <c r="AF52" s="823"/>
      <c r="AG52" s="823"/>
      <c r="AH52" s="823"/>
      <c r="AI52" s="823"/>
      <c r="AJ52" s="823"/>
      <c r="AK52" s="589"/>
      <c r="AL52" s="823"/>
      <c r="AM52" s="526"/>
      <c r="AO52" s="1852"/>
      <c r="AP52" s="1852" t="str">
        <f>IF(T52="","",T52)</f>
        <v>Добавить группу потребителей</v>
      </c>
      <c r="AQ52" s="1852"/>
      <c r="AR52" s="1852"/>
    </row>
    <row customHeight="1" ht="14.25">
      <c r="A53" s="1495" t="s">
        <v>209</v>
      </c>
      <c r="B53" s="1495" t="s">
        <v>210</v>
      </c>
      <c r="C53" s="1495" t="s">
        <v>211</v>
      </c>
      <c r="D53" s="1495" t="s">
        <v>212</v>
      </c>
      <c r="E53" s="2425"/>
      <c r="F53" s="2425"/>
      <c r="G53" s="2425"/>
      <c r="H53" s="2424"/>
      <c r="I53" s="1495"/>
      <c r="J53" s="1495"/>
      <c r="K53" s="1495"/>
      <c r="L53" s="1538"/>
      <c r="M53" s="1838"/>
      <c r="N53" s="1838"/>
      <c r="O53" s="1863"/>
      <c r="P53" s="583"/>
      <c r="Q53" s="598"/>
      <c r="R53" s="578"/>
      <c r="S53" s="1506"/>
      <c r="T53" s="588" t="s">
        <v>414</v>
      </c>
      <c r="U53" s="823"/>
      <c r="V53" s="823"/>
      <c r="W53" s="823"/>
      <c r="X53" s="823"/>
      <c r="Y53" s="823"/>
      <c r="Z53" s="823"/>
      <c r="AA53" s="823"/>
      <c r="AB53" s="823"/>
      <c r="AC53" s="589"/>
      <c r="AD53" s="823"/>
      <c r="AE53" s="823"/>
      <c r="AF53" s="823"/>
      <c r="AG53" s="823"/>
      <c r="AH53" s="823"/>
      <c r="AI53" s="823"/>
      <c r="AJ53" s="823"/>
      <c r="AK53" s="589"/>
      <c r="AL53" s="823"/>
      <c r="AM53" s="526"/>
      <c r="AO53" s="1852"/>
      <c r="AP53" s="1852" t="str">
        <f>IF(T53="","",T53)</f>
        <v>Добавить схему подключения</v>
      </c>
      <c r="AQ53" s="1852"/>
      <c r="AR53" s="1852"/>
    </row>
    <row s="13639" customFormat="1" customHeight="1" ht="0.75">
      <c r="A54" s="1495" t="s">
        <v>209</v>
      </c>
      <c r="B54" s="1495" t="s">
        <v>210</v>
      </c>
      <c r="C54" s="1495" t="s">
        <v>211</v>
      </c>
      <c r="D54" s="2204"/>
      <c r="E54" s="2425"/>
      <c r="F54" s="2425"/>
      <c r="G54" s="2424"/>
      <c r="H54" s="2204"/>
      <c r="I54" s="2204"/>
      <c r="J54" s="2204"/>
      <c r="K54" s="2204"/>
      <c r="L54" s="1608"/>
      <c r="M54" s="1838"/>
      <c r="N54" s="1838"/>
      <c r="O54" s="1863"/>
      <c r="P54" s="1544"/>
      <c r="Q54" s="1545"/>
      <c r="R54" s="1544"/>
      <c r="S54" s="1550"/>
      <c r="T54" s="1553" t="s">
        <v>415</v>
      </c>
      <c r="U54" s="1552"/>
      <c r="V54" s="1552"/>
      <c r="W54" s="1552"/>
      <c r="X54" s="1552"/>
      <c r="Y54" s="1552"/>
      <c r="Z54" s="1552"/>
      <c r="AA54" s="1552"/>
      <c r="AB54" s="1552"/>
      <c r="AC54" s="1552"/>
      <c r="AD54" s="1552"/>
      <c r="AE54" s="1552"/>
      <c r="AF54" s="1552"/>
      <c r="AG54" s="1552"/>
      <c r="AH54" s="1552"/>
      <c r="AI54" s="1552"/>
      <c r="AJ54" s="1552"/>
      <c r="AK54" s="1552"/>
      <c r="AL54" s="1552"/>
      <c r="AM54" s="1552"/>
      <c r="AO54" s="1478"/>
      <c r="AP54" s="1478" t="str">
        <f>IF(T54="","",T54)</f>
        <v>Добавить источник для дифференциации</v>
      </c>
      <c r="AQ54" s="1478"/>
      <c r="AR54" s="1478"/>
    </row>
    <row s="13639" customFormat="1" customHeight="1" ht="0.75">
      <c r="A55" s="1495" t="s">
        <v>209</v>
      </c>
      <c r="B55" s="1495" t="s">
        <v>210</v>
      </c>
      <c r="C55" s="2204"/>
      <c r="D55" s="2204"/>
      <c r="E55" s="2425"/>
      <c r="F55" s="2424"/>
      <c r="G55" s="2204"/>
      <c r="H55" s="2204"/>
      <c r="I55" s="2204"/>
      <c r="J55" s="2204"/>
      <c r="K55" s="2204"/>
      <c r="L55" s="1608"/>
      <c r="M55" s="2205"/>
      <c r="N55" s="2205"/>
      <c r="O55" s="1863"/>
      <c r="P55" s="1544"/>
      <c r="Q55" s="1545"/>
      <c r="R55" s="1544"/>
      <c r="S55" s="1550"/>
      <c r="T55" s="1553" t="s">
        <v>252</v>
      </c>
      <c r="U55" s="1552"/>
      <c r="V55" s="1552"/>
      <c r="W55" s="1552"/>
      <c r="X55" s="1552"/>
      <c r="Y55" s="1552"/>
      <c r="Z55" s="1552"/>
      <c r="AA55" s="1552"/>
      <c r="AB55" s="1552"/>
      <c r="AC55" s="1552"/>
      <c r="AD55" s="1552"/>
      <c r="AE55" s="1552"/>
      <c r="AF55" s="1552"/>
      <c r="AG55" s="1552"/>
      <c r="AH55" s="1552"/>
      <c r="AI55" s="1552"/>
      <c r="AJ55" s="1552"/>
      <c r="AK55" s="1552"/>
      <c r="AL55" s="1552"/>
      <c r="AM55" s="1552"/>
      <c r="AO55" s="1478"/>
      <c r="AP55" s="1478" t="str">
        <f>IF(T55="","",T55)</f>
        <v>Добавить централизованную систему для дифференциации</v>
      </c>
      <c r="AQ55" s="1478"/>
      <c r="AR55" s="1478"/>
    </row>
    <row s="13659" customFormat="1" customHeight="1" ht="0.75">
      <c r="A56" s="1495" t="s">
        <v>209</v>
      </c>
      <c r="B56" s="1495"/>
      <c r="C56" s="1495"/>
      <c r="D56" s="1495"/>
      <c r="E56" s="2424"/>
      <c r="F56" s="1495"/>
      <c r="G56" s="1495"/>
      <c r="H56" s="1495"/>
      <c r="I56" s="1495"/>
      <c r="J56" s="1495"/>
      <c r="K56" s="1495"/>
      <c r="L56" s="1538"/>
      <c r="M56" s="2205"/>
      <c r="N56" s="2205"/>
      <c r="O56" s="1863"/>
      <c r="P56" s="603"/>
      <c r="Q56" s="1572"/>
      <c r="R56" s="603"/>
      <c r="S56" s="1550"/>
      <c r="T56" s="1553" t="s">
        <v>253</v>
      </c>
      <c r="U56" s="1552"/>
      <c r="V56" s="1552"/>
      <c r="W56" s="1552"/>
      <c r="X56" s="1552"/>
      <c r="Y56" s="1552"/>
      <c r="Z56" s="1552"/>
      <c r="AA56" s="1552"/>
      <c r="AB56" s="1552"/>
      <c r="AC56" s="1552"/>
      <c r="AD56" s="1552"/>
      <c r="AE56" s="1552"/>
      <c r="AF56" s="1552"/>
      <c r="AG56" s="1552"/>
      <c r="AH56" s="1552"/>
      <c r="AI56" s="1552"/>
      <c r="AJ56" s="1552"/>
      <c r="AK56" s="1552"/>
      <c r="AL56" s="1552"/>
      <c r="AM56" s="1552"/>
      <c r="AO56" s="1852"/>
      <c r="AP56" s="1852" t="str">
        <f>IF(T56="","",T56)</f>
        <v>Добавить территорию для дифференциации</v>
      </c>
      <c r="AQ56" s="1852"/>
      <c r="AR56" s="1852"/>
    </row>
    <row s="13639" customFormat="1" customHeight="1" ht="0.75">
      <c r="A57" s="2204"/>
      <c r="B57" s="2204"/>
      <c r="C57" s="2204"/>
      <c r="D57" s="2204"/>
      <c r="E57" s="1495"/>
      <c r="F57" s="2204"/>
      <c r="G57" s="2204"/>
      <c r="H57" s="2204"/>
      <c r="I57" s="2204"/>
      <c r="J57" s="2204"/>
      <c r="K57" s="2204"/>
      <c r="L57" s="1608"/>
      <c r="M57" s="2205"/>
      <c r="N57" s="2205"/>
      <c r="O57" s="1863"/>
      <c r="P57" s="1544"/>
      <c r="Q57" s="1545"/>
      <c r="R57" s="1544"/>
      <c r="S57" s="1550"/>
      <c r="T57" s="1553" t="s">
        <v>254</v>
      </c>
      <c r="U57" s="1552"/>
      <c r="V57" s="1552"/>
      <c r="W57" s="1552"/>
      <c r="X57" s="1552"/>
      <c r="Y57" s="1552"/>
      <c r="Z57" s="1552"/>
      <c r="AA57" s="1552"/>
      <c r="AB57" s="1552"/>
      <c r="AC57" s="1552"/>
      <c r="AD57" s="1552"/>
      <c r="AE57" s="1552"/>
      <c r="AF57" s="1552"/>
      <c r="AG57" s="1552"/>
      <c r="AH57" s="1552"/>
      <c r="AI57" s="1552"/>
      <c r="AJ57" s="1552"/>
      <c r="AK57" s="1552"/>
      <c r="AL57" s="1552"/>
      <c r="AM57" s="1552"/>
      <c r="AO57" s="1478"/>
      <c r="AP57" s="1478" t="str">
        <f>IF(T57="","",T57)</f>
        <v>Добавить наименование тарифа</v>
      </c>
      <c r="AQ57" s="1478"/>
      <c r="AR57" s="1478"/>
    </row>
    <row customHeight="1" ht="11.25">
      <c r="M58" s="1859"/>
      <c r="N58" s="1859"/>
      <c r="O58" s="1863"/>
      <c r="P58" s="1859"/>
      <c r="Q58" s="1859"/>
      <c r="R58" s="1859"/>
      <c r="S58" s="1859"/>
      <c r="AN58" s="1859"/>
      <c r="AO58" s="1859"/>
      <c r="AP58" s="1859"/>
      <c r="AQ58" s="1859"/>
      <c r="AR58" s="1859"/>
    </row>
    <row customHeight="1" ht="27">
      <c r="O59" s="1863"/>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2.25">
      <c r="O60" s="1863"/>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1863"/>
    </row>
    <row customHeight="1" ht="18">
      <c r="O62" s="1863"/>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1863"/>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1863"/>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4D51D-3A57-E6DA-F466-1478AB6D8BE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533" width="10.57421875" hidden="1"/>
    <col min="2" max="2" style="13533" width="11.00390625" hidden="1" customWidth="1"/>
    <col min="3" max="3" style="13533" width="10.57421875" hidden="1"/>
    <col min="4" max="4" style="13533" width="11.8515625" hidden="1" customWidth="1"/>
    <col min="5" max="5" style="13533" width="10.00390625" hidden="1" customWidth="1"/>
    <col min="6" max="6" style="13533" width="8.7109375" hidden="1" customWidth="1"/>
    <col min="7" max="7" style="13533" width="7.57421875" hidden="1" customWidth="1"/>
    <col min="8" max="8" style="13533" width="11.421875" hidden="1" customWidth="1"/>
    <col min="9" max="9" style="13533" width="12.00390625" hidden="1" customWidth="1"/>
    <col min="10" max="10" style="13533" width="9.8515625" hidden="1" customWidth="1"/>
    <col min="11" max="11" style="13533" width="11.421875" hidden="1" customWidth="1"/>
    <col min="12" max="12" style="13614" width="19.140625" hidden="1" customWidth="1"/>
    <col min="13" max="14" style="13615" width="12.28125" hidden="1" customWidth="1"/>
    <col min="15" max="15" style="13615" width="23.421875" hidden="1" customWidth="1"/>
    <col min="16" max="16" style="13627" width="3.7109375" customWidth="1"/>
    <col min="17" max="18" style="13617" width="3.7109375" customWidth="1"/>
    <col min="19" max="19" style="13618" width="12.7109375" customWidth="1"/>
    <col min="20" max="20" style="13619" width="32.00390625" customWidth="1"/>
    <col min="21" max="21" style="13619" width="0.7109375" hidden="1" customWidth="1"/>
    <col min="22" max="22" style="13619" width="1.7109375" hidden="1" customWidth="1"/>
    <col min="23" max="23" style="13619" width="24.7109375" hidden="1" customWidth="1"/>
    <col min="24" max="25" style="13619" width="0.140625" hidden="1" customWidth="1"/>
    <col min="26" max="26" style="13619" width="11.7109375" hidden="1" customWidth="1"/>
    <col min="27" max="27" style="13619" width="3.7109375" hidden="1" customWidth="1"/>
    <col min="28" max="28" style="13619" width="11.7109375" hidden="1" customWidth="1"/>
    <col min="29" max="29" style="13619" width="8.57421875" hidden="1" customWidth="1"/>
    <col min="30" max="30" style="13619" width="0.140625" customWidth="1"/>
    <col min="31" max="31" style="13619" width="24.7109375" customWidth="1"/>
    <col min="32" max="33" style="13619" width="0.140625" customWidth="1"/>
    <col min="34" max="34" style="13619" width="11.7109375" customWidth="1"/>
    <col min="35" max="35" style="13619" width="3.7109375" customWidth="1"/>
    <col min="36" max="36" style="13619" width="11.7109375" customWidth="1"/>
    <col min="37" max="37" style="13619" width="8.57421875" hidden="1" customWidth="1"/>
    <col min="38" max="38" style="13619" width="4.7109375" customWidth="1"/>
    <col min="39" max="39" style="13619" width="115.7109375" customWidth="1"/>
    <col min="40" max="41" style="13606" width="10.57421875"/>
    <col min="42" max="42" style="13606" width="11.140625" customWidth="1"/>
    <col min="43" max="44" style="13606"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122</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397</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398</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399</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400</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401</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402</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403</v>
      </c>
      <c r="AO5" s="723"/>
      <c r="AP5" s="723" t="str">
        <f>IF(T5="","",T5)</f>
        <v>Источник тепловой энергии  </v>
      </c>
      <c r="AQ5" s="723"/>
      <c r="AR5" s="723"/>
    </row>
    <row customHeight="1" ht="47.25" hidden="1">
      <c r="A6" s="1591"/>
      <c r="B6" s="1591"/>
      <c r="C6" s="1591"/>
      <c r="D6" s="1591"/>
      <c r="E6" s="2390"/>
      <c r="F6" s="2390"/>
      <c r="G6" s="2390"/>
      <c r="H6" s="2390"/>
      <c r="I6" s="2391">
        <f>S5&amp;".1"</f>
      </c>
      <c r="J6" s="1591"/>
      <c r="K6" s="1591"/>
      <c r="L6" s="1592" t="s">
        <v>404</v>
      </c>
      <c r="M6" s="760"/>
      <c r="P6" s="2393">
        <v>1</v>
      </c>
      <c r="Q6" s="1559"/>
      <c r="R6" s="579"/>
      <c r="S6" s="1564">
        <f>$I6</f>
      </c>
      <c r="T6" s="508" t="s">
        <v>405</v>
      </c>
      <c r="U6" s="523"/>
      <c r="V6" s="2377"/>
      <c r="W6" s="2378"/>
      <c r="X6" s="2378"/>
      <c r="Y6" s="2378"/>
      <c r="Z6" s="2378"/>
      <c r="AA6" s="2378"/>
      <c r="AB6" s="2378"/>
      <c r="AC6" s="2379"/>
      <c r="AD6" s="2377"/>
      <c r="AE6" s="2378"/>
      <c r="AF6" s="2378"/>
      <c r="AG6" s="2378"/>
      <c r="AH6" s="2378"/>
      <c r="AI6" s="2378"/>
      <c r="AJ6" s="2378"/>
      <c r="AK6" s="2378"/>
      <c r="AL6" s="2379"/>
      <c r="AM6" s="1485" t="s">
        <v>406</v>
      </c>
      <c r="AO6" s="723"/>
      <c r="AP6" s="723" t="str">
        <f>IF(T6="","",T6)</f>
        <v>Схема подключения теплопотребляющей установки к коллектору источника тепловой энергии</v>
      </c>
      <c r="AQ6" s="723"/>
      <c r="AR6" s="723"/>
    </row>
    <row customHeight="1" ht="21" hidden="1">
      <c r="A7" s="1591"/>
      <c r="B7" s="1591"/>
      <c r="C7" s="1591"/>
      <c r="D7" s="1591"/>
      <c r="E7" s="2390"/>
      <c r="F7" s="2390"/>
      <c r="G7" s="2390"/>
      <c r="H7" s="2390"/>
      <c r="I7" s="2392"/>
      <c r="J7" s="2391">
        <f>I6&amp;".1"</f>
      </c>
      <c r="K7" s="1591"/>
      <c r="L7" s="1592" t="s">
        <v>407</v>
      </c>
      <c r="M7" s="760"/>
      <c r="N7" s="1594"/>
      <c r="P7" s="2393"/>
      <c r="Q7" s="2393">
        <v>1</v>
      </c>
      <c r="R7" s="580"/>
      <c r="S7" s="1564">
        <f>$J7</f>
      </c>
      <c r="T7" s="509" t="s">
        <v>408</v>
      </c>
      <c r="U7" s="523"/>
      <c r="V7" s="2377"/>
      <c r="W7" s="2378"/>
      <c r="X7" s="2378"/>
      <c r="Y7" s="2378"/>
      <c r="Z7" s="2378"/>
      <c r="AA7" s="2378"/>
      <c r="AB7" s="2378"/>
      <c r="AC7" s="2379"/>
      <c r="AD7" s="2377"/>
      <c r="AE7" s="2378"/>
      <c r="AF7" s="2378"/>
      <c r="AG7" s="2378"/>
      <c r="AH7" s="2378"/>
      <c r="AI7" s="2378"/>
      <c r="AJ7" s="2378"/>
      <c r="AK7" s="2378"/>
      <c r="AL7" s="2379"/>
      <c r="AM7" s="1485" t="s">
        <v>409</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410</v>
      </c>
      <c r="M8" s="760"/>
      <c r="N8" s="1594"/>
      <c r="O8" s="1594"/>
      <c r="P8" s="2393"/>
      <c r="Q8" s="2393"/>
      <c r="R8" s="580">
        <v>1</v>
      </c>
      <c r="S8" s="1564">
        <f>$K8</f>
      </c>
      <c r="T8" s="1575"/>
      <c r="U8" s="523"/>
      <c r="V8" s="548"/>
      <c r="W8" s="974"/>
      <c r="X8" s="548"/>
      <c r="Y8" s="607"/>
      <c r="Z8" s="2394"/>
      <c r="AA8" s="2264" t="s">
        <v>66</v>
      </c>
      <c r="AB8" s="2394"/>
      <c r="AC8" s="2264" t="s">
        <v>66</v>
      </c>
      <c r="AD8" s="548"/>
      <c r="AE8" s="974"/>
      <c r="AF8" s="548"/>
      <c r="AG8" s="607"/>
      <c r="AH8" s="2394"/>
      <c r="AI8" s="2264" t="s">
        <v>66</v>
      </c>
      <c r="AJ8" s="2394"/>
      <c r="AK8" s="2264" t="s">
        <v>66</v>
      </c>
      <c r="AL8" s="548"/>
      <c r="AM8" s="2419" t="s">
        <v>411</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1" t="s">
        <v>412</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59"/>
      <c r="R11" s="579"/>
      <c r="S11" s="1506"/>
      <c r="T11" s="510" t="s">
        <v>413</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506"/>
      <c r="T12" s="588" t="s">
        <v>414</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13514"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415</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3514"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252</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3514"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253</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66</v>
      </c>
      <c r="AJ17" s="2387"/>
      <c r="AK17" s="2386" t="s">
        <v>66</v>
      </c>
    </row>
    <row customHeight="1" ht="14.25" hidden="1">
      <c r="AD18" s="1588"/>
      <c r="AE18" s="1588"/>
      <c r="AF18" s="1588"/>
      <c r="AG18" s="551" t="str">
        <f>AH17&amp;"-"&amp;AJ17</f>
        <v>-</v>
      </c>
      <c r="AH18" s="2386"/>
      <c r="AI18" s="2386"/>
      <c r="AJ18" s="2386"/>
      <c r="AK18" s="2386"/>
    </row>
    <row customHeight="1" ht="14.25" hidden="1">
      <c r="AK19" s="550"/>
    </row>
    <row s="13533" customFormat="1" customHeight="1" ht="22.5" hidden="1">
      <c r="L20" s="1557"/>
      <c r="M20" s="1590"/>
      <c r="N20" s="1590"/>
      <c r="O20" s="1595" t="s">
        <v>416</v>
      </c>
      <c r="P20" s="1590"/>
      <c r="Q20" s="1599"/>
      <c r="R20" s="1599"/>
      <c r="S20" s="952"/>
      <c r="Z20" s="1595"/>
      <c r="AB20" s="1595"/>
      <c r="AC20" s="1594"/>
      <c r="AH20" s="1595"/>
      <c r="AJ20" s="1595"/>
      <c r="AK20" s="1594"/>
      <c r="AN20" s="734"/>
      <c r="AO20" s="734"/>
      <c r="AP20" s="734"/>
      <c r="AQ20" s="734"/>
      <c r="AR20" s="734"/>
    </row>
    <row s="13533" customFormat="1" customHeight="1" ht="14.25" hidden="1">
      <c r="L21" s="1557"/>
      <c r="M21" s="1590"/>
      <c r="N21" s="1590"/>
      <c r="O21" s="1590"/>
      <c r="P21" s="1590"/>
      <c r="Q21" s="1599"/>
      <c r="R21" s="1599"/>
      <c r="S21" s="952"/>
      <c r="AC21" s="1594"/>
      <c r="AK21" s="1594"/>
      <c r="AN21" s="734"/>
      <c r="AO21" s="734"/>
      <c r="AP21" s="734"/>
      <c r="AQ21" s="734"/>
      <c r="AR21" s="734"/>
    </row>
    <row s="13533" customFormat="1" customHeight="1" ht="33.75" hidden="1">
      <c r="L22" s="1557"/>
      <c r="M22" s="1590"/>
      <c r="N22" s="1590"/>
      <c r="O22" s="1592" t="s">
        <v>417</v>
      </c>
      <c r="P22" s="1590"/>
      <c r="Q22" s="1599"/>
      <c r="R22" s="1599"/>
      <c r="S22" s="952"/>
      <c r="T22" s="1385" t="s">
        <v>418</v>
      </c>
      <c r="AA22" s="409" t="s">
        <v>419</v>
      </c>
      <c r="AC22" s="409" t="s">
        <v>420</v>
      </c>
      <c r="AD22" s="1385" t="s">
        <v>418</v>
      </c>
      <c r="AI22" s="409" t="s">
        <v>421</v>
      </c>
      <c r="AK22" s="409" t="s">
        <v>420</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27.7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ООО "Новая Энергетика"</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3547"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Агенство по тарифам Приморского края</v>
      </c>
      <c r="W29" s="2382"/>
      <c r="X29" s="2382"/>
      <c r="Y29" s="2382"/>
      <c r="Z29" s="2382"/>
      <c r="AA29" s="2382"/>
      <c r="AB29" s="2382"/>
      <c r="AC29" s="549"/>
      <c r="AD29" s="2382" t="str">
        <f>IF(TITLE_NAME_OR_PR_CHANGE="",IF(TITLE_NAME_OR_PR="","",TITLE_NAME_OR_PR),TITLE_NAME_OR_PR_CHANGE)</f>
        <v>Агенство по тарифам Приморского края</v>
      </c>
      <c r="AE29" s="2382"/>
      <c r="AF29" s="2382"/>
      <c r="AG29" s="2382"/>
      <c r="AH29" s="2382"/>
      <c r="AI29" s="2382"/>
      <c r="AJ29" s="2382"/>
      <c r="AK29" s="549"/>
      <c r="AL29" s="549"/>
      <c r="AM29" s="503"/>
      <c r="AN29" s="591"/>
      <c r="AO29" s="591"/>
      <c r="AP29" s="591"/>
      <c r="AQ29" s="591"/>
      <c r="AR29" s="591"/>
    </row>
    <row s="13547" customFormat="1" customHeight="1" ht="18.75">
      <c r="A30" s="1596"/>
      <c r="B30" s="1596"/>
      <c r="C30" s="1596"/>
      <c r="D30" s="1596"/>
      <c r="E30" s="1596"/>
      <c r="F30" s="1596"/>
      <c r="G30" s="1596"/>
      <c r="H30" s="1596"/>
      <c r="I30" s="1596"/>
      <c r="J30" s="1596"/>
      <c r="K30" s="1596"/>
      <c r="L30" s="1597"/>
      <c r="M30" s="1596"/>
      <c r="N30" s="1596"/>
      <c r="O30" s="1596"/>
      <c r="S30" s="2380" t="s">
        <v>422</v>
      </c>
      <c r="T30" s="2380"/>
      <c r="U30" s="1600"/>
      <c r="V30" s="2381" t="str">
        <f>IF(TITLE_DATE_PR_CHANGE="",IF(TITLE_DATE_PR="","",TITLE_DATE_PR),TITLE_DATE_PR_CHANGE)</f>
        <v>45281.66994212963</v>
      </c>
      <c r="W30" s="2381"/>
      <c r="X30" s="2381"/>
      <c r="Y30" s="2381"/>
      <c r="Z30" s="2381"/>
      <c r="AA30" s="2381"/>
      <c r="AB30" s="2381"/>
      <c r="AC30" s="549"/>
      <c r="AD30" s="2381" t="str">
        <f>IF(TITLE_DATE_PR_CHANGE="",IF(TITLE_DATE_PR="","",TITLE_DATE_PR),TITLE_DATE_PR_CHANGE)</f>
        <v>45281.66994212963</v>
      </c>
      <c r="AE30" s="2381"/>
      <c r="AF30" s="2381"/>
      <c r="AG30" s="2381"/>
      <c r="AH30" s="2381"/>
      <c r="AI30" s="2381"/>
      <c r="AJ30" s="2381"/>
      <c r="AK30" s="549"/>
      <c r="AL30" s="549"/>
      <c r="AM30" s="503"/>
      <c r="AN30" s="591"/>
      <c r="AO30" s="591"/>
      <c r="AP30" s="591"/>
      <c r="AQ30" s="591"/>
      <c r="AR30" s="591"/>
    </row>
    <row s="13547" customFormat="1" customHeight="1" ht="18.75">
      <c r="A31" s="1596"/>
      <c r="B31" s="1596"/>
      <c r="C31" s="1596"/>
      <c r="D31" s="1596"/>
      <c r="E31" s="1596"/>
      <c r="F31" s="1596"/>
      <c r="G31" s="1596"/>
      <c r="H31" s="1596"/>
      <c r="I31" s="1596"/>
      <c r="J31" s="1596"/>
      <c r="K31" s="1596"/>
      <c r="L31" s="1597"/>
      <c r="M31" s="1596"/>
      <c r="N31" s="1596"/>
      <c r="O31" s="1596"/>
      <c r="S31" s="2380" t="s">
        <v>423</v>
      </c>
      <c r="T31" s="2380"/>
      <c r="U31" s="1600"/>
      <c r="V31" s="2382" t="str">
        <f>IF(TITLE_NUMBER_PR_CHANGE="",IF(TITLE_NUMBER_PR="","",TITLE_NUMBER_PR),TITLE_NUMBER_PR_CHANGE)</f>
        <v>72/1</v>
      </c>
      <c r="W31" s="2382"/>
      <c r="X31" s="2382"/>
      <c r="Y31" s="2382"/>
      <c r="Z31" s="2382"/>
      <c r="AA31" s="2382"/>
      <c r="AB31" s="2382"/>
      <c r="AC31" s="549"/>
      <c r="AD31" s="2382" t="str">
        <f>IF(TITLE_NUMBER_PR_CHANGE="",IF(TITLE_NUMBER_PR="","",TITLE_NUMBER_PR),TITLE_NUMBER_PR_CHANGE)</f>
        <v>72/1</v>
      </c>
      <c r="AE31" s="2382"/>
      <c r="AF31" s="2382"/>
      <c r="AG31" s="2382"/>
      <c r="AH31" s="2382"/>
      <c r="AI31" s="2382"/>
      <c r="AJ31" s="2382"/>
      <c r="AK31" s="549"/>
      <c r="AL31" s="549"/>
      <c r="AM31" s="503"/>
      <c r="AN31" s="591"/>
      <c r="AO31" s="591"/>
      <c r="AP31" s="591"/>
      <c r="AQ31" s="591"/>
      <c r="AR31" s="591"/>
    </row>
    <row s="13547"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http://pravo.gov.ru Номер опубликования: 2501202312270032 Дата опубликования: 27.12.2023</v>
      </c>
      <c r="W32" s="2382"/>
      <c r="X32" s="2382"/>
      <c r="Y32" s="2382"/>
      <c r="Z32" s="2382"/>
      <c r="AA32" s="2382"/>
      <c r="AB32" s="2382"/>
      <c r="AC32" s="549"/>
      <c r="AD32" s="2382" t="str">
        <f>IF(TITLE_IST_PUB_CHANGE="",IF(TITLE_IST_PUB="","",TITLE_IST_PUB),TITLE_IST_PUB_CHANGE)</f>
        <v>http://pravo.gov.ru Номер опубликования: 2501202312270032 Дата опубликования: 27.12.2023</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3547" customFormat="1" customHeight="1" ht="18.75" hidden="1">
      <c r="A34" s="1596"/>
      <c r="B34" s="1596"/>
      <c r="C34" s="1596"/>
      <c r="D34" s="1596"/>
      <c r="E34" s="1596"/>
      <c r="F34" s="1596"/>
      <c r="G34" s="1596"/>
      <c r="H34" s="1596"/>
      <c r="I34" s="1596"/>
      <c r="J34" s="1596"/>
      <c r="K34" s="1596"/>
      <c r="L34" s="1597"/>
      <c r="M34" s="1596"/>
      <c r="N34" s="1596"/>
      <c r="O34" s="1596"/>
      <c r="S34" s="2380" t="s">
        <v>424</v>
      </c>
      <c r="T34" s="2380"/>
      <c r="U34" s="1600"/>
      <c r="V34" s="2381" t="str">
        <f>IF(TITLE_DATE_PR_CHANGE="",IF(TITLE_DATE_PR="","",TITLE_DATE_PR),TITLE_DATE_PR_CHANGE)</f>
        <v>45281.66994212963</v>
      </c>
      <c r="W34" s="2381"/>
      <c r="X34" s="2381"/>
      <c r="Y34" s="2381"/>
      <c r="Z34" s="2381"/>
      <c r="AA34" s="2381"/>
      <c r="AB34" s="2381"/>
      <c r="AC34" s="549"/>
      <c r="AD34" s="2381" t="str">
        <f>IF(TITLE_DATE_PR_CHANGE="",IF(TITLE_DATE_PR="","",TITLE_DATE_PR),TITLE_DATE_PR_CHANGE)</f>
        <v>45281.66994212963</v>
      </c>
      <c r="AE34" s="2381"/>
      <c r="AF34" s="2381"/>
      <c r="AG34" s="2381"/>
      <c r="AH34" s="2381"/>
      <c r="AI34" s="2381"/>
      <c r="AJ34" s="2381"/>
      <c r="AK34" s="549"/>
      <c r="AL34" s="549"/>
      <c r="AM34" s="503"/>
      <c r="AN34" s="591"/>
      <c r="AO34" s="591"/>
      <c r="AP34" s="591"/>
      <c r="AQ34" s="591"/>
      <c r="AR34" s="591"/>
    </row>
    <row s="13547" customFormat="1" customHeight="1" ht="18.75" hidden="1">
      <c r="A35" s="1596"/>
      <c r="B35" s="1596"/>
      <c r="C35" s="1596"/>
      <c r="D35" s="1596"/>
      <c r="E35" s="1596"/>
      <c r="F35" s="1596"/>
      <c r="G35" s="1596"/>
      <c r="H35" s="1596"/>
      <c r="I35" s="1596"/>
      <c r="J35" s="1596"/>
      <c r="K35" s="1596"/>
      <c r="L35" s="1597"/>
      <c r="M35" s="1596"/>
      <c r="N35" s="1596"/>
      <c r="O35" s="1596"/>
      <c r="S35" s="2380" t="s">
        <v>425</v>
      </c>
      <c r="T35" s="2380"/>
      <c r="U35" s="1600"/>
      <c r="V35" s="2382" t="str">
        <f>IF(TITLE_NUMBER_PR_CHANGE="",IF(TITLE_NUMBER_PR="","",TITLE_NUMBER_PR),TITLE_NUMBER_PR_CHANGE)</f>
        <v>72/1</v>
      </c>
      <c r="W35" s="2382"/>
      <c r="X35" s="2382"/>
      <c r="Y35" s="2382"/>
      <c r="Z35" s="2382"/>
      <c r="AA35" s="2382"/>
      <c r="AB35" s="2382"/>
      <c r="AC35" s="549"/>
      <c r="AD35" s="2382" t="str">
        <f>IF(TITLE_NUMBER_PR_CHANGE="",IF(TITLE_NUMBER_PR="","",TITLE_NUMBER_PR),TITLE_NUMBER_PR_CHANGE)</f>
        <v>72/1</v>
      </c>
      <c r="AE35" s="2382"/>
      <c r="AF35" s="2382"/>
      <c r="AG35" s="2382"/>
      <c r="AH35" s="2382"/>
      <c r="AI35" s="2382"/>
      <c r="AJ35" s="2382"/>
      <c r="AK35" s="549"/>
      <c r="AL35" s="549"/>
      <c r="AM35" s="503"/>
      <c r="AN35" s="591"/>
      <c r="AO35" s="591"/>
      <c r="AP35" s="591"/>
      <c r="AQ35" s="591"/>
      <c r="AR35" s="591"/>
    </row>
    <row s="13547"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426</v>
      </c>
      <c r="AD36" s="549"/>
      <c r="AE36" s="549"/>
      <c r="AF36" s="549"/>
      <c r="AG36" s="549"/>
      <c r="AH36" s="549"/>
      <c r="AI36" s="549"/>
      <c r="AJ36" s="549"/>
      <c r="AK36" s="501" t="s">
        <v>426</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301</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302</v>
      </c>
    </row>
    <row customHeight="1" ht="14.25">
      <c r="Q39" s="599"/>
      <c r="R39" s="599"/>
      <c r="S39" s="2407" t="s">
        <v>87</v>
      </c>
      <c r="T39" s="2344" t="s">
        <v>427</v>
      </c>
      <c r="U39" s="524"/>
      <c r="V39" s="2408" t="s">
        <v>428</v>
      </c>
      <c r="W39" s="2409"/>
      <c r="X39" s="2430"/>
      <c r="Y39" s="2430"/>
      <c r="Z39" s="2409"/>
      <c r="AA39" s="2409"/>
      <c r="AB39" s="2410"/>
      <c r="AC39" s="2411" t="s">
        <v>429</v>
      </c>
      <c r="AD39" s="2408" t="s">
        <v>428</v>
      </c>
      <c r="AE39" s="2409"/>
      <c r="AF39" s="2430"/>
      <c r="AG39" s="2430"/>
      <c r="AH39" s="2409"/>
      <c r="AI39" s="2409"/>
      <c r="AJ39" s="2410"/>
      <c r="AK39" s="2411" t="s">
        <v>430</v>
      </c>
      <c r="AL39" s="2414" t="s">
        <v>431</v>
      </c>
      <c r="AM39" s="2254"/>
    </row>
    <row customHeight="1" ht="23.25">
      <c r="Q40" s="599"/>
      <c r="R40" s="599"/>
      <c r="S40" s="2407"/>
      <c r="T40" s="2344"/>
      <c r="U40" s="1255"/>
      <c r="V40" s="2426" t="s">
        <v>432</v>
      </c>
      <c r="W40" s="2428" t="s">
        <v>433</v>
      </c>
      <c r="X40" s="1604" t="s">
        <v>434</v>
      </c>
      <c r="Y40" s="1604"/>
      <c r="Z40" s="2401" t="s">
        <v>435</v>
      </c>
      <c r="AA40" s="2401"/>
      <c r="AB40" s="2402"/>
      <c r="AC40" s="2412"/>
      <c r="AD40" s="2426" t="s">
        <v>432</v>
      </c>
      <c r="AE40" s="2428" t="s">
        <v>433</v>
      </c>
      <c r="AF40" s="1604" t="s">
        <v>434</v>
      </c>
      <c r="AG40" s="1604"/>
      <c r="AH40" s="2401" t="s">
        <v>435</v>
      </c>
      <c r="AI40" s="2401"/>
      <c r="AJ40" s="2402"/>
      <c r="AK40" s="2412"/>
      <c r="AL40" s="2415"/>
      <c r="AM40" s="2254"/>
    </row>
    <row s="13671" customFormat="1" customHeight="1" ht="23.25">
      <c r="A41" s="1598"/>
      <c r="B41" s="1598" t="s">
        <v>134</v>
      </c>
      <c r="C41" s="1598" t="s">
        <v>135</v>
      </c>
      <c r="D41" s="1598" t="s">
        <v>136</v>
      </c>
      <c r="E41" s="1592" t="s">
        <v>436</v>
      </c>
      <c r="F41" s="1592" t="s">
        <v>437</v>
      </c>
      <c r="G41" s="1592" t="s">
        <v>438</v>
      </c>
      <c r="H41" s="1592" t="s">
        <v>439</v>
      </c>
      <c r="I41" s="1592" t="s">
        <v>440</v>
      </c>
      <c r="J41" s="1592" t="s">
        <v>441</v>
      </c>
      <c r="K41" s="1592" t="s">
        <v>442</v>
      </c>
      <c r="L41" s="1592" t="s">
        <v>417</v>
      </c>
      <c r="M41" s="1590"/>
      <c r="N41" s="1590"/>
      <c r="O41" s="1590"/>
      <c r="P41" s="1556"/>
      <c r="Q41" s="599"/>
      <c r="R41" s="599"/>
      <c r="S41" s="2407"/>
      <c r="T41" s="2344"/>
      <c r="U41" s="525"/>
      <c r="V41" s="2427"/>
      <c r="W41" s="2429"/>
      <c r="X41" s="1601" t="s">
        <v>443</v>
      </c>
      <c r="Y41" s="1601" t="s">
        <v>444</v>
      </c>
      <c r="Z41" s="1562" t="s">
        <v>445</v>
      </c>
      <c r="AA41" s="2403" t="s">
        <v>446</v>
      </c>
      <c r="AB41" s="2404"/>
      <c r="AC41" s="2413"/>
      <c r="AD41" s="2427"/>
      <c r="AE41" s="2429"/>
      <c r="AF41" s="1601" t="s">
        <v>443</v>
      </c>
      <c r="AG41" s="1601" t="s">
        <v>444</v>
      </c>
      <c r="AH41" s="1562" t="s">
        <v>445</v>
      </c>
      <c r="AI41" s="2403" t="s">
        <v>446</v>
      </c>
      <c r="AJ41" s="2404"/>
      <c r="AK41" s="2413"/>
      <c r="AL41" s="2416"/>
      <c r="AM41" s="2254"/>
      <c r="AN41" s="734"/>
      <c r="AO41" s="723"/>
      <c r="AP41" s="723"/>
      <c r="AQ41" s="723"/>
      <c r="AR41" s="723"/>
    </row>
    <row s="13364"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108</v>
      </c>
      <c r="T42" s="1482" t="s">
        <v>109</v>
      </c>
      <c r="U42" s="1472" t="str">
        <f>OFFSET(U42,0,-1)</f>
        <v>2</v>
      </c>
      <c r="V42" s="1563">
        <f>OFFSET(V42,0,-1)+1</f>
        <v>3</v>
      </c>
      <c r="W42" s="1563"/>
      <c r="X42" s="1569">
        <f>OFFSET(X42,0,-1)+1</f>
        <v>1</v>
      </c>
      <c r="Y42" s="1569">
        <f>OFFSET(Y42,0,-1)+1</f>
        <v>2</v>
      </c>
      <c r="Z42" s="1563">
        <f>OFFSET(Z42,0,-1)+1</f>
        <v>3</v>
      </c>
      <c r="AA42" s="2405">
        <f>OFFSET(AA42,0,-1)+1</f>
        <v>4</v>
      </c>
      <c r="AB42" s="2405"/>
      <c r="AC42" s="1563">
        <f>OFFSET(AC42,0,-2)+1</f>
        <v>5</v>
      </c>
      <c r="AD42" s="1563">
        <f>OFFSET(AD42,0,-1)+1</f>
        <v>6</v>
      </c>
      <c r="AE42" s="1563"/>
      <c r="AF42" s="1569">
        <f>OFFSET(AF42,0,-1)+1</f>
        <v>1</v>
      </c>
      <c r="AG42" s="1569">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191</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122</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191</v>
      </c>
      <c r="B44" s="1591" t="s">
        <v>192</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398</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399</v>
      </c>
      <c r="AO44" s="723"/>
      <c r="AP44" s="723" t="str">
        <f>IF(T44="","",T44)</f>
        <v>Территория действия тарифа</v>
      </c>
      <c r="AQ44" s="723"/>
      <c r="AR44" s="723"/>
    </row>
    <row customHeight="1" ht="23.25">
      <c r="A45" s="1591" t="s">
        <v>191</v>
      </c>
      <c r="B45" s="1591" t="s">
        <v>192</v>
      </c>
      <c r="C45" s="1591" t="s">
        <v>193</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400</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401</v>
      </c>
      <c r="AO45" s="723"/>
      <c r="AP45" s="723" t="str">
        <f>IF(T45="","",T45)</f>
        <v>Наименование системы теплоснабжения </v>
      </c>
      <c r="AQ45" s="723"/>
      <c r="AR45" s="723"/>
    </row>
    <row customHeight="1" ht="21">
      <c r="A46" s="1591" t="s">
        <v>191</v>
      </c>
      <c r="B46" s="1591" t="s">
        <v>192</v>
      </c>
      <c r="C46" s="1591" t="s">
        <v>193</v>
      </c>
      <c r="D46" s="1591" t="s">
        <v>194</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402</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403</v>
      </c>
      <c r="AO46" s="723"/>
      <c r="AP46" s="723" t="str">
        <f>IF(T46="","",T46)</f>
        <v>Источник тепловой энергии  </v>
      </c>
      <c r="AQ46" s="723"/>
      <c r="AR46" s="723"/>
    </row>
    <row customHeight="1" ht="47.25">
      <c r="A47" s="1591" t="s">
        <v>191</v>
      </c>
      <c r="B47" s="1591" t="s">
        <v>192</v>
      </c>
      <c r="C47" s="1591" t="s">
        <v>193</v>
      </c>
      <c r="D47" s="1591" t="s">
        <v>194</v>
      </c>
      <c r="E47" s="2390"/>
      <c r="F47" s="2390"/>
      <c r="G47" s="2390"/>
      <c r="H47" s="2390"/>
      <c r="I47" s="2391" t="str">
        <f>S46&amp;".1"</f>
        <v>....1</v>
      </c>
      <c r="J47" s="1591"/>
      <c r="K47" s="1591"/>
      <c r="L47" s="1592" t="s">
        <v>404</v>
      </c>
      <c r="P47" s="2393">
        <v>1</v>
      </c>
      <c r="Q47" s="1559"/>
      <c r="R47" s="579"/>
      <c r="S47" s="1564" t="str">
        <f>$I47</f>
        <v>....1</v>
      </c>
      <c r="T47" s="508" t="s">
        <v>405</v>
      </c>
      <c r="U47" s="523"/>
      <c r="V47" s="2377"/>
      <c r="W47" s="2378"/>
      <c r="X47" s="2378"/>
      <c r="Y47" s="2378"/>
      <c r="Z47" s="2378"/>
      <c r="AA47" s="2378"/>
      <c r="AB47" s="2378"/>
      <c r="AC47" s="2379"/>
      <c r="AD47" s="2377"/>
      <c r="AE47" s="2378"/>
      <c r="AF47" s="2378"/>
      <c r="AG47" s="2378"/>
      <c r="AH47" s="2378"/>
      <c r="AI47" s="2378"/>
      <c r="AJ47" s="2378"/>
      <c r="AK47" s="2378"/>
      <c r="AL47" s="2379"/>
      <c r="AM47" s="1485" t="s">
        <v>406</v>
      </c>
      <c r="AO47" s="723"/>
      <c r="AP47" s="723" t="str">
        <f>IF(T47="","",T47)</f>
        <v>Схема подключения теплопотребляющей установки к коллектору источника тепловой энергии</v>
      </c>
      <c r="AQ47" s="723"/>
      <c r="AR47" s="723"/>
    </row>
    <row customHeight="1" ht="21">
      <c r="A48" s="1591" t="s">
        <v>191</v>
      </c>
      <c r="B48" s="1591" t="s">
        <v>192</v>
      </c>
      <c r="C48" s="1591" t="s">
        <v>193</v>
      </c>
      <c r="D48" s="1591" t="s">
        <v>194</v>
      </c>
      <c r="E48" s="2390"/>
      <c r="F48" s="2390"/>
      <c r="G48" s="2390"/>
      <c r="H48" s="2390"/>
      <c r="I48" s="2392"/>
      <c r="J48" s="2391" t="str">
        <f>I47&amp;".1"</f>
        <v>....1.1</v>
      </c>
      <c r="K48" s="1591"/>
      <c r="L48" s="1592" t="s">
        <v>407</v>
      </c>
      <c r="P48" s="2393"/>
      <c r="Q48" s="2393">
        <v>1</v>
      </c>
      <c r="R48" s="580"/>
      <c r="S48" s="1564" t="str">
        <f>$J48</f>
        <v>....1.1</v>
      </c>
      <c r="T48" s="509" t="s">
        <v>408</v>
      </c>
      <c r="U48" s="523"/>
      <c r="V48" s="2377"/>
      <c r="W48" s="2378"/>
      <c r="X48" s="2378"/>
      <c r="Y48" s="2378"/>
      <c r="Z48" s="2378"/>
      <c r="AA48" s="2378"/>
      <c r="AB48" s="2378"/>
      <c r="AC48" s="2379"/>
      <c r="AD48" s="2377"/>
      <c r="AE48" s="2378"/>
      <c r="AF48" s="2378"/>
      <c r="AG48" s="2378"/>
      <c r="AH48" s="2378"/>
      <c r="AI48" s="2378"/>
      <c r="AJ48" s="2378"/>
      <c r="AK48" s="2378"/>
      <c r="AL48" s="2379"/>
      <c r="AM48" s="1485" t="s">
        <v>409</v>
      </c>
      <c r="AO48" s="723"/>
      <c r="AP48" s="723" t="str">
        <f>IF(T48="","",T48)</f>
        <v>Группа потребителей</v>
      </c>
      <c r="AQ48" s="723"/>
      <c r="AR48" s="723"/>
    </row>
    <row customHeight="1" ht="21">
      <c r="A49" s="1591" t="s">
        <v>191</v>
      </c>
      <c r="B49" s="1591" t="s">
        <v>192</v>
      </c>
      <c r="C49" s="1591" t="s">
        <v>193</v>
      </c>
      <c r="D49" s="1591" t="s">
        <v>194</v>
      </c>
      <c r="E49" s="2390"/>
      <c r="F49" s="2390"/>
      <c r="G49" s="2390"/>
      <c r="H49" s="2390"/>
      <c r="I49" s="2392"/>
      <c r="J49" s="2392"/>
      <c r="K49" s="2391" t="str">
        <f>J48&amp;".1"</f>
        <v>....1.1.1</v>
      </c>
      <c r="L49" s="1592" t="s">
        <v>410</v>
      </c>
      <c r="P49" s="2393"/>
      <c r="Q49" s="2393"/>
      <c r="R49" s="580">
        <v>1</v>
      </c>
      <c r="S49" s="1564" t="str">
        <f>$K49</f>
        <v>....1.1.1</v>
      </c>
      <c r="T49" s="1575"/>
      <c r="U49" s="523"/>
      <c r="V49" s="548"/>
      <c r="W49" s="974"/>
      <c r="X49" s="548"/>
      <c r="Y49" s="607"/>
      <c r="Z49" s="2394"/>
      <c r="AA49" s="2264" t="s">
        <v>66</v>
      </c>
      <c r="AB49" s="2394"/>
      <c r="AC49" s="2264" t="s">
        <v>66</v>
      </c>
      <c r="AD49" s="548"/>
      <c r="AE49" s="974"/>
      <c r="AF49" s="548"/>
      <c r="AG49" s="607"/>
      <c r="AH49" s="2394"/>
      <c r="AI49" s="2264" t="s">
        <v>66</v>
      </c>
      <c r="AJ49" s="2396"/>
      <c r="AK49" s="2264" t="s">
        <v>66</v>
      </c>
      <c r="AL49" s="1576"/>
      <c r="AM49" s="2419" t="s">
        <v>411</v>
      </c>
      <c r="AN49" s="734">
        <f>STRCHECKDATE(V50:AL50)</f>
      </c>
      <c r="AO49" s="723"/>
      <c r="AP49" s="723" t="str">
        <f>IF(T49="","",T49)</f>
        <v/>
      </c>
      <c r="AQ49" s="723"/>
      <c r="AR49" s="723"/>
    </row>
    <row customHeight="1" ht="0.75">
      <c r="A50" s="1591" t="s">
        <v>191</v>
      </c>
      <c r="B50" s="1591" t="s">
        <v>192</v>
      </c>
      <c r="C50" s="1591" t="s">
        <v>193</v>
      </c>
      <c r="D50" s="1591" t="s">
        <v>194</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191</v>
      </c>
      <c r="B51" s="1591" t="s">
        <v>192</v>
      </c>
      <c r="C51" s="1591" t="s">
        <v>193</v>
      </c>
      <c r="D51" s="1591" t="s">
        <v>194</v>
      </c>
      <c r="E51" s="2390"/>
      <c r="F51" s="2390"/>
      <c r="G51" s="2390"/>
      <c r="H51" s="2390"/>
      <c r="I51" s="2392"/>
      <c r="J51" s="2391"/>
      <c r="K51" s="1591"/>
      <c r="L51" s="1592"/>
      <c r="P51" s="2393"/>
      <c r="Q51" s="2393"/>
      <c r="R51" s="579"/>
      <c r="S51" s="1506"/>
      <c r="T51" s="511" t="s">
        <v>412</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191</v>
      </c>
      <c r="B52" s="1591" t="s">
        <v>192</v>
      </c>
      <c r="C52" s="1591" t="s">
        <v>193</v>
      </c>
      <c r="D52" s="1591" t="s">
        <v>194</v>
      </c>
      <c r="E52" s="2390"/>
      <c r="F52" s="2390"/>
      <c r="G52" s="2390"/>
      <c r="H52" s="2390"/>
      <c r="I52" s="2391"/>
      <c r="J52" s="1591"/>
      <c r="K52" s="1591"/>
      <c r="L52" s="1592"/>
      <c r="P52" s="2393"/>
      <c r="Q52" s="1559"/>
      <c r="R52" s="579"/>
      <c r="S52" s="1506"/>
      <c r="T52" s="510" t="s">
        <v>413</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91" t="s">
        <v>191</v>
      </c>
      <c r="B53" s="1591" t="s">
        <v>192</v>
      </c>
      <c r="C53" s="1591" t="s">
        <v>193</v>
      </c>
      <c r="D53" s="1591" t="s">
        <v>194</v>
      </c>
      <c r="E53" s="2390"/>
      <c r="F53" s="2390"/>
      <c r="G53" s="2390"/>
      <c r="H53" s="2389"/>
      <c r="I53" s="1591"/>
      <c r="J53" s="1591"/>
      <c r="K53" s="1591"/>
      <c r="L53" s="1592"/>
      <c r="M53" s="1593"/>
      <c r="N53" s="1593"/>
      <c r="O53" s="760"/>
      <c r="P53" s="583"/>
      <c r="Q53" s="598"/>
      <c r="R53" s="578"/>
      <c r="S53" s="1506"/>
      <c r="T53" s="588" t="s">
        <v>414</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13514" customFormat="1" customHeight="1" ht="0.75">
      <c r="A54" s="1571" t="s">
        <v>191</v>
      </c>
      <c r="B54" s="1571" t="s">
        <v>192</v>
      </c>
      <c r="C54" s="1571" t="s">
        <v>193</v>
      </c>
      <c r="D54" s="1542"/>
      <c r="E54" s="2390"/>
      <c r="F54" s="2390"/>
      <c r="G54" s="2389"/>
      <c r="H54" s="1542"/>
      <c r="I54" s="1542"/>
      <c r="J54" s="1542"/>
      <c r="K54" s="1542"/>
      <c r="L54" s="1567"/>
      <c r="M54" s="1543"/>
      <c r="N54" s="1543"/>
      <c r="P54" s="1544"/>
      <c r="Q54" s="1545"/>
      <c r="R54" s="1544"/>
      <c r="S54" s="1550"/>
      <c r="T54" s="1553" t="s">
        <v>415</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3514" customFormat="1" customHeight="1" ht="0.75">
      <c r="A55" s="1571" t="s">
        <v>191</v>
      </c>
      <c r="B55" s="1571" t="s">
        <v>192</v>
      </c>
      <c r="C55" s="1542"/>
      <c r="D55" s="1542"/>
      <c r="E55" s="2390"/>
      <c r="F55" s="2389"/>
      <c r="G55" s="1542"/>
      <c r="H55" s="1542"/>
      <c r="I55" s="1542"/>
      <c r="J55" s="1542"/>
      <c r="K55" s="1542"/>
      <c r="L55" s="1567"/>
      <c r="M55" s="1549"/>
      <c r="N55" s="1549"/>
      <c r="P55" s="1544"/>
      <c r="Q55" s="1545"/>
      <c r="R55" s="1544"/>
      <c r="S55" s="1550"/>
      <c r="T55" s="1553" t="s">
        <v>252</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3606" customFormat="1" customHeight="1" ht="0.75">
      <c r="A56" s="1571" t="s">
        <v>191</v>
      </c>
      <c r="B56" s="1571"/>
      <c r="C56" s="1571"/>
      <c r="D56" s="1571"/>
      <c r="E56" s="2389"/>
      <c r="F56" s="1571"/>
      <c r="G56" s="1571"/>
      <c r="H56" s="1571"/>
      <c r="I56" s="1571"/>
      <c r="J56" s="1571"/>
      <c r="K56" s="1571"/>
      <c r="L56" s="1574"/>
      <c r="M56" s="1549"/>
      <c r="N56" s="1549"/>
      <c r="O56" s="741"/>
      <c r="P56" s="603"/>
      <c r="Q56" s="1572"/>
      <c r="R56" s="603"/>
      <c r="S56" s="1550"/>
      <c r="T56" s="1553" t="s">
        <v>253</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3514"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254</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7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row>
    <row customHeight="1" ht="18">
      <c r="O62" s="760"/>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760"/>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38.25">
      <c r="O64" s="760"/>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2A6A1-B74E-DBC5-7A0F-F20D5EF0C2B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533" width="10.57421875" hidden="1"/>
    <col min="2" max="2" style="13533" width="11.00390625" hidden="1" customWidth="1"/>
    <col min="3" max="3" style="13533" width="10.57421875" hidden="1"/>
    <col min="4" max="4" style="13533" width="11.8515625" hidden="1" customWidth="1"/>
    <col min="5" max="5" style="13533" width="10.00390625" hidden="1" customWidth="1"/>
    <col min="6" max="6" style="13533" width="8.7109375" hidden="1" customWidth="1"/>
    <col min="7" max="7" style="13533" width="7.57421875" hidden="1" customWidth="1"/>
    <col min="8" max="8" style="13533" width="11.421875" hidden="1" customWidth="1"/>
    <col min="9" max="9" style="13533" width="12.00390625" hidden="1" customWidth="1"/>
    <col min="10" max="10" style="13533" width="9.8515625" hidden="1" customWidth="1"/>
    <col min="11" max="11" style="13533" width="11.421875" hidden="1" customWidth="1"/>
    <col min="12" max="12" style="13614" width="19.140625" hidden="1" customWidth="1"/>
    <col min="13" max="14" style="13615" width="12.28125" hidden="1" customWidth="1"/>
    <col min="15" max="15" style="13615" width="23.421875" hidden="1" customWidth="1"/>
    <col min="16" max="16" style="13627" width="3.7109375" hidden="1" customWidth="1"/>
    <col min="17" max="18" style="13617" width="3.7109375" customWidth="1"/>
    <col min="19" max="19" style="13618" width="12.7109375" customWidth="1"/>
    <col min="20" max="20" style="13619" width="32.00390625" customWidth="1"/>
    <col min="21" max="21" style="13619" width="0.140625" customWidth="1"/>
    <col min="22" max="22" style="13619" width="24.7109375" hidden="1" customWidth="1"/>
    <col min="23" max="23" style="13619" width="0.140625" hidden="1" customWidth="1"/>
    <col min="24" max="25" style="13619" width="24.7109375" hidden="1" customWidth="1"/>
    <col min="26" max="26" style="13619" width="11.7109375" hidden="1" customWidth="1"/>
    <col min="27" max="27" style="13619" width="3.7109375" hidden="1" customWidth="1"/>
    <col min="28" max="28" style="13619" width="11.7109375" hidden="1" customWidth="1"/>
    <col min="29" max="29" style="13619" width="8.57421875" hidden="1" customWidth="1"/>
    <col min="30" max="30" style="13619" width="24.7109375" customWidth="1"/>
    <col min="31" max="31" style="13619" width="0.140625" customWidth="1"/>
    <col min="32" max="33" style="13619" width="24.7109375" customWidth="1"/>
    <col min="34" max="34" style="13619" width="11.7109375" customWidth="1"/>
    <col min="35" max="35" style="13619" width="3.7109375" customWidth="1"/>
    <col min="36" max="36" style="13619" width="11.7109375" customWidth="1"/>
    <col min="37" max="37" style="13619" width="8.57421875" hidden="1" customWidth="1"/>
    <col min="38" max="38" style="13619" width="4.7109375" customWidth="1"/>
    <col min="39" max="39" style="13619" width="115.7109375" customWidth="1"/>
    <col min="40" max="41" style="13606" width="10.57421875"/>
    <col min="42" max="42" style="13606" width="11.140625" customWidth="1"/>
    <col min="43" max="44" style="13606"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122</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397</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398</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399</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400</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401</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402</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403</v>
      </c>
      <c r="AO5" s="723"/>
      <c r="AP5" s="723" t="str">
        <f>IF(T5="","",T5)</f>
        <v>Источник тепловой энергии  </v>
      </c>
      <c r="AQ5" s="723"/>
      <c r="AR5" s="723"/>
    </row>
    <row customHeight="1" ht="14.25" hidden="1">
      <c r="A6" s="1591"/>
      <c r="B6" s="1591"/>
      <c r="C6" s="1591"/>
      <c r="D6" s="1591"/>
      <c r="E6" s="2390"/>
      <c r="F6" s="2390"/>
      <c r="G6" s="2390"/>
      <c r="H6" s="2390"/>
      <c r="I6" s="2391">
        <f>S5&amp;".1"</f>
      </c>
      <c r="J6" s="1591"/>
      <c r="K6" s="1591"/>
      <c r="L6" s="1592" t="s">
        <v>404</v>
      </c>
      <c r="M6" s="760"/>
      <c r="P6" s="2393">
        <v>1</v>
      </c>
      <c r="Q6" s="1559"/>
      <c r="R6" s="579"/>
      <c r="S6" s="1266"/>
      <c r="T6" s="1611"/>
      <c r="U6" s="1612"/>
      <c r="V6" s="2431"/>
      <c r="W6" s="2432"/>
      <c r="X6" s="2432"/>
      <c r="Y6" s="2432"/>
      <c r="Z6" s="2432"/>
      <c r="AA6" s="2432"/>
      <c r="AB6" s="2432"/>
      <c r="AC6" s="2433"/>
      <c r="AD6" s="2431"/>
      <c r="AE6" s="2432"/>
      <c r="AF6" s="2432"/>
      <c r="AG6" s="2432"/>
      <c r="AH6" s="2432"/>
      <c r="AI6" s="2432"/>
      <c r="AJ6" s="2432"/>
      <c r="AK6" s="2432"/>
      <c r="AL6" s="2433"/>
      <c r="AM6" s="1613"/>
      <c r="AO6" s="723"/>
      <c r="AP6" s="723" t="str">
        <f>IF(T6="","",T6)</f>
        <v/>
      </c>
      <c r="AQ6" s="723"/>
      <c r="AR6" s="723"/>
    </row>
    <row customHeight="1" ht="21" hidden="1">
      <c r="A7" s="1591"/>
      <c r="B7" s="1591"/>
      <c r="C7" s="1591"/>
      <c r="D7" s="1591"/>
      <c r="E7" s="2390"/>
      <c r="F7" s="2390"/>
      <c r="G7" s="2390"/>
      <c r="H7" s="2390"/>
      <c r="I7" s="2392"/>
      <c r="J7" s="2391">
        <f>I6&amp;".1"</f>
      </c>
      <c r="K7" s="1591"/>
      <c r="L7" s="1592" t="s">
        <v>407</v>
      </c>
      <c r="M7" s="760"/>
      <c r="N7" s="1594"/>
      <c r="P7" s="2393"/>
      <c r="Q7" s="2393">
        <v>1</v>
      </c>
      <c r="R7" s="580"/>
      <c r="S7" s="1564">
        <f>$J7</f>
      </c>
      <c r="T7" s="509" t="s">
        <v>408</v>
      </c>
      <c r="U7" s="523"/>
      <c r="V7" s="2377"/>
      <c r="W7" s="2378"/>
      <c r="X7" s="2378"/>
      <c r="Y7" s="2378"/>
      <c r="Z7" s="2378"/>
      <c r="AA7" s="2378"/>
      <c r="AB7" s="2378"/>
      <c r="AC7" s="2379"/>
      <c r="AD7" s="2377"/>
      <c r="AE7" s="2378"/>
      <c r="AF7" s="2378"/>
      <c r="AG7" s="2378"/>
      <c r="AH7" s="2378"/>
      <c r="AI7" s="2378"/>
      <c r="AJ7" s="2378"/>
      <c r="AK7" s="2378"/>
      <c r="AL7" s="2379"/>
      <c r="AM7" s="1485" t="s">
        <v>409</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410</v>
      </c>
      <c r="M8" s="760"/>
      <c r="N8" s="1594"/>
      <c r="O8" s="1594"/>
      <c r="P8" s="2393"/>
      <c r="Q8" s="2393"/>
      <c r="R8" s="580">
        <v>1</v>
      </c>
      <c r="S8" s="1564">
        <f>$K8</f>
      </c>
      <c r="T8" s="1575"/>
      <c r="U8" s="523"/>
      <c r="V8" s="974"/>
      <c r="W8" s="548"/>
      <c r="X8" s="974"/>
      <c r="Y8" s="1484"/>
      <c r="Z8" s="2394"/>
      <c r="AA8" s="2264" t="s">
        <v>66</v>
      </c>
      <c r="AB8" s="2394"/>
      <c r="AC8" s="2264" t="s">
        <v>66</v>
      </c>
      <c r="AD8" s="974"/>
      <c r="AE8" s="548"/>
      <c r="AF8" s="974"/>
      <c r="AG8" s="1484"/>
      <c r="AH8" s="2394"/>
      <c r="AI8" s="2264" t="s">
        <v>66</v>
      </c>
      <c r="AJ8" s="2394"/>
      <c r="AK8" s="2264" t="s">
        <v>66</v>
      </c>
      <c r="AL8" s="548"/>
      <c r="AM8" s="2419" t="s">
        <v>411</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0" t="s">
        <v>412</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59"/>
      <c r="R11" s="579"/>
      <c r="S11" s="1506"/>
      <c r="T11" s="588" t="s">
        <v>413</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614"/>
      <c r="T12" s="1615"/>
      <c r="U12" s="1616"/>
      <c r="V12" s="1616"/>
      <c r="W12" s="1616"/>
      <c r="X12" s="1616"/>
      <c r="Y12" s="1616"/>
      <c r="Z12" s="1616"/>
      <c r="AA12" s="1616"/>
      <c r="AB12" s="1616"/>
      <c r="AC12" s="1616"/>
      <c r="AD12" s="1616"/>
      <c r="AE12" s="1616"/>
      <c r="AF12" s="1616"/>
      <c r="AG12" s="1616"/>
      <c r="AH12" s="1616"/>
      <c r="AI12" s="1616"/>
      <c r="AJ12" s="1616"/>
      <c r="AK12" s="1616"/>
      <c r="AL12" s="1616"/>
      <c r="AM12" s="1617"/>
      <c r="AO12" s="723"/>
      <c r="AP12" s="723" t="str">
        <f>IF(T12="","",T12)</f>
        <v/>
      </c>
      <c r="AQ12" s="723"/>
      <c r="AR12" s="723"/>
    </row>
    <row s="13514"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415</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3514"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252</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3514"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253</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66</v>
      </c>
      <c r="AJ17" s="2387"/>
      <c r="AK17" s="2386" t="s">
        <v>66</v>
      </c>
    </row>
    <row customHeight="1" ht="14.25" hidden="1">
      <c r="AD18" s="1588"/>
      <c r="AE18" s="1588"/>
      <c r="AF18" s="1588"/>
      <c r="AG18" s="551" t="str">
        <f>AH17&amp;"-"&amp;AJ17</f>
        <v>-</v>
      </c>
      <c r="AH18" s="2386"/>
      <c r="AI18" s="2386"/>
      <c r="AJ18" s="2386"/>
      <c r="AK18" s="2386"/>
    </row>
    <row customHeight="1" ht="14.25" hidden="1">
      <c r="AK19" s="550"/>
    </row>
    <row s="13533" customFormat="1" customHeight="1" ht="22.5" hidden="1">
      <c r="L20" s="1557"/>
      <c r="M20" s="1590"/>
      <c r="N20" s="1590"/>
      <c r="O20" s="1595" t="s">
        <v>416</v>
      </c>
      <c r="P20" s="1590"/>
      <c r="Q20" s="1599"/>
      <c r="R20" s="1599"/>
      <c r="S20" s="952"/>
      <c r="Z20" s="1595"/>
      <c r="AB20" s="1595"/>
      <c r="AC20" s="1594"/>
      <c r="AH20" s="1595"/>
      <c r="AJ20" s="1595"/>
      <c r="AK20" s="1594"/>
      <c r="AN20" s="734"/>
      <c r="AO20" s="734"/>
      <c r="AP20" s="734"/>
      <c r="AQ20" s="734"/>
      <c r="AR20" s="734"/>
    </row>
    <row s="13533" customFormat="1" customHeight="1" ht="14.25" hidden="1">
      <c r="L21" s="1557"/>
      <c r="M21" s="1590"/>
      <c r="N21" s="1590"/>
      <c r="O21" s="1590"/>
      <c r="P21" s="1590"/>
      <c r="Q21" s="1599"/>
      <c r="R21" s="1599"/>
      <c r="S21" s="952"/>
      <c r="AC21" s="1594"/>
      <c r="AK21" s="1594"/>
      <c r="AN21" s="734"/>
      <c r="AO21" s="734"/>
      <c r="AP21" s="734"/>
      <c r="AQ21" s="734"/>
      <c r="AR21" s="734"/>
    </row>
    <row s="13533" customFormat="1" customHeight="1" ht="14.25" hidden="1">
      <c r="L22" s="1557"/>
      <c r="M22" s="1590"/>
      <c r="N22" s="1590"/>
      <c r="O22" s="1592" t="s">
        <v>417</v>
      </c>
      <c r="P22" s="1590"/>
      <c r="Q22" s="1599"/>
      <c r="R22" s="1599"/>
      <c r="S22" s="952"/>
      <c r="T22" s="1385" t="s">
        <v>418</v>
      </c>
      <c r="AA22" s="409" t="s">
        <v>419</v>
      </c>
      <c r="AC22" s="409" t="s">
        <v>420</v>
      </c>
      <c r="AD22" s="1385" t="s">
        <v>418</v>
      </c>
      <c r="AI22" s="409" t="s">
        <v>421</v>
      </c>
      <c r="AK22" s="409" t="s">
        <v>420</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51">
      <c r="Q26" s="599"/>
      <c r="R26" s="599"/>
      <c r="S26" s="24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ООО "Новая Энергетика"</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3547"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Агенство по тарифам Приморского края</v>
      </c>
      <c r="W29" s="2382"/>
      <c r="X29" s="2382"/>
      <c r="Y29" s="2382"/>
      <c r="Z29" s="2382"/>
      <c r="AA29" s="2382"/>
      <c r="AB29" s="2382"/>
      <c r="AC29" s="549"/>
      <c r="AD29" s="2382" t="str">
        <f>IF(TITLE_NAME_OR_PR_CHANGE="",IF(TITLE_NAME_OR_PR="","",TITLE_NAME_OR_PR),TITLE_NAME_OR_PR_CHANGE)</f>
        <v>Агенство по тарифам Приморского края</v>
      </c>
      <c r="AE29" s="2382"/>
      <c r="AF29" s="2382"/>
      <c r="AG29" s="2382"/>
      <c r="AH29" s="2382"/>
      <c r="AI29" s="2382"/>
      <c r="AJ29" s="2382"/>
      <c r="AK29" s="549"/>
      <c r="AL29" s="549"/>
      <c r="AM29" s="503"/>
      <c r="AN29" s="591"/>
      <c r="AO29" s="591"/>
      <c r="AP29" s="591"/>
      <c r="AQ29" s="591"/>
      <c r="AR29" s="591"/>
    </row>
    <row s="13547" customFormat="1" customHeight="1" ht="18.75">
      <c r="A30" s="1596"/>
      <c r="B30" s="1596"/>
      <c r="C30" s="1596"/>
      <c r="D30" s="1596"/>
      <c r="E30" s="1596"/>
      <c r="F30" s="1596"/>
      <c r="G30" s="1596"/>
      <c r="H30" s="1596"/>
      <c r="I30" s="1596"/>
      <c r="J30" s="1596"/>
      <c r="K30" s="1596"/>
      <c r="L30" s="1597"/>
      <c r="M30" s="1596"/>
      <c r="N30" s="1596"/>
      <c r="O30" s="1596"/>
      <c r="S30" s="2380" t="s">
        <v>422</v>
      </c>
      <c r="T30" s="2380"/>
      <c r="U30" s="1600"/>
      <c r="V30" s="2381" t="str">
        <f>IF(TITLE_DATE_PR_CHANGE="",IF(TITLE_DATE_PR="","",TITLE_DATE_PR),TITLE_DATE_PR_CHANGE)</f>
        <v>45281.66994212963</v>
      </c>
      <c r="W30" s="2381"/>
      <c r="X30" s="2381"/>
      <c r="Y30" s="2381"/>
      <c r="Z30" s="2381"/>
      <c r="AA30" s="2381"/>
      <c r="AB30" s="2381"/>
      <c r="AC30" s="549"/>
      <c r="AD30" s="2381" t="str">
        <f>IF(TITLE_DATE_PR_CHANGE="",IF(TITLE_DATE_PR="","",TITLE_DATE_PR),TITLE_DATE_PR_CHANGE)</f>
        <v>45281.66994212963</v>
      </c>
      <c r="AE30" s="2381"/>
      <c r="AF30" s="2381"/>
      <c r="AG30" s="2381"/>
      <c r="AH30" s="2381"/>
      <c r="AI30" s="2381"/>
      <c r="AJ30" s="2381"/>
      <c r="AK30" s="549"/>
      <c r="AL30" s="549"/>
      <c r="AM30" s="503"/>
      <c r="AN30" s="591"/>
      <c r="AO30" s="591"/>
      <c r="AP30" s="591"/>
      <c r="AQ30" s="591"/>
      <c r="AR30" s="591"/>
    </row>
    <row s="13547" customFormat="1" customHeight="1" ht="18.75">
      <c r="A31" s="1596"/>
      <c r="B31" s="1596"/>
      <c r="C31" s="1596"/>
      <c r="D31" s="1596"/>
      <c r="E31" s="1596"/>
      <c r="F31" s="1596"/>
      <c r="G31" s="1596"/>
      <c r="H31" s="1596"/>
      <c r="I31" s="1596"/>
      <c r="J31" s="1596"/>
      <c r="K31" s="1596"/>
      <c r="L31" s="1597"/>
      <c r="M31" s="1596"/>
      <c r="N31" s="1596"/>
      <c r="O31" s="1596"/>
      <c r="S31" s="2380" t="s">
        <v>423</v>
      </c>
      <c r="T31" s="2380"/>
      <c r="U31" s="1600"/>
      <c r="V31" s="2382" t="str">
        <f>IF(TITLE_NUMBER_PR_CHANGE="",IF(TITLE_NUMBER_PR="","",TITLE_NUMBER_PR),TITLE_NUMBER_PR_CHANGE)</f>
        <v>72/1</v>
      </c>
      <c r="W31" s="2382"/>
      <c r="X31" s="2382"/>
      <c r="Y31" s="2382"/>
      <c r="Z31" s="2382"/>
      <c r="AA31" s="2382"/>
      <c r="AB31" s="2382"/>
      <c r="AC31" s="549"/>
      <c r="AD31" s="2382" t="str">
        <f>IF(TITLE_NUMBER_PR_CHANGE="",IF(TITLE_NUMBER_PR="","",TITLE_NUMBER_PR),TITLE_NUMBER_PR_CHANGE)</f>
        <v>72/1</v>
      </c>
      <c r="AE31" s="2382"/>
      <c r="AF31" s="2382"/>
      <c r="AG31" s="2382"/>
      <c r="AH31" s="2382"/>
      <c r="AI31" s="2382"/>
      <c r="AJ31" s="2382"/>
      <c r="AK31" s="549"/>
      <c r="AL31" s="549"/>
      <c r="AM31" s="503"/>
      <c r="AN31" s="591"/>
      <c r="AO31" s="591"/>
      <c r="AP31" s="591"/>
      <c r="AQ31" s="591"/>
      <c r="AR31" s="591"/>
    </row>
    <row s="13547"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http://pravo.gov.ru Номер опубликования: 2501202312270032 Дата опубликования: 27.12.2023</v>
      </c>
      <c r="W32" s="2382"/>
      <c r="X32" s="2382"/>
      <c r="Y32" s="2382"/>
      <c r="Z32" s="2382"/>
      <c r="AA32" s="2382"/>
      <c r="AB32" s="2382"/>
      <c r="AC32" s="549"/>
      <c r="AD32" s="2382" t="str">
        <f>IF(TITLE_IST_PUB_CHANGE="",IF(TITLE_IST_PUB="","",TITLE_IST_PUB),TITLE_IST_PUB_CHANGE)</f>
        <v>http://pravo.gov.ru Номер опубликования: 2501202312270032 Дата опубликования: 27.12.2023</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3547" customFormat="1" customHeight="1" ht="18.75" hidden="1">
      <c r="A34" s="1596"/>
      <c r="B34" s="1596"/>
      <c r="C34" s="1596"/>
      <c r="D34" s="1596"/>
      <c r="E34" s="1596"/>
      <c r="F34" s="1596"/>
      <c r="G34" s="1596"/>
      <c r="H34" s="1596"/>
      <c r="I34" s="1596"/>
      <c r="J34" s="1596"/>
      <c r="K34" s="1596"/>
      <c r="L34" s="1597"/>
      <c r="M34" s="1596"/>
      <c r="N34" s="1596"/>
      <c r="O34" s="1596"/>
      <c r="S34" s="2380" t="s">
        <v>424</v>
      </c>
      <c r="T34" s="2380"/>
      <c r="U34" s="1600"/>
      <c r="V34" s="2381" t="str">
        <f>IF(TITLE_DATE_PR_CHANGE="",IF(TITLE_DATE_PR="","",TITLE_DATE_PR),TITLE_DATE_PR_CHANGE)</f>
        <v>45281.66994212963</v>
      </c>
      <c r="W34" s="2381"/>
      <c r="X34" s="2381"/>
      <c r="Y34" s="2381"/>
      <c r="Z34" s="2381"/>
      <c r="AA34" s="2381"/>
      <c r="AB34" s="2381"/>
      <c r="AC34" s="549"/>
      <c r="AD34" s="2381" t="str">
        <f>IF(TITLE_DATE_PR_CHANGE="",IF(TITLE_DATE_PR="","",TITLE_DATE_PR),TITLE_DATE_PR_CHANGE)</f>
        <v>45281.66994212963</v>
      </c>
      <c r="AE34" s="2381"/>
      <c r="AF34" s="2381"/>
      <c r="AG34" s="2381"/>
      <c r="AH34" s="2381"/>
      <c r="AI34" s="2381"/>
      <c r="AJ34" s="2381"/>
      <c r="AK34" s="549"/>
      <c r="AL34" s="549"/>
      <c r="AM34" s="503"/>
      <c r="AN34" s="591"/>
      <c r="AO34" s="591"/>
      <c r="AP34" s="591"/>
      <c r="AQ34" s="591"/>
      <c r="AR34" s="591"/>
    </row>
    <row s="13547" customFormat="1" customHeight="1" ht="18.75" hidden="1">
      <c r="A35" s="1596"/>
      <c r="B35" s="1596"/>
      <c r="C35" s="1596"/>
      <c r="D35" s="1596"/>
      <c r="E35" s="1596"/>
      <c r="F35" s="1596"/>
      <c r="G35" s="1596"/>
      <c r="H35" s="1596"/>
      <c r="I35" s="1596"/>
      <c r="J35" s="1596"/>
      <c r="K35" s="1596"/>
      <c r="L35" s="1597"/>
      <c r="M35" s="1596"/>
      <c r="N35" s="1596"/>
      <c r="O35" s="1596"/>
      <c r="S35" s="2380" t="s">
        <v>425</v>
      </c>
      <c r="T35" s="2380"/>
      <c r="U35" s="1600"/>
      <c r="V35" s="2382" t="str">
        <f>IF(TITLE_NUMBER_PR_CHANGE="",IF(TITLE_NUMBER_PR="","",TITLE_NUMBER_PR),TITLE_NUMBER_PR_CHANGE)</f>
        <v>72/1</v>
      </c>
      <c r="W35" s="2382"/>
      <c r="X35" s="2382"/>
      <c r="Y35" s="2382"/>
      <c r="Z35" s="2382"/>
      <c r="AA35" s="2382"/>
      <c r="AB35" s="2382"/>
      <c r="AC35" s="549"/>
      <c r="AD35" s="2382" t="str">
        <f>IF(TITLE_NUMBER_PR_CHANGE="",IF(TITLE_NUMBER_PR="","",TITLE_NUMBER_PR),TITLE_NUMBER_PR_CHANGE)</f>
        <v>72/1</v>
      </c>
      <c r="AE35" s="2382"/>
      <c r="AF35" s="2382"/>
      <c r="AG35" s="2382"/>
      <c r="AH35" s="2382"/>
      <c r="AI35" s="2382"/>
      <c r="AJ35" s="2382"/>
      <c r="AK35" s="549"/>
      <c r="AL35" s="549"/>
      <c r="AM35" s="503"/>
      <c r="AN35" s="591"/>
      <c r="AO35" s="591"/>
      <c r="AP35" s="591"/>
      <c r="AQ35" s="591"/>
      <c r="AR35" s="591"/>
    </row>
    <row s="13547"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426</v>
      </c>
      <c r="AD36" s="549"/>
      <c r="AE36" s="549"/>
      <c r="AF36" s="549"/>
      <c r="AG36" s="549"/>
      <c r="AH36" s="549"/>
      <c r="AI36" s="549"/>
      <c r="AJ36" s="549"/>
      <c r="AK36" s="501" t="s">
        <v>426</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301</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302</v>
      </c>
    </row>
    <row customHeight="1" ht="14.25">
      <c r="Q39" s="599"/>
      <c r="R39" s="599"/>
      <c r="S39" s="2407" t="s">
        <v>87</v>
      </c>
      <c r="T39" s="2344" t="s">
        <v>427</v>
      </c>
      <c r="U39" s="524"/>
      <c r="V39" s="2408" t="s">
        <v>428</v>
      </c>
      <c r="W39" s="2409"/>
      <c r="X39" s="2409"/>
      <c r="Y39" s="2409"/>
      <c r="Z39" s="2409"/>
      <c r="AA39" s="2409"/>
      <c r="AB39" s="2410"/>
      <c r="AC39" s="2411" t="s">
        <v>429</v>
      </c>
      <c r="AD39" s="2408" t="s">
        <v>428</v>
      </c>
      <c r="AE39" s="2409"/>
      <c r="AF39" s="2409"/>
      <c r="AG39" s="2409"/>
      <c r="AH39" s="2409"/>
      <c r="AI39" s="2409"/>
      <c r="AJ39" s="2410"/>
      <c r="AK39" s="2411" t="s">
        <v>430</v>
      </c>
      <c r="AL39" s="2414" t="s">
        <v>431</v>
      </c>
      <c r="AM39" s="2254"/>
    </row>
    <row customHeight="1" ht="33.75">
      <c r="Q40" s="599"/>
      <c r="R40" s="599"/>
      <c r="S40" s="2407"/>
      <c r="T40" s="2344"/>
      <c r="U40" s="1255"/>
      <c r="V40" s="2417" t="s">
        <v>432</v>
      </c>
      <c r="W40" s="2398"/>
      <c r="X40" s="2400" t="s">
        <v>434</v>
      </c>
      <c r="Y40" s="2402"/>
      <c r="Z40" s="2400" t="s">
        <v>435</v>
      </c>
      <c r="AA40" s="2401"/>
      <c r="AB40" s="2402"/>
      <c r="AC40" s="2412"/>
      <c r="AD40" s="2417" t="s">
        <v>448</v>
      </c>
      <c r="AE40" s="2398"/>
      <c r="AF40" s="2400" t="s">
        <v>434</v>
      </c>
      <c r="AG40" s="2402"/>
      <c r="AH40" s="2400" t="s">
        <v>435</v>
      </c>
      <c r="AI40" s="2401"/>
      <c r="AJ40" s="2402"/>
      <c r="AK40" s="2412"/>
      <c r="AL40" s="2415"/>
      <c r="AM40" s="2254"/>
    </row>
    <row customHeight="1" ht="33.75">
      <c r="A41" s="1598"/>
      <c r="B41" s="1598" t="s">
        <v>134</v>
      </c>
      <c r="C41" s="1598" t="s">
        <v>135</v>
      </c>
      <c r="D41" s="1598" t="s">
        <v>136</v>
      </c>
      <c r="E41" s="1592" t="s">
        <v>436</v>
      </c>
      <c r="F41" s="1592" t="s">
        <v>437</v>
      </c>
      <c r="G41" s="1592" t="s">
        <v>438</v>
      </c>
      <c r="H41" s="1592" t="s">
        <v>439</v>
      </c>
      <c r="I41" s="1592" t="s">
        <v>440</v>
      </c>
      <c r="J41" s="1592" t="s">
        <v>441</v>
      </c>
      <c r="K41" s="1592" t="s">
        <v>442</v>
      </c>
      <c r="L41" s="1592" t="s">
        <v>417</v>
      </c>
      <c r="Q41" s="599"/>
      <c r="R41" s="599"/>
      <c r="S41" s="2407"/>
      <c r="T41" s="2344"/>
      <c r="U41" s="525"/>
      <c r="V41" s="2418"/>
      <c r="W41" s="2399"/>
      <c r="X41" s="1449" t="s">
        <v>443</v>
      </c>
      <c r="Y41" s="1449" t="s">
        <v>444</v>
      </c>
      <c r="Z41" s="1566" t="s">
        <v>445</v>
      </c>
      <c r="AA41" s="2403" t="s">
        <v>446</v>
      </c>
      <c r="AB41" s="2404"/>
      <c r="AC41" s="2413"/>
      <c r="AD41" s="2418"/>
      <c r="AE41" s="2399"/>
      <c r="AF41" s="1449" t="s">
        <v>443</v>
      </c>
      <c r="AG41" s="1449" t="s">
        <v>444</v>
      </c>
      <c r="AH41" s="1566" t="s">
        <v>445</v>
      </c>
      <c r="AI41" s="2403" t="s">
        <v>446</v>
      </c>
      <c r="AJ41" s="2404"/>
      <c r="AK41" s="2413"/>
      <c r="AL41" s="2416"/>
      <c r="AM41" s="2254"/>
    </row>
    <row s="13364"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108</v>
      </c>
      <c r="T42" s="1482" t="s">
        <v>109</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167</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122</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167</v>
      </c>
      <c r="B44" s="1591" t="s">
        <v>168</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398</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399</v>
      </c>
      <c r="AO44" s="723"/>
      <c r="AP44" s="723" t="str">
        <f>IF(T44="","",T44)</f>
        <v>Территория действия тарифа</v>
      </c>
      <c r="AQ44" s="723"/>
      <c r="AR44" s="723"/>
    </row>
    <row customHeight="1" ht="23.25">
      <c r="A45" s="1591" t="s">
        <v>167</v>
      </c>
      <c r="B45" s="1591" t="s">
        <v>168</v>
      </c>
      <c r="C45" s="1591" t="s">
        <v>169</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400</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401</v>
      </c>
      <c r="AO45" s="723"/>
      <c r="AP45" s="723" t="str">
        <f>IF(T45="","",T45)</f>
        <v>Наименование системы теплоснабжения </v>
      </c>
      <c r="AQ45" s="723"/>
      <c r="AR45" s="723"/>
    </row>
    <row customHeight="1" ht="21">
      <c r="A46" s="1591" t="s">
        <v>167</v>
      </c>
      <c r="B46" s="1591" t="s">
        <v>168</v>
      </c>
      <c r="C46" s="1591" t="s">
        <v>169</v>
      </c>
      <c r="D46" s="1591" t="s">
        <v>170</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402</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403</v>
      </c>
      <c r="AO46" s="723"/>
      <c r="AP46" s="723" t="str">
        <f>IF(T46="","",T46)</f>
        <v>Источник тепловой энергии  </v>
      </c>
      <c r="AQ46" s="723"/>
      <c r="AR46" s="723"/>
    </row>
    <row s="13606" customFormat="1" customHeight="1" ht="0">
      <c r="A47" s="1571" t="s">
        <v>167</v>
      </c>
      <c r="B47" s="1571" t="s">
        <v>168</v>
      </c>
      <c r="C47" s="1571" t="s">
        <v>169</v>
      </c>
      <c r="D47" s="1571" t="s">
        <v>170</v>
      </c>
      <c r="E47" s="2390"/>
      <c r="F47" s="2390"/>
      <c r="G47" s="2390"/>
      <c r="H47" s="2390"/>
      <c r="I47" s="2391" t="str">
        <f>S46&amp;".1"</f>
        <v>....1</v>
      </c>
      <c r="J47" s="1571"/>
      <c r="K47" s="1571"/>
      <c r="L47" s="1574" t="s">
        <v>404</v>
      </c>
      <c r="M47" s="733"/>
      <c r="N47" s="733"/>
      <c r="O47" s="733"/>
      <c r="P47" s="2393">
        <v>1</v>
      </c>
      <c r="Q47" s="1559"/>
      <c r="R47" s="579"/>
      <c r="S47" s="1266"/>
      <c r="T47" s="1611"/>
      <c r="U47" s="1612"/>
      <c r="V47" s="2431"/>
      <c r="W47" s="2432"/>
      <c r="X47" s="2432"/>
      <c r="Y47" s="2432"/>
      <c r="Z47" s="2432"/>
      <c r="AA47" s="2432"/>
      <c r="AB47" s="2432"/>
      <c r="AC47" s="2433"/>
      <c r="AD47" s="2431"/>
      <c r="AE47" s="2432"/>
      <c r="AF47" s="2432"/>
      <c r="AG47" s="2432"/>
      <c r="AH47" s="2432"/>
      <c r="AI47" s="2432"/>
      <c r="AJ47" s="2432"/>
      <c r="AK47" s="2432"/>
      <c r="AL47" s="2433"/>
      <c r="AM47" s="1613"/>
      <c r="AO47" s="723"/>
      <c r="AP47" s="723" t="str">
        <f>IF(T47="","",T47)</f>
        <v/>
      </c>
      <c r="AQ47" s="723"/>
      <c r="AR47" s="723"/>
    </row>
    <row customHeight="1" ht="21">
      <c r="A48" s="1591" t="s">
        <v>167</v>
      </c>
      <c r="B48" s="1591" t="s">
        <v>168</v>
      </c>
      <c r="C48" s="1591" t="s">
        <v>169</v>
      </c>
      <c r="D48" s="1591" t="s">
        <v>170</v>
      </c>
      <c r="E48" s="2390"/>
      <c r="F48" s="2390"/>
      <c r="G48" s="2390"/>
      <c r="H48" s="2390"/>
      <c r="I48" s="2392"/>
      <c r="J48" s="2391" t="str">
        <f>S46&amp;".1"</f>
        <v>....1</v>
      </c>
      <c r="K48" s="1591"/>
      <c r="L48" s="1592" t="s">
        <v>407</v>
      </c>
      <c r="P48" s="2393"/>
      <c r="Q48" s="2393">
        <v>1</v>
      </c>
      <c r="R48" s="580"/>
      <c r="S48" s="1564" t="str">
        <f>$J48</f>
        <v>....1</v>
      </c>
      <c r="T48" s="509" t="s">
        <v>408</v>
      </c>
      <c r="U48" s="523"/>
      <c r="V48" s="2377"/>
      <c r="W48" s="2378"/>
      <c r="X48" s="2378"/>
      <c r="Y48" s="2378"/>
      <c r="Z48" s="2378"/>
      <c r="AA48" s="2378"/>
      <c r="AB48" s="2378"/>
      <c r="AC48" s="2379"/>
      <c r="AD48" s="2377"/>
      <c r="AE48" s="2378"/>
      <c r="AF48" s="2378"/>
      <c r="AG48" s="2378"/>
      <c r="AH48" s="2378"/>
      <c r="AI48" s="2378"/>
      <c r="AJ48" s="2378"/>
      <c r="AK48" s="2378"/>
      <c r="AL48" s="2379"/>
      <c r="AM48" s="1485" t="s">
        <v>409</v>
      </c>
      <c r="AO48" s="723"/>
      <c r="AP48" s="723" t="str">
        <f>IF(T48="","",T48)</f>
        <v>Группа потребителей</v>
      </c>
      <c r="AQ48" s="723"/>
      <c r="AR48" s="723"/>
    </row>
    <row customHeight="1" ht="21">
      <c r="A49" s="1591" t="s">
        <v>167</v>
      </c>
      <c r="B49" s="1591" t="s">
        <v>168</v>
      </c>
      <c r="C49" s="1591" t="s">
        <v>169</v>
      </c>
      <c r="D49" s="1591" t="s">
        <v>170</v>
      </c>
      <c r="E49" s="2390"/>
      <c r="F49" s="2390"/>
      <c r="G49" s="2390"/>
      <c r="H49" s="2390"/>
      <c r="I49" s="2392"/>
      <c r="J49" s="2392"/>
      <c r="K49" s="2391" t="str">
        <f>J48&amp;".1"</f>
        <v>....1.1</v>
      </c>
      <c r="L49" s="1592" t="s">
        <v>410</v>
      </c>
      <c r="P49" s="2393"/>
      <c r="Q49" s="2393"/>
      <c r="R49" s="580">
        <v>1</v>
      </c>
      <c r="S49" s="1564" t="str">
        <f>$K49</f>
        <v>....1.1</v>
      </c>
      <c r="T49" s="1575"/>
      <c r="U49" s="523"/>
      <c r="V49" s="974"/>
      <c r="W49" s="548"/>
      <c r="X49" s="974"/>
      <c r="Y49" s="1484"/>
      <c r="Z49" s="2394"/>
      <c r="AA49" s="2264" t="s">
        <v>66</v>
      </c>
      <c r="AB49" s="2394"/>
      <c r="AC49" s="2264" t="s">
        <v>66</v>
      </c>
      <c r="AD49" s="974"/>
      <c r="AE49" s="548"/>
      <c r="AF49" s="974"/>
      <c r="AG49" s="1484"/>
      <c r="AH49" s="2394"/>
      <c r="AI49" s="2264" t="s">
        <v>66</v>
      </c>
      <c r="AJ49" s="2396"/>
      <c r="AK49" s="2264" t="s">
        <v>66</v>
      </c>
      <c r="AL49" s="1576"/>
      <c r="AM49" s="2419" t="s">
        <v>449</v>
      </c>
      <c r="AN49" s="734">
        <f>STRCHECKDATE(V50:AL50)</f>
      </c>
      <c r="AO49" s="723"/>
      <c r="AP49" s="723" t="str">
        <f>IF(T49="","",T49)</f>
        <v/>
      </c>
      <c r="AQ49" s="723"/>
      <c r="AR49" s="723"/>
    </row>
    <row customHeight="1" ht="0.75">
      <c r="A50" s="1591" t="s">
        <v>167</v>
      </c>
      <c r="B50" s="1591" t="s">
        <v>168</v>
      </c>
      <c r="C50" s="1591" t="s">
        <v>169</v>
      </c>
      <c r="D50" s="1591" t="s">
        <v>170</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167</v>
      </c>
      <c r="B51" s="1591" t="s">
        <v>168</v>
      </c>
      <c r="C51" s="1591" t="s">
        <v>169</v>
      </c>
      <c r="D51" s="1591" t="s">
        <v>170</v>
      </c>
      <c r="E51" s="2390"/>
      <c r="F51" s="2390"/>
      <c r="G51" s="2390"/>
      <c r="H51" s="2390"/>
      <c r="I51" s="2392"/>
      <c r="J51" s="2391"/>
      <c r="K51" s="1591"/>
      <c r="L51" s="1592"/>
      <c r="P51" s="2393"/>
      <c r="Q51" s="2393"/>
      <c r="R51" s="579"/>
      <c r="S51" s="1506"/>
      <c r="T51" s="510" t="s">
        <v>412</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167</v>
      </c>
      <c r="B52" s="1591" t="s">
        <v>168</v>
      </c>
      <c r="C52" s="1591" t="s">
        <v>169</v>
      </c>
      <c r="D52" s="1591" t="s">
        <v>170</v>
      </c>
      <c r="E52" s="2390"/>
      <c r="F52" s="2390"/>
      <c r="G52" s="2390"/>
      <c r="H52" s="2390"/>
      <c r="I52" s="2391"/>
      <c r="J52" s="1591"/>
      <c r="K52" s="1591"/>
      <c r="L52" s="1592"/>
      <c r="P52" s="2393"/>
      <c r="Q52" s="1559"/>
      <c r="R52" s="579"/>
      <c r="S52" s="1506"/>
      <c r="T52" s="588" t="s">
        <v>413</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91" t="s">
        <v>167</v>
      </c>
      <c r="B53" s="1591" t="s">
        <v>168</v>
      </c>
      <c r="C53" s="1591" t="s">
        <v>169</v>
      </c>
      <c r="D53" s="1591" t="s">
        <v>170</v>
      </c>
      <c r="E53" s="2390"/>
      <c r="F53" s="2390"/>
      <c r="G53" s="2390"/>
      <c r="H53" s="2389"/>
      <c r="I53" s="1591"/>
      <c r="J53" s="1591"/>
      <c r="K53" s="1591"/>
      <c r="L53" s="1592"/>
      <c r="M53" s="1593"/>
      <c r="N53" s="1593"/>
      <c r="O53" s="760"/>
      <c r="P53" s="583"/>
      <c r="Q53" s="598"/>
      <c r="R53" s="578"/>
      <c r="S53" s="1614"/>
      <c r="T53" s="1615"/>
      <c r="U53" s="1616"/>
      <c r="V53" s="1616"/>
      <c r="W53" s="1616"/>
      <c r="X53" s="1616"/>
      <c r="Y53" s="1616"/>
      <c r="Z53" s="1616"/>
      <c r="AA53" s="1616"/>
      <c r="AB53" s="1616"/>
      <c r="AC53" s="1616"/>
      <c r="AD53" s="1616"/>
      <c r="AE53" s="1616"/>
      <c r="AF53" s="1616"/>
      <c r="AG53" s="1616"/>
      <c r="AH53" s="1616"/>
      <c r="AI53" s="1616"/>
      <c r="AJ53" s="1616"/>
      <c r="AK53" s="1616"/>
      <c r="AL53" s="1616"/>
      <c r="AM53" s="1617"/>
      <c r="AO53" s="723"/>
      <c r="AP53" s="723" t="str">
        <f>IF(T53="","",T53)</f>
        <v/>
      </c>
      <c r="AQ53" s="723"/>
      <c r="AR53" s="723"/>
    </row>
    <row s="13514" customFormat="1" customHeight="1" ht="0.75">
      <c r="A54" s="1571" t="s">
        <v>167</v>
      </c>
      <c r="B54" s="1571" t="s">
        <v>168</v>
      </c>
      <c r="C54" s="1571" t="s">
        <v>169</v>
      </c>
      <c r="D54" s="1542"/>
      <c r="E54" s="2390"/>
      <c r="F54" s="2390"/>
      <c r="G54" s="2389"/>
      <c r="H54" s="1542"/>
      <c r="I54" s="1542"/>
      <c r="J54" s="1542"/>
      <c r="K54" s="1542"/>
      <c r="L54" s="1567"/>
      <c r="M54" s="1543"/>
      <c r="N54" s="1543"/>
      <c r="P54" s="1544"/>
      <c r="Q54" s="1545"/>
      <c r="R54" s="1544"/>
      <c r="S54" s="1550"/>
      <c r="T54" s="1553" t="s">
        <v>415</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3514" customFormat="1" customHeight="1" ht="0.75">
      <c r="A55" s="1571" t="s">
        <v>167</v>
      </c>
      <c r="B55" s="1571" t="s">
        <v>168</v>
      </c>
      <c r="C55" s="1542"/>
      <c r="D55" s="1542"/>
      <c r="E55" s="2390"/>
      <c r="F55" s="2389"/>
      <c r="G55" s="1542"/>
      <c r="H55" s="1542"/>
      <c r="I55" s="1542"/>
      <c r="J55" s="1542"/>
      <c r="K55" s="1542"/>
      <c r="L55" s="1567"/>
      <c r="M55" s="1549"/>
      <c r="N55" s="1549"/>
      <c r="P55" s="1544"/>
      <c r="Q55" s="1545"/>
      <c r="R55" s="1544"/>
      <c r="S55" s="1550"/>
      <c r="T55" s="1553" t="s">
        <v>252</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3606" customFormat="1" customHeight="1" ht="0.75">
      <c r="A56" s="1571" t="s">
        <v>167</v>
      </c>
      <c r="B56" s="1571"/>
      <c r="C56" s="1571"/>
      <c r="D56" s="1571"/>
      <c r="E56" s="2389"/>
      <c r="F56" s="1571"/>
      <c r="G56" s="1571"/>
      <c r="H56" s="1571"/>
      <c r="I56" s="1571"/>
      <c r="J56" s="1571"/>
      <c r="K56" s="1571"/>
      <c r="L56" s="1574"/>
      <c r="M56" s="1549"/>
      <c r="N56" s="1549"/>
      <c r="O56" s="741"/>
      <c r="P56" s="603"/>
      <c r="Q56" s="1572"/>
      <c r="R56" s="603"/>
      <c r="S56" s="1550"/>
      <c r="T56" s="1553" t="s">
        <v>253</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3514"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254</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18.75">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27.7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39.75">
      <c r="O61" s="760"/>
      <c r="T61" s="2388"/>
      <c r="U61" s="2388"/>
      <c r="V61" s="2388"/>
      <c r="W61" s="2388"/>
      <c r="X61" s="2388"/>
      <c r="Y61" s="2388"/>
      <c r="Z61" s="2388"/>
      <c r="AA61" s="2388"/>
      <c r="AB61" s="2388"/>
      <c r="AC61" s="2388"/>
      <c r="AD61" s="2388"/>
      <c r="AE61" s="2388"/>
      <c r="AF61" s="2388"/>
      <c r="AG61" s="2388"/>
      <c r="AH61" s="2388"/>
      <c r="AI61" s="2388"/>
      <c r="AJ61" s="2388"/>
      <c r="AK61" s="2388"/>
      <c r="AL61" s="2388"/>
      <c r="AM61" s="2388"/>
    </row>
    <row customHeight="1" ht="14.25">
      <c r="O62" s="760"/>
    </row>
    <row customHeight="1" ht="19.5">
      <c r="O63" s="760"/>
      <c r="S63" s="1480"/>
      <c r="T63" s="2434"/>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T64" s="2388"/>
      <c r="U64" s="2388"/>
      <c r="V64" s="2388"/>
      <c r="W64" s="2388"/>
      <c r="X64" s="2388"/>
      <c r="Y64" s="2388"/>
      <c r="Z64" s="2388"/>
      <c r="AA64" s="2388"/>
      <c r="AB64" s="2388"/>
      <c r="AC64" s="2388"/>
      <c r="AD64" s="2388"/>
      <c r="AE64" s="2388"/>
      <c r="AF64" s="2388"/>
      <c r="AG64" s="2388"/>
      <c r="AH64" s="2388"/>
      <c r="AI64" s="2388"/>
      <c r="AJ64" s="2388"/>
      <c r="AK64" s="2388"/>
      <c r="AL64" s="2388"/>
      <c r="AM64" s="2388"/>
    </row>
    <row customHeight="1" ht="33.75">
      <c r="T65" s="2388"/>
      <c r="U65" s="2388"/>
      <c r="V65" s="2388"/>
      <c r="W65" s="2388"/>
      <c r="X65" s="2388"/>
      <c r="Y65" s="2388"/>
      <c r="Z65" s="2388"/>
      <c r="AA65" s="2388"/>
      <c r="AB65" s="2388"/>
      <c r="AC65" s="2388"/>
      <c r="AD65" s="2388"/>
      <c r="AE65" s="2388"/>
      <c r="AF65" s="2388"/>
      <c r="AG65" s="2388"/>
      <c r="AH65" s="2388"/>
      <c r="AI65" s="2388"/>
      <c r="AJ65" s="2388"/>
      <c r="AK65" s="2388"/>
      <c r="AL65" s="2388"/>
      <c r="AM65" s="23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655E4-B835-6958-869F-03624AA528D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533" width="10.57421875" hidden="1"/>
    <col min="2" max="2" style="13533" width="11.00390625" hidden="1" customWidth="1"/>
    <col min="3" max="3" style="13533" width="10.57421875" hidden="1"/>
    <col min="4" max="4" style="13533" width="11.8515625" hidden="1" customWidth="1"/>
    <col min="5" max="5" style="13533" width="10.00390625" hidden="1" customWidth="1"/>
    <col min="6" max="6" style="13533" width="8.7109375" hidden="1" customWidth="1"/>
    <col min="7" max="7" style="13533" width="7.57421875" hidden="1" customWidth="1"/>
    <col min="8" max="8" style="13533" width="11.421875" hidden="1" customWidth="1"/>
    <col min="9" max="9" style="13533" width="12.00390625" hidden="1" customWidth="1"/>
    <col min="10" max="10" style="13533" width="9.8515625" hidden="1" customWidth="1"/>
    <col min="11" max="11" style="13533" width="11.421875" hidden="1" customWidth="1"/>
    <col min="12" max="12" style="13614" width="19.140625" hidden="1" customWidth="1"/>
    <col min="13" max="14" style="13615" width="12.28125" hidden="1" customWidth="1"/>
    <col min="15" max="15" style="13615" width="23.421875" hidden="1" customWidth="1"/>
    <col min="16" max="16" style="13627" width="3.7109375" hidden="1" customWidth="1"/>
    <col min="17" max="18" style="13617" width="3.7109375" customWidth="1"/>
    <col min="19" max="19" style="13618" width="12.7109375" customWidth="1"/>
    <col min="20" max="20" style="13619" width="32.00390625" customWidth="1"/>
    <col min="21" max="21" style="13619" width="0.140625" customWidth="1"/>
    <col min="22" max="22" style="13619" width="24.7109375" hidden="1" customWidth="1"/>
    <col min="23" max="23" style="13619" width="0.140625" hidden="1" customWidth="1"/>
    <col min="24" max="25" style="13619" width="24.7109375" hidden="1" customWidth="1"/>
    <col min="26" max="26" style="13619" width="11.7109375" hidden="1" customWidth="1"/>
    <col min="27" max="27" style="13619" width="3.7109375" hidden="1" customWidth="1"/>
    <col min="28" max="28" style="13619" width="11.7109375" hidden="1" customWidth="1"/>
    <col min="29" max="29" style="13619" width="8.57421875" hidden="1" customWidth="1"/>
    <col min="30" max="30" style="13619" width="24.7109375" customWidth="1"/>
    <col min="31" max="31" style="13619" width="0.140625" customWidth="1"/>
    <col min="32" max="33" style="13619" width="24.7109375" customWidth="1"/>
    <col min="34" max="34" style="13619" width="11.7109375" customWidth="1"/>
    <col min="35" max="35" style="13619" width="3.7109375" customWidth="1"/>
    <col min="36" max="36" style="13619" width="11.7109375" customWidth="1"/>
    <col min="37" max="37" style="13619" width="8.57421875" hidden="1" customWidth="1"/>
    <col min="38" max="38" style="13619" width="4.7109375" customWidth="1"/>
    <col min="39" max="39" style="13619" width="115.7109375" customWidth="1"/>
    <col min="40" max="41" style="13606" width="10.57421875"/>
    <col min="42" max="42" style="13606" width="11.140625" customWidth="1"/>
    <col min="43" max="44" style="13606" width="10.57421875"/>
  </cols>
  <sheetData>
    <row customHeight="1" ht="14.25" hidden="1">
      <c r="A1" s="2100"/>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122</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397</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398</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399</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400</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401</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402</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403</v>
      </c>
      <c r="AO5" s="723"/>
      <c r="AP5" s="723" t="str">
        <f>IF(T5="","",T5)</f>
        <v>Источник тепловой энергии  </v>
      </c>
      <c r="AQ5" s="723"/>
      <c r="AR5" s="723"/>
    </row>
    <row customHeight="1" ht="14.25" hidden="1">
      <c r="A6" s="1591"/>
      <c r="B6" s="1591"/>
      <c r="C6" s="1591"/>
      <c r="D6" s="1591"/>
      <c r="E6" s="2390"/>
      <c r="F6" s="2390"/>
      <c r="G6" s="2390"/>
      <c r="H6" s="2390"/>
      <c r="I6" s="2391">
        <f>S5&amp;".1"</f>
      </c>
      <c r="J6" s="1591"/>
      <c r="K6" s="1591"/>
      <c r="L6" s="1592" t="s">
        <v>404</v>
      </c>
      <c r="M6" s="760"/>
      <c r="P6" s="2393">
        <v>1</v>
      </c>
      <c r="Q6" s="1559"/>
      <c r="R6" s="579"/>
      <c r="S6" s="1266"/>
      <c r="T6" s="1611"/>
      <c r="U6" s="1612"/>
      <c r="V6" s="2431"/>
      <c r="W6" s="2432"/>
      <c r="X6" s="2432"/>
      <c r="Y6" s="2432"/>
      <c r="Z6" s="2432"/>
      <c r="AA6" s="2432"/>
      <c r="AB6" s="2432"/>
      <c r="AC6" s="2433"/>
      <c r="AD6" s="2431"/>
      <c r="AE6" s="2432"/>
      <c r="AF6" s="2432"/>
      <c r="AG6" s="2432"/>
      <c r="AH6" s="2432"/>
      <c r="AI6" s="2432"/>
      <c r="AJ6" s="2432"/>
      <c r="AK6" s="2432"/>
      <c r="AL6" s="2433"/>
      <c r="AM6" s="1613"/>
      <c r="AO6" s="723"/>
      <c r="AP6" s="723" t="str">
        <f>IF(T6="","",T6)</f>
        <v/>
      </c>
      <c r="AQ6" s="723"/>
      <c r="AR6" s="723"/>
    </row>
    <row customHeight="1" ht="21" hidden="1">
      <c r="A7" s="1591"/>
      <c r="B7" s="1591"/>
      <c r="C7" s="1591"/>
      <c r="D7" s="1591"/>
      <c r="E7" s="2390"/>
      <c r="F7" s="2390"/>
      <c r="G7" s="2390"/>
      <c r="H7" s="2390"/>
      <c r="I7" s="2392"/>
      <c r="J7" s="2391">
        <f>I6&amp;".1"</f>
      </c>
      <c r="K7" s="1591"/>
      <c r="L7" s="1592" t="s">
        <v>407</v>
      </c>
      <c r="M7" s="760"/>
      <c r="N7" s="1594"/>
      <c r="P7" s="2393"/>
      <c r="Q7" s="2393">
        <v>1</v>
      </c>
      <c r="R7" s="580"/>
      <c r="S7" s="1564">
        <f>$J7</f>
      </c>
      <c r="T7" s="509" t="s">
        <v>408</v>
      </c>
      <c r="U7" s="523"/>
      <c r="V7" s="2377"/>
      <c r="W7" s="2378"/>
      <c r="X7" s="2378"/>
      <c r="Y7" s="2378"/>
      <c r="Z7" s="2378"/>
      <c r="AA7" s="2378"/>
      <c r="AB7" s="2378"/>
      <c r="AC7" s="2379"/>
      <c r="AD7" s="2377"/>
      <c r="AE7" s="2378"/>
      <c r="AF7" s="2378"/>
      <c r="AG7" s="2378"/>
      <c r="AH7" s="2378"/>
      <c r="AI7" s="2378"/>
      <c r="AJ7" s="2378"/>
      <c r="AK7" s="2378"/>
      <c r="AL7" s="2379"/>
      <c r="AM7" s="1485" t="s">
        <v>409</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410</v>
      </c>
      <c r="M8" s="760"/>
      <c r="N8" s="1594"/>
      <c r="O8" s="1594"/>
      <c r="P8" s="2393"/>
      <c r="Q8" s="2393"/>
      <c r="R8" s="580">
        <v>1</v>
      </c>
      <c r="S8" s="1564">
        <f>$K8</f>
      </c>
      <c r="T8" s="1575"/>
      <c r="U8" s="523"/>
      <c r="V8" s="974"/>
      <c r="W8" s="548"/>
      <c r="X8" s="974"/>
      <c r="Y8" s="1484"/>
      <c r="Z8" s="2394"/>
      <c r="AA8" s="2264" t="s">
        <v>66</v>
      </c>
      <c r="AB8" s="2394"/>
      <c r="AC8" s="2264" t="s">
        <v>66</v>
      </c>
      <c r="AD8" s="974"/>
      <c r="AE8" s="548"/>
      <c r="AF8" s="974"/>
      <c r="AG8" s="1484"/>
      <c r="AH8" s="2394"/>
      <c r="AI8" s="2264" t="s">
        <v>66</v>
      </c>
      <c r="AJ8" s="2394"/>
      <c r="AK8" s="2264" t="s">
        <v>66</v>
      </c>
      <c r="AL8" s="548"/>
      <c r="AM8" s="2419" t="s">
        <v>411</v>
      </c>
      <c r="AN8" s="734">
        <f>STRCHECKDATE(V9:AL9)</f>
      </c>
      <c r="AO8" s="723"/>
      <c r="AP8" s="723" t="str">
        <f>IF(T8="","",T8)</f>
        <v/>
      </c>
      <c r="AQ8" s="723"/>
      <c r="AR8" s="723"/>
    </row>
    <row customHeight="1" ht="14.2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0" t="s">
        <v>412</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1.25" hidden="1">
      <c r="A11" s="1591"/>
      <c r="B11" s="1591"/>
      <c r="C11" s="1591"/>
      <c r="D11" s="1591"/>
      <c r="E11" s="2390"/>
      <c r="F11" s="2390"/>
      <c r="G11" s="2390"/>
      <c r="H11" s="2390"/>
      <c r="I11" s="2391"/>
      <c r="J11" s="1591"/>
      <c r="K11" s="1591"/>
      <c r="L11" s="1592"/>
      <c r="M11" s="760"/>
      <c r="P11" s="2393"/>
      <c r="Q11" s="1559"/>
      <c r="R11" s="579"/>
      <c r="S11" s="1506"/>
      <c r="T11" s="588" t="s">
        <v>413</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614"/>
      <c r="T12" s="1615"/>
      <c r="U12" s="1616"/>
      <c r="V12" s="1616"/>
      <c r="W12" s="1616"/>
      <c r="X12" s="1616"/>
      <c r="Y12" s="1616"/>
      <c r="Z12" s="1616"/>
      <c r="AA12" s="1616"/>
      <c r="AB12" s="1616"/>
      <c r="AC12" s="1616"/>
      <c r="AD12" s="1616"/>
      <c r="AE12" s="1616"/>
      <c r="AF12" s="1616"/>
      <c r="AG12" s="1616"/>
      <c r="AH12" s="1616"/>
      <c r="AI12" s="1616"/>
      <c r="AJ12" s="1616"/>
      <c r="AK12" s="1616"/>
      <c r="AL12" s="1616"/>
      <c r="AM12" s="1617"/>
      <c r="AO12" s="723"/>
      <c r="AP12" s="723" t="str">
        <f>IF(T12="","",T12)</f>
        <v/>
      </c>
      <c r="AQ12" s="723"/>
      <c r="AR12" s="723"/>
    </row>
    <row s="13514" customFormat="1" customHeight="1" ht="14.25" hidden="1">
      <c r="A13" s="1542"/>
      <c r="B13" s="1542"/>
      <c r="C13" s="1542"/>
      <c r="D13" s="1542"/>
      <c r="E13" s="2390"/>
      <c r="F13" s="2390"/>
      <c r="G13" s="2389"/>
      <c r="H13" s="1542"/>
      <c r="I13" s="1542"/>
      <c r="J13" s="1542"/>
      <c r="K13" s="1542"/>
      <c r="L13" s="1567"/>
      <c r="M13" s="1543"/>
      <c r="N13" s="1543"/>
      <c r="P13" s="1544"/>
      <c r="Q13" s="1545"/>
      <c r="R13" s="1544"/>
      <c r="S13" s="1546"/>
      <c r="T13" s="1547" t="s">
        <v>415</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3514" customFormat="1" customHeight="1" ht="14.25" hidden="1">
      <c r="A14" s="1542"/>
      <c r="B14" s="1542"/>
      <c r="C14" s="1542"/>
      <c r="D14" s="1542"/>
      <c r="E14" s="2390"/>
      <c r="F14" s="2389"/>
      <c r="G14" s="1542"/>
      <c r="H14" s="1542"/>
      <c r="I14" s="1542"/>
      <c r="J14" s="1542"/>
      <c r="K14" s="1542"/>
      <c r="L14" s="1567"/>
      <c r="M14" s="1549"/>
      <c r="N14" s="1549"/>
      <c r="P14" s="1544"/>
      <c r="Q14" s="1545"/>
      <c r="R14" s="1544"/>
      <c r="S14" s="1550"/>
      <c r="T14" s="1551" t="s">
        <v>252</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3514" customFormat="1" customHeight="1" ht="14.25" hidden="1">
      <c r="A15" s="1542"/>
      <c r="B15" s="1542"/>
      <c r="C15" s="1542"/>
      <c r="D15" s="1542"/>
      <c r="E15" s="2389"/>
      <c r="F15" s="1542"/>
      <c r="G15" s="1542"/>
      <c r="H15" s="1542"/>
      <c r="I15" s="1542"/>
      <c r="J15" s="1542"/>
      <c r="K15" s="1542"/>
      <c r="L15" s="1567"/>
      <c r="M15" s="1549"/>
      <c r="N15" s="1549"/>
      <c r="P15" s="1544"/>
      <c r="Q15" s="1545"/>
      <c r="R15" s="1544"/>
      <c r="S15" s="1550"/>
      <c r="T15" s="1553" t="s">
        <v>253</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66</v>
      </c>
      <c r="AJ17" s="2387"/>
      <c r="AK17" s="2386" t="s">
        <v>66</v>
      </c>
    </row>
    <row customHeight="1" ht="14.25" hidden="1">
      <c r="AD18" s="1588"/>
      <c r="AE18" s="1588"/>
      <c r="AF18" s="1588"/>
      <c r="AG18" s="551" t="str">
        <f>AH17&amp;"-"&amp;AJ17</f>
        <v>-</v>
      </c>
      <c r="AH18" s="2386"/>
      <c r="AI18" s="2386"/>
      <c r="AJ18" s="2386"/>
      <c r="AK18" s="2386"/>
    </row>
    <row customHeight="1" ht="14.25" hidden="1">
      <c r="AK19" s="550"/>
    </row>
    <row s="13533" customFormat="1" customHeight="1" ht="22.5" hidden="1">
      <c r="L20" s="1557"/>
      <c r="M20" s="1590"/>
      <c r="N20" s="1590"/>
      <c r="O20" s="1595" t="s">
        <v>416</v>
      </c>
      <c r="P20" s="1590"/>
      <c r="Q20" s="1599"/>
      <c r="R20" s="1599"/>
      <c r="S20" s="952"/>
      <c r="Z20" s="1595"/>
      <c r="AB20" s="1595"/>
      <c r="AC20" s="1594"/>
      <c r="AH20" s="1595"/>
      <c r="AJ20" s="1595"/>
      <c r="AK20" s="1594"/>
      <c r="AN20" s="734"/>
      <c r="AO20" s="734"/>
      <c r="AP20" s="734"/>
      <c r="AQ20" s="734"/>
      <c r="AR20" s="734"/>
    </row>
    <row s="13533" customFormat="1" customHeight="1" ht="14.25" hidden="1">
      <c r="L21" s="1557"/>
      <c r="M21" s="1590"/>
      <c r="N21" s="1590"/>
      <c r="O21" s="1590"/>
      <c r="P21" s="1590"/>
      <c r="Q21" s="1599"/>
      <c r="R21" s="1599"/>
      <c r="S21" s="952"/>
      <c r="AC21" s="1594"/>
      <c r="AK21" s="1594"/>
      <c r="AN21" s="734"/>
      <c r="AO21" s="734"/>
      <c r="AP21" s="734"/>
      <c r="AQ21" s="734"/>
      <c r="AR21" s="734"/>
    </row>
    <row s="13533" customFormat="1" customHeight="1" ht="14.25" hidden="1">
      <c r="L22" s="1557"/>
      <c r="M22" s="1590"/>
      <c r="N22" s="1590"/>
      <c r="O22" s="1592" t="s">
        <v>417</v>
      </c>
      <c r="P22" s="1590"/>
      <c r="Q22" s="1599"/>
      <c r="R22" s="1599"/>
      <c r="S22" s="952"/>
      <c r="T22" s="1385" t="s">
        <v>418</v>
      </c>
      <c r="AA22" s="409" t="s">
        <v>419</v>
      </c>
      <c r="AC22" s="409" t="s">
        <v>420</v>
      </c>
      <c r="AD22" s="1385" t="s">
        <v>418</v>
      </c>
      <c r="AI22" s="409" t="s">
        <v>421</v>
      </c>
      <c r="AK22" s="409" t="s">
        <v>420</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51.75">
      <c r="Q26" s="599"/>
      <c r="R26" s="599"/>
      <c r="S26" s="243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5"/>
      <c r="U26" s="2435"/>
      <c r="V26" s="2435"/>
      <c r="W26" s="2435"/>
      <c r="X26" s="2435"/>
      <c r="Y26" s="2435"/>
      <c r="Z26" s="2435"/>
      <c r="AA26" s="2435"/>
      <c r="AB26" s="2435"/>
      <c r="AC26" s="2435"/>
      <c r="AD26" s="2435"/>
      <c r="AE26" s="2435"/>
      <c r="AF26" s="2435"/>
      <c r="AG26" s="2435"/>
      <c r="AH26" s="2435"/>
      <c r="AI26" s="2435"/>
      <c r="AJ26" s="2435"/>
      <c r="AK26" s="1470"/>
    </row>
    <row customHeight="1" ht="14.25">
      <c r="Q27" s="599"/>
      <c r="R27" s="599"/>
      <c r="S27" s="2423" t="str">
        <f>IF(org=0,"Не определено",org)</f>
        <v>ООО "Новая Энергетика"</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3547"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Агенство по тарифам Приморского края</v>
      </c>
      <c r="W29" s="2382"/>
      <c r="X29" s="2382"/>
      <c r="Y29" s="2382"/>
      <c r="Z29" s="2382"/>
      <c r="AA29" s="2382"/>
      <c r="AB29" s="2382"/>
      <c r="AC29" s="549"/>
      <c r="AD29" s="2382" t="str">
        <f>IF(TITLE_NAME_OR_PR_CHANGE="",IF(TITLE_NAME_OR_PR="","",TITLE_NAME_OR_PR),TITLE_NAME_OR_PR_CHANGE)</f>
        <v>Агенство по тарифам Приморского края</v>
      </c>
      <c r="AE29" s="2382"/>
      <c r="AF29" s="2382"/>
      <c r="AG29" s="2382"/>
      <c r="AH29" s="2382"/>
      <c r="AI29" s="2382"/>
      <c r="AJ29" s="2382"/>
      <c r="AK29" s="549"/>
      <c r="AL29" s="549"/>
      <c r="AM29" s="503"/>
      <c r="AN29" s="591"/>
      <c r="AO29" s="591"/>
      <c r="AP29" s="591"/>
      <c r="AQ29" s="591"/>
      <c r="AR29" s="591"/>
    </row>
    <row s="13547" customFormat="1" customHeight="1" ht="18.75">
      <c r="A30" s="1596"/>
      <c r="B30" s="1596"/>
      <c r="C30" s="1596"/>
      <c r="D30" s="1596"/>
      <c r="E30" s="1596"/>
      <c r="F30" s="1596"/>
      <c r="G30" s="1596"/>
      <c r="H30" s="1596"/>
      <c r="I30" s="1596"/>
      <c r="J30" s="1596"/>
      <c r="K30" s="1596"/>
      <c r="L30" s="1597"/>
      <c r="M30" s="1596"/>
      <c r="N30" s="1596"/>
      <c r="O30" s="1596"/>
      <c r="S30" s="2380" t="s">
        <v>422</v>
      </c>
      <c r="T30" s="2380"/>
      <c r="U30" s="1600"/>
      <c r="V30" s="2381" t="str">
        <f>IF(TITLE_DATE_PR_CHANGE="",IF(TITLE_DATE_PR="","",TITLE_DATE_PR),TITLE_DATE_PR_CHANGE)</f>
        <v>45281.66994212963</v>
      </c>
      <c r="W30" s="2381"/>
      <c r="X30" s="2381"/>
      <c r="Y30" s="2381"/>
      <c r="Z30" s="2381"/>
      <c r="AA30" s="2381"/>
      <c r="AB30" s="2381"/>
      <c r="AC30" s="549"/>
      <c r="AD30" s="2381" t="str">
        <f>IF(TITLE_DATE_PR_CHANGE="",IF(TITLE_DATE_PR="","",TITLE_DATE_PR),TITLE_DATE_PR_CHANGE)</f>
        <v>45281.66994212963</v>
      </c>
      <c r="AE30" s="2381"/>
      <c r="AF30" s="2381"/>
      <c r="AG30" s="2381"/>
      <c r="AH30" s="2381"/>
      <c r="AI30" s="2381"/>
      <c r="AJ30" s="2381"/>
      <c r="AK30" s="549"/>
      <c r="AL30" s="549"/>
      <c r="AM30" s="503"/>
      <c r="AN30" s="591"/>
      <c r="AO30" s="591"/>
      <c r="AP30" s="591"/>
      <c r="AQ30" s="591"/>
      <c r="AR30" s="591"/>
    </row>
    <row s="13547" customFormat="1" customHeight="1" ht="18.75">
      <c r="A31" s="1596"/>
      <c r="B31" s="1596"/>
      <c r="C31" s="1596"/>
      <c r="D31" s="1596"/>
      <c r="E31" s="1596"/>
      <c r="F31" s="1596"/>
      <c r="G31" s="1596"/>
      <c r="H31" s="1596"/>
      <c r="I31" s="1596"/>
      <c r="J31" s="1596"/>
      <c r="K31" s="1596"/>
      <c r="L31" s="1597"/>
      <c r="M31" s="1596"/>
      <c r="N31" s="1596"/>
      <c r="O31" s="1596"/>
      <c r="S31" s="2380" t="s">
        <v>423</v>
      </c>
      <c r="T31" s="2380"/>
      <c r="U31" s="1600"/>
      <c r="V31" s="2382" t="str">
        <f>IF(TITLE_NUMBER_PR_CHANGE="",IF(TITLE_NUMBER_PR="","",TITLE_NUMBER_PR),TITLE_NUMBER_PR_CHANGE)</f>
        <v>72/1</v>
      </c>
      <c r="W31" s="2382"/>
      <c r="X31" s="2382"/>
      <c r="Y31" s="2382"/>
      <c r="Z31" s="2382"/>
      <c r="AA31" s="2382"/>
      <c r="AB31" s="2382"/>
      <c r="AC31" s="549"/>
      <c r="AD31" s="2382" t="str">
        <f>IF(TITLE_NUMBER_PR_CHANGE="",IF(TITLE_NUMBER_PR="","",TITLE_NUMBER_PR),TITLE_NUMBER_PR_CHANGE)</f>
        <v>72/1</v>
      </c>
      <c r="AE31" s="2382"/>
      <c r="AF31" s="2382"/>
      <c r="AG31" s="2382"/>
      <c r="AH31" s="2382"/>
      <c r="AI31" s="2382"/>
      <c r="AJ31" s="2382"/>
      <c r="AK31" s="549"/>
      <c r="AL31" s="549"/>
      <c r="AM31" s="503"/>
      <c r="AN31" s="591"/>
      <c r="AO31" s="591"/>
      <c r="AP31" s="591"/>
      <c r="AQ31" s="591"/>
      <c r="AR31" s="591"/>
    </row>
    <row s="13547"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http://pravo.gov.ru Номер опубликования: 2501202312270032 Дата опубликования: 27.12.2023</v>
      </c>
      <c r="W32" s="2382"/>
      <c r="X32" s="2382"/>
      <c r="Y32" s="2382"/>
      <c r="Z32" s="2382"/>
      <c r="AA32" s="2382"/>
      <c r="AB32" s="2382"/>
      <c r="AC32" s="549"/>
      <c r="AD32" s="2382" t="str">
        <f>IF(TITLE_IST_PUB_CHANGE="",IF(TITLE_IST_PUB="","",TITLE_IST_PUB),TITLE_IST_PUB_CHANGE)</f>
        <v>http://pravo.gov.ru Номер опубликования: 2501202312270032 Дата опубликования: 27.12.2023</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3547" customFormat="1" customHeight="1" ht="18.75" hidden="1">
      <c r="A34" s="1596"/>
      <c r="B34" s="1596"/>
      <c r="C34" s="1596"/>
      <c r="D34" s="1596"/>
      <c r="E34" s="1596"/>
      <c r="F34" s="1596"/>
      <c r="G34" s="1596"/>
      <c r="H34" s="1596"/>
      <c r="I34" s="1596"/>
      <c r="J34" s="1596"/>
      <c r="K34" s="1596"/>
      <c r="L34" s="1597"/>
      <c r="M34" s="1596"/>
      <c r="N34" s="1596"/>
      <c r="O34" s="1596"/>
      <c r="S34" s="2380" t="s">
        <v>424</v>
      </c>
      <c r="T34" s="2380"/>
      <c r="U34" s="1600"/>
      <c r="V34" s="2381" t="str">
        <f>IF(TITLE_DATE_PR_CHANGE="",IF(TITLE_DATE_PR="","",TITLE_DATE_PR),TITLE_DATE_PR_CHANGE)</f>
        <v>45281.66994212963</v>
      </c>
      <c r="W34" s="2381"/>
      <c r="X34" s="2381"/>
      <c r="Y34" s="2381"/>
      <c r="Z34" s="2381"/>
      <c r="AA34" s="2381"/>
      <c r="AB34" s="2381"/>
      <c r="AC34" s="549"/>
      <c r="AD34" s="2381" t="str">
        <f>IF(TITLE_DATE_PR_CHANGE="",IF(TITLE_DATE_PR="","",TITLE_DATE_PR),TITLE_DATE_PR_CHANGE)</f>
        <v>45281.66994212963</v>
      </c>
      <c r="AE34" s="2381"/>
      <c r="AF34" s="2381"/>
      <c r="AG34" s="2381"/>
      <c r="AH34" s="2381"/>
      <c r="AI34" s="2381"/>
      <c r="AJ34" s="2381"/>
      <c r="AK34" s="549"/>
      <c r="AL34" s="549"/>
      <c r="AM34" s="503"/>
      <c r="AN34" s="591"/>
      <c r="AO34" s="591"/>
      <c r="AP34" s="591"/>
      <c r="AQ34" s="591"/>
      <c r="AR34" s="591"/>
    </row>
    <row s="13547" customFormat="1" customHeight="1" ht="18.75" hidden="1">
      <c r="A35" s="1596"/>
      <c r="B35" s="1596"/>
      <c r="C35" s="1596"/>
      <c r="D35" s="1596"/>
      <c r="E35" s="1596"/>
      <c r="F35" s="1596"/>
      <c r="G35" s="1596"/>
      <c r="H35" s="1596"/>
      <c r="I35" s="1596"/>
      <c r="J35" s="1596"/>
      <c r="K35" s="1596"/>
      <c r="L35" s="1597"/>
      <c r="M35" s="1596"/>
      <c r="N35" s="1596"/>
      <c r="O35" s="1596"/>
      <c r="S35" s="2380" t="s">
        <v>425</v>
      </c>
      <c r="T35" s="2380"/>
      <c r="U35" s="1600"/>
      <c r="V35" s="2382" t="str">
        <f>IF(TITLE_NUMBER_PR_CHANGE="",IF(TITLE_NUMBER_PR="","",TITLE_NUMBER_PR),TITLE_NUMBER_PR_CHANGE)</f>
        <v>72/1</v>
      </c>
      <c r="W35" s="2382"/>
      <c r="X35" s="2382"/>
      <c r="Y35" s="2382"/>
      <c r="Z35" s="2382"/>
      <c r="AA35" s="2382"/>
      <c r="AB35" s="2382"/>
      <c r="AC35" s="549"/>
      <c r="AD35" s="2382" t="str">
        <f>IF(TITLE_NUMBER_PR_CHANGE="",IF(TITLE_NUMBER_PR="","",TITLE_NUMBER_PR),TITLE_NUMBER_PR_CHANGE)</f>
        <v>72/1</v>
      </c>
      <c r="AE35" s="2382"/>
      <c r="AF35" s="2382"/>
      <c r="AG35" s="2382"/>
      <c r="AH35" s="2382"/>
      <c r="AI35" s="2382"/>
      <c r="AJ35" s="2382"/>
      <c r="AK35" s="549"/>
      <c r="AL35" s="549"/>
      <c r="AM35" s="503"/>
      <c r="AN35" s="591"/>
      <c r="AO35" s="591"/>
      <c r="AP35" s="591"/>
      <c r="AQ35" s="591"/>
      <c r="AR35" s="591"/>
    </row>
    <row s="13547"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426</v>
      </c>
      <c r="AD36" s="549"/>
      <c r="AE36" s="549"/>
      <c r="AF36" s="549"/>
      <c r="AG36" s="549"/>
      <c r="AH36" s="549"/>
      <c r="AI36" s="549"/>
      <c r="AJ36" s="549"/>
      <c r="AK36" s="501" t="s">
        <v>426</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301</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302</v>
      </c>
    </row>
    <row customHeight="1" ht="14.25">
      <c r="Q39" s="599"/>
      <c r="R39" s="599"/>
      <c r="S39" s="2407" t="s">
        <v>87</v>
      </c>
      <c r="T39" s="2344" t="s">
        <v>427</v>
      </c>
      <c r="U39" s="524"/>
      <c r="V39" s="2408" t="s">
        <v>428</v>
      </c>
      <c r="W39" s="2409"/>
      <c r="X39" s="2409"/>
      <c r="Y39" s="2409"/>
      <c r="Z39" s="2409"/>
      <c r="AA39" s="2409"/>
      <c r="AB39" s="2410"/>
      <c r="AC39" s="2411" t="s">
        <v>429</v>
      </c>
      <c r="AD39" s="2408" t="s">
        <v>428</v>
      </c>
      <c r="AE39" s="2409"/>
      <c r="AF39" s="2409"/>
      <c r="AG39" s="2409"/>
      <c r="AH39" s="2409"/>
      <c r="AI39" s="2409"/>
      <c r="AJ39" s="2410"/>
      <c r="AK39" s="2411" t="s">
        <v>430</v>
      </c>
      <c r="AL39" s="2414" t="s">
        <v>431</v>
      </c>
      <c r="AM39" s="2254"/>
    </row>
    <row customHeight="1" ht="33.75">
      <c r="Q40" s="599"/>
      <c r="R40" s="599"/>
      <c r="S40" s="2407"/>
      <c r="T40" s="2344"/>
      <c r="U40" s="1255"/>
      <c r="V40" s="2417" t="s">
        <v>432</v>
      </c>
      <c r="W40" s="2398"/>
      <c r="X40" s="2400" t="s">
        <v>434</v>
      </c>
      <c r="Y40" s="2402"/>
      <c r="Z40" s="2400" t="s">
        <v>435</v>
      </c>
      <c r="AA40" s="2401"/>
      <c r="AB40" s="2402"/>
      <c r="AC40" s="2412"/>
      <c r="AD40" s="2417" t="s">
        <v>448</v>
      </c>
      <c r="AE40" s="2398"/>
      <c r="AF40" s="2400" t="s">
        <v>434</v>
      </c>
      <c r="AG40" s="2402"/>
      <c r="AH40" s="2400" t="s">
        <v>435</v>
      </c>
      <c r="AI40" s="2401"/>
      <c r="AJ40" s="2402"/>
      <c r="AK40" s="2412"/>
      <c r="AL40" s="2415"/>
      <c r="AM40" s="2254"/>
    </row>
    <row customHeight="1" ht="33.75">
      <c r="A41" s="1598"/>
      <c r="B41" s="1598" t="s">
        <v>134</v>
      </c>
      <c r="C41" s="1598" t="s">
        <v>135</v>
      </c>
      <c r="D41" s="1598" t="s">
        <v>136</v>
      </c>
      <c r="E41" s="1592" t="s">
        <v>436</v>
      </c>
      <c r="F41" s="1592" t="s">
        <v>437</v>
      </c>
      <c r="G41" s="1592" t="s">
        <v>438</v>
      </c>
      <c r="H41" s="1592" t="s">
        <v>439</v>
      </c>
      <c r="I41" s="1592" t="s">
        <v>440</v>
      </c>
      <c r="J41" s="1592" t="s">
        <v>441</v>
      </c>
      <c r="K41" s="1592" t="s">
        <v>442</v>
      </c>
      <c r="L41" s="1592" t="s">
        <v>417</v>
      </c>
      <c r="Q41" s="599"/>
      <c r="R41" s="599"/>
      <c r="S41" s="2407"/>
      <c r="T41" s="2344"/>
      <c r="U41" s="525"/>
      <c r="V41" s="2418"/>
      <c r="W41" s="2399"/>
      <c r="X41" s="1449" t="s">
        <v>443</v>
      </c>
      <c r="Y41" s="1449" t="s">
        <v>444</v>
      </c>
      <c r="Z41" s="1566" t="s">
        <v>445</v>
      </c>
      <c r="AA41" s="2403" t="s">
        <v>446</v>
      </c>
      <c r="AB41" s="2404"/>
      <c r="AC41" s="2413"/>
      <c r="AD41" s="2418"/>
      <c r="AE41" s="2399"/>
      <c r="AF41" s="1449" t="s">
        <v>443</v>
      </c>
      <c r="AG41" s="1449" t="s">
        <v>444</v>
      </c>
      <c r="AH41" s="1566" t="s">
        <v>445</v>
      </c>
      <c r="AI41" s="2403" t="s">
        <v>446</v>
      </c>
      <c r="AJ41" s="2404"/>
      <c r="AK41" s="2413"/>
      <c r="AL41" s="2416"/>
      <c r="AM41" s="2254"/>
    </row>
    <row s="13364"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108</v>
      </c>
      <c r="T42" s="1482" t="s">
        <v>109</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179</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122</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179</v>
      </c>
      <c r="B44" s="1591" t="s">
        <v>180</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398</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399</v>
      </c>
      <c r="AO44" s="723"/>
      <c r="AP44" s="723" t="str">
        <f>IF(T44="","",T44)</f>
        <v>Территория действия тарифа</v>
      </c>
      <c r="AQ44" s="723"/>
      <c r="AR44" s="723"/>
    </row>
    <row customHeight="1" ht="23.25">
      <c r="A45" s="1591" t="s">
        <v>179</v>
      </c>
      <c r="B45" s="1591" t="s">
        <v>180</v>
      </c>
      <c r="C45" s="1591" t="s">
        <v>181</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400</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401</v>
      </c>
      <c r="AO45" s="723"/>
      <c r="AP45" s="723" t="str">
        <f>IF(T45="","",T45)</f>
        <v>Наименование системы теплоснабжения </v>
      </c>
      <c r="AQ45" s="723"/>
      <c r="AR45" s="723"/>
    </row>
    <row customHeight="1" ht="21">
      <c r="A46" s="1591" t="s">
        <v>179</v>
      </c>
      <c r="B46" s="1591" t="s">
        <v>180</v>
      </c>
      <c r="C46" s="1591" t="s">
        <v>181</v>
      </c>
      <c r="D46" s="1591" t="s">
        <v>182</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402</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403</v>
      </c>
      <c r="AO46" s="723"/>
      <c r="AP46" s="723" t="str">
        <f>IF(T46="","",T46)</f>
        <v>Источник тепловой энергии  </v>
      </c>
      <c r="AQ46" s="723"/>
      <c r="AR46" s="723"/>
    </row>
    <row s="13606" customFormat="1" customHeight="1" ht="0">
      <c r="A47" s="1571" t="s">
        <v>179</v>
      </c>
      <c r="B47" s="1571" t="s">
        <v>180</v>
      </c>
      <c r="C47" s="1571" t="s">
        <v>181</v>
      </c>
      <c r="D47" s="1571" t="s">
        <v>182</v>
      </c>
      <c r="E47" s="2390"/>
      <c r="F47" s="2390"/>
      <c r="G47" s="2390"/>
      <c r="H47" s="2390"/>
      <c r="I47" s="2391" t="str">
        <f>S46&amp;".1"</f>
        <v>....1</v>
      </c>
      <c r="J47" s="1571"/>
      <c r="K47" s="1571"/>
      <c r="L47" s="1574" t="s">
        <v>404</v>
      </c>
      <c r="M47" s="733"/>
      <c r="N47" s="733"/>
      <c r="O47" s="733"/>
      <c r="P47" s="2393">
        <v>1</v>
      </c>
      <c r="Q47" s="1559"/>
      <c r="R47" s="579"/>
      <c r="S47" s="1266"/>
      <c r="T47" s="1611"/>
      <c r="U47" s="1612"/>
      <c r="V47" s="2431"/>
      <c r="W47" s="2432"/>
      <c r="X47" s="2432"/>
      <c r="Y47" s="2432"/>
      <c r="Z47" s="2432"/>
      <c r="AA47" s="2432"/>
      <c r="AB47" s="2432"/>
      <c r="AC47" s="2433"/>
      <c r="AD47" s="2431"/>
      <c r="AE47" s="2432"/>
      <c r="AF47" s="2432"/>
      <c r="AG47" s="2432"/>
      <c r="AH47" s="2432"/>
      <c r="AI47" s="2432"/>
      <c r="AJ47" s="2432"/>
      <c r="AK47" s="2432"/>
      <c r="AL47" s="2433"/>
      <c r="AM47" s="1613"/>
      <c r="AO47" s="723"/>
      <c r="AP47" s="723" t="str">
        <f>IF(T47="","",T47)</f>
        <v/>
      </c>
      <c r="AQ47" s="723"/>
      <c r="AR47" s="723"/>
    </row>
    <row customHeight="1" ht="21">
      <c r="A48" s="1591" t="s">
        <v>179</v>
      </c>
      <c r="B48" s="1591" t="s">
        <v>180</v>
      </c>
      <c r="C48" s="1591" t="s">
        <v>181</v>
      </c>
      <c r="D48" s="1591" t="s">
        <v>182</v>
      </c>
      <c r="E48" s="2390"/>
      <c r="F48" s="2390"/>
      <c r="G48" s="2390"/>
      <c r="H48" s="2390"/>
      <c r="I48" s="2392"/>
      <c r="J48" s="2391" t="str">
        <f>S46&amp;".1"</f>
        <v>....1</v>
      </c>
      <c r="K48" s="1591"/>
      <c r="L48" s="1592" t="s">
        <v>407</v>
      </c>
      <c r="P48" s="2393"/>
      <c r="Q48" s="2393">
        <v>1</v>
      </c>
      <c r="R48" s="580"/>
      <c r="S48" s="1564" t="str">
        <f>$J48</f>
        <v>....1</v>
      </c>
      <c r="T48" s="509" t="s">
        <v>408</v>
      </c>
      <c r="U48" s="523"/>
      <c r="V48" s="2377"/>
      <c r="W48" s="2378"/>
      <c r="X48" s="2378"/>
      <c r="Y48" s="2378"/>
      <c r="Z48" s="2378"/>
      <c r="AA48" s="2378"/>
      <c r="AB48" s="2378"/>
      <c r="AC48" s="2379"/>
      <c r="AD48" s="2377"/>
      <c r="AE48" s="2378"/>
      <c r="AF48" s="2378"/>
      <c r="AG48" s="2378"/>
      <c r="AH48" s="2378"/>
      <c r="AI48" s="2378"/>
      <c r="AJ48" s="2378"/>
      <c r="AK48" s="2378"/>
      <c r="AL48" s="2379"/>
      <c r="AM48" s="1485" t="s">
        <v>409</v>
      </c>
      <c r="AO48" s="723"/>
      <c r="AP48" s="723" t="str">
        <f>IF(T48="","",T48)</f>
        <v>Группа потребителей</v>
      </c>
      <c r="AQ48" s="723"/>
      <c r="AR48" s="723"/>
    </row>
    <row customHeight="1" ht="21">
      <c r="A49" s="1591" t="s">
        <v>179</v>
      </c>
      <c r="B49" s="1591" t="s">
        <v>180</v>
      </c>
      <c r="C49" s="1591" t="s">
        <v>181</v>
      </c>
      <c r="D49" s="1591" t="s">
        <v>182</v>
      </c>
      <c r="E49" s="2390"/>
      <c r="F49" s="2390"/>
      <c r="G49" s="2390"/>
      <c r="H49" s="2390"/>
      <c r="I49" s="2392"/>
      <c r="J49" s="2392"/>
      <c r="K49" s="2391" t="str">
        <f>J48&amp;".1"</f>
        <v>....1.1</v>
      </c>
      <c r="L49" s="1592" t="s">
        <v>410</v>
      </c>
      <c r="P49" s="2393"/>
      <c r="Q49" s="2393"/>
      <c r="R49" s="580">
        <v>1</v>
      </c>
      <c r="S49" s="1564" t="str">
        <f>$K49</f>
        <v>....1.1</v>
      </c>
      <c r="T49" s="1575"/>
      <c r="U49" s="523"/>
      <c r="V49" s="974"/>
      <c r="W49" s="548"/>
      <c r="X49" s="974"/>
      <c r="Y49" s="1484"/>
      <c r="Z49" s="2394"/>
      <c r="AA49" s="2264" t="s">
        <v>66</v>
      </c>
      <c r="AB49" s="2394"/>
      <c r="AC49" s="2264" t="s">
        <v>66</v>
      </c>
      <c r="AD49" s="974"/>
      <c r="AE49" s="548"/>
      <c r="AF49" s="974"/>
      <c r="AG49" s="1484"/>
      <c r="AH49" s="2394"/>
      <c r="AI49" s="2264" t="s">
        <v>66</v>
      </c>
      <c r="AJ49" s="2396"/>
      <c r="AK49" s="2264" t="s">
        <v>66</v>
      </c>
      <c r="AL49" s="1576"/>
      <c r="AM49" s="2419" t="s">
        <v>449</v>
      </c>
      <c r="AN49" s="734">
        <f>STRCHECKDATE(V50:AL50)</f>
      </c>
      <c r="AO49" s="723"/>
      <c r="AP49" s="723" t="str">
        <f>IF(T49="","",T49)</f>
        <v/>
      </c>
      <c r="AQ49" s="723"/>
      <c r="AR49" s="723"/>
    </row>
    <row customHeight="1" ht="0.75">
      <c r="A50" s="1591" t="s">
        <v>179</v>
      </c>
      <c r="B50" s="1591" t="s">
        <v>180</v>
      </c>
      <c r="C50" s="1591" t="s">
        <v>181</v>
      </c>
      <c r="D50" s="1591" t="s">
        <v>182</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179</v>
      </c>
      <c r="B51" s="1591" t="s">
        <v>180</v>
      </c>
      <c r="C51" s="1591" t="s">
        <v>181</v>
      </c>
      <c r="D51" s="1591" t="s">
        <v>182</v>
      </c>
      <c r="E51" s="2390"/>
      <c r="F51" s="2390"/>
      <c r="G51" s="2390"/>
      <c r="H51" s="2390"/>
      <c r="I51" s="2392"/>
      <c r="J51" s="2391"/>
      <c r="K51" s="1591"/>
      <c r="L51" s="1592"/>
      <c r="P51" s="2393"/>
      <c r="Q51" s="2393"/>
      <c r="R51" s="579"/>
      <c r="S51" s="1506"/>
      <c r="T51" s="510" t="s">
        <v>412</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179</v>
      </c>
      <c r="B52" s="1591" t="s">
        <v>180</v>
      </c>
      <c r="C52" s="1591" t="s">
        <v>181</v>
      </c>
      <c r="D52" s="1591" t="s">
        <v>182</v>
      </c>
      <c r="E52" s="2390"/>
      <c r="F52" s="2390"/>
      <c r="G52" s="2390"/>
      <c r="H52" s="2390"/>
      <c r="I52" s="2391"/>
      <c r="J52" s="1591"/>
      <c r="K52" s="1591"/>
      <c r="L52" s="1592"/>
      <c r="P52" s="2393"/>
      <c r="Q52" s="1559"/>
      <c r="R52" s="579"/>
      <c r="S52" s="1506"/>
      <c r="T52" s="588" t="s">
        <v>413</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91" t="s">
        <v>179</v>
      </c>
      <c r="B53" s="1591" t="s">
        <v>180</v>
      </c>
      <c r="C53" s="1591" t="s">
        <v>181</v>
      </c>
      <c r="D53" s="1591" t="s">
        <v>182</v>
      </c>
      <c r="E53" s="2390"/>
      <c r="F53" s="2390"/>
      <c r="G53" s="2390"/>
      <c r="H53" s="2389"/>
      <c r="I53" s="1591"/>
      <c r="J53" s="1591"/>
      <c r="K53" s="1591"/>
      <c r="L53" s="1592"/>
      <c r="M53" s="1593"/>
      <c r="N53" s="1593"/>
      <c r="O53" s="760"/>
      <c r="P53" s="583"/>
      <c r="Q53" s="598"/>
      <c r="R53" s="578"/>
      <c r="S53" s="1614"/>
      <c r="T53" s="1615"/>
      <c r="U53" s="1616"/>
      <c r="V53" s="1616"/>
      <c r="W53" s="1616"/>
      <c r="X53" s="1616"/>
      <c r="Y53" s="1616"/>
      <c r="Z53" s="1616"/>
      <c r="AA53" s="1616"/>
      <c r="AB53" s="1616"/>
      <c r="AC53" s="1616"/>
      <c r="AD53" s="1616"/>
      <c r="AE53" s="1616"/>
      <c r="AF53" s="1616"/>
      <c r="AG53" s="1616"/>
      <c r="AH53" s="1616"/>
      <c r="AI53" s="1616"/>
      <c r="AJ53" s="1616"/>
      <c r="AK53" s="1616"/>
      <c r="AL53" s="1616"/>
      <c r="AM53" s="1617"/>
      <c r="AO53" s="723"/>
      <c r="AP53" s="723" t="str">
        <f>IF(T53="","",T53)</f>
        <v/>
      </c>
      <c r="AQ53" s="723"/>
      <c r="AR53" s="723"/>
    </row>
    <row s="13514" customFormat="1" customHeight="1" ht="0.75">
      <c r="A54" s="1571" t="s">
        <v>179</v>
      </c>
      <c r="B54" s="1571" t="s">
        <v>180</v>
      </c>
      <c r="C54" s="1571" t="s">
        <v>181</v>
      </c>
      <c r="D54" s="1542"/>
      <c r="E54" s="2390"/>
      <c r="F54" s="2390"/>
      <c r="G54" s="2389"/>
      <c r="H54" s="1542"/>
      <c r="I54" s="1542"/>
      <c r="J54" s="1542"/>
      <c r="K54" s="1542"/>
      <c r="L54" s="1567"/>
      <c r="M54" s="1543"/>
      <c r="N54" s="1543"/>
      <c r="P54" s="1544"/>
      <c r="Q54" s="1545"/>
      <c r="R54" s="1544"/>
      <c r="S54" s="1550"/>
      <c r="T54" s="1553" t="s">
        <v>415</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3514" customFormat="1" customHeight="1" ht="0.75">
      <c r="A55" s="1571" t="s">
        <v>179</v>
      </c>
      <c r="B55" s="1571" t="s">
        <v>180</v>
      </c>
      <c r="C55" s="1542"/>
      <c r="D55" s="1542"/>
      <c r="E55" s="2390"/>
      <c r="F55" s="2389"/>
      <c r="G55" s="1542"/>
      <c r="H55" s="1542"/>
      <c r="I55" s="1542"/>
      <c r="J55" s="1542"/>
      <c r="K55" s="1542"/>
      <c r="L55" s="1567"/>
      <c r="M55" s="1549"/>
      <c r="N55" s="1549"/>
      <c r="P55" s="1544"/>
      <c r="Q55" s="1545"/>
      <c r="R55" s="1544"/>
      <c r="S55" s="1550"/>
      <c r="T55" s="1553" t="s">
        <v>252</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3606" customFormat="1" customHeight="1" ht="0.75">
      <c r="A56" s="1571" t="s">
        <v>179</v>
      </c>
      <c r="B56" s="1571"/>
      <c r="C56" s="1571"/>
      <c r="D56" s="1571"/>
      <c r="E56" s="2389"/>
      <c r="F56" s="1571"/>
      <c r="G56" s="1571"/>
      <c r="H56" s="1571"/>
      <c r="I56" s="1571"/>
      <c r="J56" s="1571"/>
      <c r="K56" s="1571"/>
      <c r="L56" s="1574"/>
      <c r="M56" s="1549"/>
      <c r="N56" s="1549"/>
      <c r="O56" s="741"/>
      <c r="P56" s="603"/>
      <c r="Q56" s="1572"/>
      <c r="R56" s="603"/>
      <c r="S56" s="1550"/>
      <c r="T56" s="1553" t="s">
        <v>253</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3514"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254</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1.75">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29.2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39.75">
      <c r="O61" s="760"/>
      <c r="T61" s="2388"/>
      <c r="U61" s="2388"/>
      <c r="V61" s="2388"/>
      <c r="W61" s="2388"/>
      <c r="X61" s="2388"/>
      <c r="Y61" s="2388"/>
      <c r="Z61" s="2388"/>
      <c r="AA61" s="2388"/>
      <c r="AB61" s="2388"/>
      <c r="AC61" s="2388"/>
      <c r="AD61" s="2388"/>
      <c r="AE61" s="2388"/>
      <c r="AF61" s="2388"/>
      <c r="AG61" s="2388"/>
      <c r="AH61" s="2388"/>
      <c r="AI61" s="2388"/>
      <c r="AJ61" s="2388"/>
      <c r="AK61" s="2388"/>
      <c r="AL61" s="2388"/>
      <c r="AM61" s="2388"/>
    </row>
    <row customHeight="1" ht="14.25">
      <c r="O62" s="760"/>
    </row>
    <row customHeight="1" ht="19.5">
      <c r="O63" s="760"/>
      <c r="S63" s="1480"/>
      <c r="T63" s="2434"/>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T64" s="2388"/>
      <c r="U64" s="2388"/>
      <c r="V64" s="2388"/>
      <c r="W64" s="2388"/>
      <c r="X64" s="2388"/>
      <c r="Y64" s="2388"/>
      <c r="Z64" s="2388"/>
      <c r="AA64" s="2388"/>
      <c r="AB64" s="2388"/>
      <c r="AC64" s="2388"/>
      <c r="AD64" s="2388"/>
      <c r="AE64" s="2388"/>
      <c r="AF64" s="2388"/>
      <c r="AG64" s="2388"/>
      <c r="AH64" s="2388"/>
      <c r="AI64" s="2388"/>
      <c r="AJ64" s="2388"/>
      <c r="AK64" s="2388"/>
      <c r="AL64" s="2388"/>
      <c r="AM64" s="2388"/>
    </row>
    <row customHeight="1" ht="33.75">
      <c r="T65" s="2388"/>
      <c r="U65" s="2388"/>
      <c r="V65" s="2388"/>
      <c r="W65" s="2388"/>
      <c r="X65" s="2388"/>
      <c r="Y65" s="2388"/>
      <c r="Z65" s="2388"/>
      <c r="AA65" s="2388"/>
      <c r="AB65" s="2388"/>
      <c r="AC65" s="2388"/>
      <c r="AD65" s="2388"/>
      <c r="AE65" s="2388"/>
      <c r="AF65" s="2388"/>
      <c r="AG65" s="2388"/>
      <c r="AH65" s="2388"/>
      <c r="AI65" s="2388"/>
      <c r="AJ65" s="2388"/>
      <c r="AK65" s="2388"/>
      <c r="AL65" s="2388"/>
      <c r="AM65" s="23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CB3B3-4F27-44D2-0BBA-1E0D32EDC6C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533" width="10.57421875" hidden="1"/>
    <col min="2" max="2" style="13533" width="11.00390625" hidden="1" customWidth="1"/>
    <col min="3" max="3" style="13533" width="10.57421875" hidden="1"/>
    <col min="4" max="4" style="13533" width="11.8515625" hidden="1" customWidth="1"/>
    <col min="5" max="5" style="13533" width="10.00390625" hidden="1" customWidth="1"/>
    <col min="6" max="6" style="13533" width="8.7109375" hidden="1" customWidth="1"/>
    <col min="7" max="7" style="13533" width="7.57421875" hidden="1" customWidth="1"/>
    <col min="8" max="8" style="13533" width="11.421875" hidden="1" customWidth="1"/>
    <col min="9" max="9" style="13533" width="12.00390625" hidden="1" customWidth="1"/>
    <col min="10" max="10" style="13533" width="9.8515625" hidden="1" customWidth="1"/>
    <col min="11" max="11" style="13533" width="11.421875" hidden="1" customWidth="1"/>
    <col min="12" max="12" style="13614" width="19.140625" hidden="1" customWidth="1"/>
    <col min="13" max="14" style="13615" width="12.28125" hidden="1" customWidth="1"/>
    <col min="15" max="15" style="13615" width="23.421875" hidden="1" customWidth="1"/>
    <col min="16" max="16" style="13627" width="3.7109375" hidden="1" customWidth="1"/>
    <col min="17" max="18" style="13617" width="3.7109375" customWidth="1"/>
    <col min="19" max="19" style="13618" width="12.7109375" customWidth="1"/>
    <col min="20" max="20" style="13619" width="32.00390625" customWidth="1"/>
    <col min="21" max="21" style="13619" width="0.140625" customWidth="1"/>
    <col min="22" max="22" style="13619" width="24.7109375" hidden="1" customWidth="1"/>
    <col min="23" max="23" style="13619" width="0.140625" hidden="1" customWidth="1"/>
    <col min="24" max="25" style="13619" width="24.7109375" hidden="1" customWidth="1"/>
    <col min="26" max="26" style="13619" width="11.7109375" hidden="1" customWidth="1"/>
    <col min="27" max="27" style="13619" width="3.7109375" hidden="1" customWidth="1"/>
    <col min="28" max="28" style="13619" width="11.7109375" hidden="1" customWidth="1"/>
    <col min="29" max="29" style="13619" width="8.57421875" hidden="1" customWidth="1"/>
    <col min="30" max="30" style="13619" width="24.7109375" customWidth="1"/>
    <col min="31" max="31" style="13619" width="0.140625" customWidth="1"/>
    <col min="32" max="33" style="13619" width="24.7109375" customWidth="1"/>
    <col min="34" max="34" style="13619" width="11.7109375" customWidth="1"/>
    <col min="35" max="35" style="13619" width="3.7109375" customWidth="1"/>
    <col min="36" max="36" style="13619" width="11.7109375" customWidth="1"/>
    <col min="37" max="37" style="13619" width="8.57421875" hidden="1" customWidth="1"/>
    <col min="38" max="38" style="13619" width="4.7109375" customWidth="1"/>
    <col min="39" max="39" style="13619" width="115.7109375" customWidth="1"/>
    <col min="40" max="41" style="13606" width="10.57421875"/>
    <col min="42" max="42" style="13606" width="11.140625" customWidth="1"/>
    <col min="43" max="44" style="13606"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122</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397</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398</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399</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400</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401</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402</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403</v>
      </c>
      <c r="AO5" s="723"/>
      <c r="AP5" s="723" t="str">
        <f>IF(T5="","",T5)</f>
        <v>Источник тепловой энергии  </v>
      </c>
      <c r="AQ5" s="723"/>
      <c r="AR5" s="723"/>
    </row>
    <row customHeight="1" ht="14.25" hidden="1">
      <c r="A6" s="1591"/>
      <c r="B6" s="1591"/>
      <c r="C6" s="1591"/>
      <c r="D6" s="1591"/>
      <c r="E6" s="2390"/>
      <c r="F6" s="2390"/>
      <c r="G6" s="2390"/>
      <c r="H6" s="2390"/>
      <c r="I6" s="2391">
        <f>S5&amp;".1"</f>
      </c>
      <c r="J6" s="1591"/>
      <c r="K6" s="1591"/>
      <c r="L6" s="1592" t="s">
        <v>404</v>
      </c>
      <c r="M6" s="760"/>
      <c r="P6" s="2393">
        <v>1</v>
      </c>
      <c r="Q6" s="1559"/>
      <c r="R6" s="579"/>
      <c r="S6" s="1266"/>
      <c r="T6" s="1611"/>
      <c r="U6" s="1612"/>
      <c r="V6" s="2431"/>
      <c r="W6" s="2432"/>
      <c r="X6" s="2432"/>
      <c r="Y6" s="2432"/>
      <c r="Z6" s="2432"/>
      <c r="AA6" s="2432"/>
      <c r="AB6" s="2432"/>
      <c r="AC6" s="2433"/>
      <c r="AD6" s="2431"/>
      <c r="AE6" s="2432"/>
      <c r="AF6" s="2432"/>
      <c r="AG6" s="2432"/>
      <c r="AH6" s="2432"/>
      <c r="AI6" s="2432"/>
      <c r="AJ6" s="2432"/>
      <c r="AK6" s="2432"/>
      <c r="AL6" s="2433"/>
      <c r="AM6" s="1613"/>
      <c r="AO6" s="723"/>
      <c r="AP6" s="723" t="str">
        <f>IF(T6="","",T6)</f>
        <v/>
      </c>
      <c r="AQ6" s="723"/>
      <c r="AR6" s="723"/>
    </row>
    <row customHeight="1" ht="21" hidden="1">
      <c r="A7" s="1591"/>
      <c r="B7" s="1591"/>
      <c r="C7" s="1591"/>
      <c r="D7" s="1591"/>
      <c r="E7" s="2390"/>
      <c r="F7" s="2390"/>
      <c r="G7" s="2390"/>
      <c r="H7" s="2390"/>
      <c r="I7" s="2392"/>
      <c r="J7" s="2391">
        <f>I6&amp;".1"</f>
      </c>
      <c r="K7" s="1591"/>
      <c r="L7" s="1592" t="s">
        <v>407</v>
      </c>
      <c r="M7" s="760"/>
      <c r="N7" s="1594"/>
      <c r="P7" s="2393"/>
      <c r="Q7" s="2393">
        <v>1</v>
      </c>
      <c r="R7" s="580"/>
      <c r="S7" s="1564">
        <f>$J7</f>
      </c>
      <c r="T7" s="509" t="s">
        <v>408</v>
      </c>
      <c r="U7" s="523"/>
      <c r="V7" s="2377"/>
      <c r="W7" s="2378"/>
      <c r="X7" s="2378"/>
      <c r="Y7" s="2378"/>
      <c r="Z7" s="2378"/>
      <c r="AA7" s="2378"/>
      <c r="AB7" s="2378"/>
      <c r="AC7" s="2379"/>
      <c r="AD7" s="2377"/>
      <c r="AE7" s="2378"/>
      <c r="AF7" s="2378"/>
      <c r="AG7" s="2378"/>
      <c r="AH7" s="2378"/>
      <c r="AI7" s="2378"/>
      <c r="AJ7" s="2378"/>
      <c r="AK7" s="2378"/>
      <c r="AL7" s="2379"/>
      <c r="AM7" s="1485" t="s">
        <v>409</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410</v>
      </c>
      <c r="M8" s="760"/>
      <c r="N8" s="1594"/>
      <c r="O8" s="1594"/>
      <c r="P8" s="2393"/>
      <c r="Q8" s="2393"/>
      <c r="R8" s="580">
        <v>1</v>
      </c>
      <c r="S8" s="1564">
        <f>$K8</f>
      </c>
      <c r="T8" s="1575"/>
      <c r="U8" s="523"/>
      <c r="V8" s="974"/>
      <c r="W8" s="548"/>
      <c r="X8" s="974"/>
      <c r="Y8" s="1484"/>
      <c r="Z8" s="2394"/>
      <c r="AA8" s="2264" t="s">
        <v>66</v>
      </c>
      <c r="AB8" s="2394"/>
      <c r="AC8" s="2264" t="s">
        <v>66</v>
      </c>
      <c r="AD8" s="974"/>
      <c r="AE8" s="548"/>
      <c r="AF8" s="974"/>
      <c r="AG8" s="1484"/>
      <c r="AH8" s="2394"/>
      <c r="AI8" s="2264" t="s">
        <v>66</v>
      </c>
      <c r="AJ8" s="2394"/>
      <c r="AK8" s="2264" t="s">
        <v>66</v>
      </c>
      <c r="AL8" s="548"/>
      <c r="AM8" s="2419" t="s">
        <v>411</v>
      </c>
      <c r="AN8" s="734">
        <f>STRCHECKDATE(V9:AL9)</f>
      </c>
      <c r="AO8" s="723"/>
      <c r="AP8" s="723" t="str">
        <f>IF(T8="","",T8)</f>
        <v/>
      </c>
      <c r="AQ8" s="723"/>
      <c r="AR8" s="723"/>
    </row>
    <row customHeight="1" ht="14.2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0" t="s">
        <v>412</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1.25" hidden="1">
      <c r="A11" s="1591"/>
      <c r="B11" s="1591"/>
      <c r="C11" s="1591"/>
      <c r="D11" s="1591"/>
      <c r="E11" s="2390"/>
      <c r="F11" s="2390"/>
      <c r="G11" s="2390"/>
      <c r="H11" s="2390"/>
      <c r="I11" s="2391"/>
      <c r="J11" s="1591"/>
      <c r="K11" s="1591"/>
      <c r="L11" s="1592"/>
      <c r="M11" s="760"/>
      <c r="P11" s="2393"/>
      <c r="Q11" s="1559"/>
      <c r="R11" s="579"/>
      <c r="S11" s="1506"/>
      <c r="T11" s="588" t="s">
        <v>413</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614"/>
      <c r="T12" s="1615"/>
      <c r="U12" s="1616"/>
      <c r="V12" s="1616"/>
      <c r="W12" s="1616"/>
      <c r="X12" s="1616"/>
      <c r="Y12" s="1616"/>
      <c r="Z12" s="1616"/>
      <c r="AA12" s="1616"/>
      <c r="AB12" s="1616"/>
      <c r="AC12" s="1616"/>
      <c r="AD12" s="1616"/>
      <c r="AE12" s="1616"/>
      <c r="AF12" s="1616"/>
      <c r="AG12" s="1616"/>
      <c r="AH12" s="1616"/>
      <c r="AI12" s="1616"/>
      <c r="AJ12" s="1616"/>
      <c r="AK12" s="1616"/>
      <c r="AL12" s="1616"/>
      <c r="AM12" s="1617"/>
      <c r="AO12" s="723"/>
      <c r="AP12" s="723" t="str">
        <f>IF(T12="","",T12)</f>
        <v/>
      </c>
      <c r="AQ12" s="723"/>
      <c r="AR12" s="723"/>
    </row>
    <row s="13514" customFormat="1" customHeight="1" ht="14.25" hidden="1">
      <c r="A13" s="1542"/>
      <c r="B13" s="1542"/>
      <c r="C13" s="1542"/>
      <c r="D13" s="1542"/>
      <c r="E13" s="2390"/>
      <c r="F13" s="2390"/>
      <c r="G13" s="2389"/>
      <c r="H13" s="1542"/>
      <c r="I13" s="1542"/>
      <c r="J13" s="1542"/>
      <c r="K13" s="1542"/>
      <c r="L13" s="1567"/>
      <c r="M13" s="1543"/>
      <c r="N13" s="1543"/>
      <c r="P13" s="1544"/>
      <c r="Q13" s="1545"/>
      <c r="R13" s="1544"/>
      <c r="S13" s="1546"/>
      <c r="T13" s="1547" t="s">
        <v>415</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13514" customFormat="1" customHeight="1" ht="14.25" hidden="1">
      <c r="A14" s="1542"/>
      <c r="B14" s="1542"/>
      <c r="C14" s="1542"/>
      <c r="D14" s="1542"/>
      <c r="E14" s="2390"/>
      <c r="F14" s="2389"/>
      <c r="G14" s="1542"/>
      <c r="H14" s="1542"/>
      <c r="I14" s="1542"/>
      <c r="J14" s="1542"/>
      <c r="K14" s="1542"/>
      <c r="L14" s="1567"/>
      <c r="M14" s="1549"/>
      <c r="N14" s="1549"/>
      <c r="P14" s="1544"/>
      <c r="Q14" s="1545"/>
      <c r="R14" s="1544"/>
      <c r="S14" s="1550"/>
      <c r="T14" s="1551" t="s">
        <v>252</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13514" customFormat="1" customHeight="1" ht="14.25" hidden="1">
      <c r="A15" s="1542"/>
      <c r="B15" s="1542"/>
      <c r="C15" s="1542"/>
      <c r="D15" s="1542"/>
      <c r="E15" s="2389"/>
      <c r="F15" s="1542"/>
      <c r="G15" s="1542"/>
      <c r="H15" s="1542"/>
      <c r="I15" s="1542"/>
      <c r="J15" s="1542"/>
      <c r="K15" s="1542"/>
      <c r="L15" s="1567"/>
      <c r="M15" s="1549"/>
      <c r="N15" s="1549"/>
      <c r="P15" s="1544"/>
      <c r="Q15" s="1545"/>
      <c r="R15" s="1544"/>
      <c r="S15" s="1550"/>
      <c r="T15" s="1553" t="s">
        <v>253</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66</v>
      </c>
      <c r="AJ17" s="2387"/>
      <c r="AK17" s="2386" t="s">
        <v>66</v>
      </c>
    </row>
    <row customHeight="1" ht="14.25" hidden="1">
      <c r="AD18" s="1588"/>
      <c r="AE18" s="1588"/>
      <c r="AF18" s="1588"/>
      <c r="AG18" s="551" t="str">
        <f>AH17&amp;"-"&amp;AJ17</f>
        <v>-</v>
      </c>
      <c r="AH18" s="2386"/>
      <c r="AI18" s="2386"/>
      <c r="AJ18" s="2386"/>
      <c r="AK18" s="2386"/>
    </row>
    <row customHeight="1" ht="14.25" hidden="1">
      <c r="AK19" s="550"/>
    </row>
    <row s="13533" customFormat="1" customHeight="1" ht="22.5" hidden="1">
      <c r="L20" s="1557"/>
      <c r="M20" s="1590"/>
      <c r="N20" s="1590"/>
      <c r="O20" s="1595" t="s">
        <v>416</v>
      </c>
      <c r="P20" s="1590"/>
      <c r="Q20" s="1599"/>
      <c r="R20" s="1599"/>
      <c r="S20" s="952"/>
      <c r="Z20" s="1595"/>
      <c r="AB20" s="1595"/>
      <c r="AC20" s="1594"/>
      <c r="AH20" s="1595"/>
      <c r="AJ20" s="1595"/>
      <c r="AK20" s="1594"/>
      <c r="AN20" s="734"/>
      <c r="AO20" s="734"/>
      <c r="AP20" s="734"/>
      <c r="AQ20" s="734"/>
      <c r="AR20" s="734"/>
    </row>
    <row s="13533" customFormat="1" customHeight="1" ht="14.25" hidden="1">
      <c r="L21" s="1557"/>
      <c r="M21" s="1590"/>
      <c r="N21" s="1590"/>
      <c r="O21" s="1590"/>
      <c r="P21" s="1590"/>
      <c r="Q21" s="1599"/>
      <c r="R21" s="1599"/>
      <c r="S21" s="952"/>
      <c r="AC21" s="1594"/>
      <c r="AK21" s="1594"/>
      <c r="AN21" s="734"/>
      <c r="AO21" s="734"/>
      <c r="AP21" s="734"/>
      <c r="AQ21" s="734"/>
      <c r="AR21" s="734"/>
    </row>
    <row s="13533" customFormat="1" customHeight="1" ht="14.25" hidden="1">
      <c r="L22" s="1557"/>
      <c r="M22" s="1590"/>
      <c r="N22" s="1590"/>
      <c r="O22" s="1592" t="s">
        <v>417</v>
      </c>
      <c r="P22" s="1590"/>
      <c r="Q22" s="1599"/>
      <c r="R22" s="1599"/>
      <c r="S22" s="952"/>
      <c r="T22" s="1385" t="s">
        <v>418</v>
      </c>
      <c r="AA22" s="409" t="s">
        <v>419</v>
      </c>
      <c r="AC22" s="409" t="s">
        <v>420</v>
      </c>
      <c r="AD22" s="1385" t="s">
        <v>418</v>
      </c>
      <c r="AI22" s="409" t="s">
        <v>421</v>
      </c>
      <c r="AK22" s="409" t="s">
        <v>420</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51">
      <c r="Q26" s="599"/>
      <c r="R26" s="599"/>
      <c r="S26" s="24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ООО "Новая Энергетика"</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13547"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Агенство по тарифам Приморского края</v>
      </c>
      <c r="W29" s="2382"/>
      <c r="X29" s="2382"/>
      <c r="Y29" s="2382"/>
      <c r="Z29" s="2382"/>
      <c r="AA29" s="2382"/>
      <c r="AB29" s="2382"/>
      <c r="AC29" s="549"/>
      <c r="AD29" s="2382" t="str">
        <f>IF(TITLE_NAME_OR_PR_CHANGE="",IF(TITLE_NAME_OR_PR="","",TITLE_NAME_OR_PR),TITLE_NAME_OR_PR_CHANGE)</f>
        <v>Агенство по тарифам Приморского края</v>
      </c>
      <c r="AE29" s="2382"/>
      <c r="AF29" s="2382"/>
      <c r="AG29" s="2382"/>
      <c r="AH29" s="2382"/>
      <c r="AI29" s="2382"/>
      <c r="AJ29" s="2382"/>
      <c r="AK29" s="549"/>
      <c r="AL29" s="549"/>
      <c r="AM29" s="503"/>
      <c r="AN29" s="591"/>
      <c r="AO29" s="591"/>
      <c r="AP29" s="591"/>
      <c r="AQ29" s="591"/>
      <c r="AR29" s="591"/>
    </row>
    <row s="13547" customFormat="1" customHeight="1" ht="18.75">
      <c r="A30" s="1596"/>
      <c r="B30" s="1596"/>
      <c r="C30" s="1596"/>
      <c r="D30" s="1596"/>
      <c r="E30" s="1596"/>
      <c r="F30" s="1596"/>
      <c r="G30" s="1596"/>
      <c r="H30" s="1596"/>
      <c r="I30" s="1596"/>
      <c r="J30" s="1596"/>
      <c r="K30" s="1596"/>
      <c r="L30" s="1597"/>
      <c r="M30" s="1596"/>
      <c r="N30" s="1596"/>
      <c r="O30" s="1596"/>
      <c r="S30" s="2380" t="s">
        <v>422</v>
      </c>
      <c r="T30" s="2380"/>
      <c r="U30" s="1600"/>
      <c r="V30" s="2381" t="str">
        <f>IF(TITLE_DATE_PR_CHANGE="",IF(TITLE_DATE_PR="","",TITLE_DATE_PR),TITLE_DATE_PR_CHANGE)</f>
        <v>45281.66994212963</v>
      </c>
      <c r="W30" s="2381"/>
      <c r="X30" s="2381"/>
      <c r="Y30" s="2381"/>
      <c r="Z30" s="2381"/>
      <c r="AA30" s="2381"/>
      <c r="AB30" s="2381"/>
      <c r="AC30" s="549"/>
      <c r="AD30" s="2381" t="str">
        <f>IF(TITLE_DATE_PR_CHANGE="",IF(TITLE_DATE_PR="","",TITLE_DATE_PR),TITLE_DATE_PR_CHANGE)</f>
        <v>45281.66994212963</v>
      </c>
      <c r="AE30" s="2381"/>
      <c r="AF30" s="2381"/>
      <c r="AG30" s="2381"/>
      <c r="AH30" s="2381"/>
      <c r="AI30" s="2381"/>
      <c r="AJ30" s="2381"/>
      <c r="AK30" s="549"/>
      <c r="AL30" s="549"/>
      <c r="AM30" s="503"/>
      <c r="AN30" s="591"/>
      <c r="AO30" s="591"/>
      <c r="AP30" s="591"/>
      <c r="AQ30" s="591"/>
      <c r="AR30" s="591"/>
    </row>
    <row s="13547" customFormat="1" customHeight="1" ht="18.75">
      <c r="A31" s="1596"/>
      <c r="B31" s="1596"/>
      <c r="C31" s="1596"/>
      <c r="D31" s="1596"/>
      <c r="E31" s="1596"/>
      <c r="F31" s="1596"/>
      <c r="G31" s="1596"/>
      <c r="H31" s="1596"/>
      <c r="I31" s="1596"/>
      <c r="J31" s="1596"/>
      <c r="K31" s="1596"/>
      <c r="L31" s="1597"/>
      <c r="M31" s="1596"/>
      <c r="N31" s="1596"/>
      <c r="O31" s="1596"/>
      <c r="S31" s="2380" t="s">
        <v>423</v>
      </c>
      <c r="T31" s="2380"/>
      <c r="U31" s="1600"/>
      <c r="V31" s="2382" t="str">
        <f>IF(TITLE_NUMBER_PR_CHANGE="",IF(TITLE_NUMBER_PR="","",TITLE_NUMBER_PR),TITLE_NUMBER_PR_CHANGE)</f>
        <v>72/1</v>
      </c>
      <c r="W31" s="2382"/>
      <c r="X31" s="2382"/>
      <c r="Y31" s="2382"/>
      <c r="Z31" s="2382"/>
      <c r="AA31" s="2382"/>
      <c r="AB31" s="2382"/>
      <c r="AC31" s="549"/>
      <c r="AD31" s="2382" t="str">
        <f>IF(TITLE_NUMBER_PR_CHANGE="",IF(TITLE_NUMBER_PR="","",TITLE_NUMBER_PR),TITLE_NUMBER_PR_CHANGE)</f>
        <v>72/1</v>
      </c>
      <c r="AE31" s="2382"/>
      <c r="AF31" s="2382"/>
      <c r="AG31" s="2382"/>
      <c r="AH31" s="2382"/>
      <c r="AI31" s="2382"/>
      <c r="AJ31" s="2382"/>
      <c r="AK31" s="549"/>
      <c r="AL31" s="549"/>
      <c r="AM31" s="503"/>
      <c r="AN31" s="591"/>
      <c r="AO31" s="591"/>
      <c r="AP31" s="591"/>
      <c r="AQ31" s="591"/>
      <c r="AR31" s="591"/>
    </row>
    <row s="13547"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http://pravo.gov.ru Номер опубликования: 2501202312270032 Дата опубликования: 27.12.2023</v>
      </c>
      <c r="W32" s="2382"/>
      <c r="X32" s="2382"/>
      <c r="Y32" s="2382"/>
      <c r="Z32" s="2382"/>
      <c r="AA32" s="2382"/>
      <c r="AB32" s="2382"/>
      <c r="AC32" s="549"/>
      <c r="AD32" s="2382" t="str">
        <f>IF(TITLE_IST_PUB_CHANGE="",IF(TITLE_IST_PUB="","",TITLE_IST_PUB),TITLE_IST_PUB_CHANGE)</f>
        <v>http://pravo.gov.ru Номер опубликования: 2501202312270032 Дата опубликования: 27.12.2023</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13547" customFormat="1" customHeight="1" ht="18.75" hidden="1">
      <c r="A34" s="1596"/>
      <c r="B34" s="1596"/>
      <c r="C34" s="1596"/>
      <c r="D34" s="1596"/>
      <c r="E34" s="1596"/>
      <c r="F34" s="1596"/>
      <c r="G34" s="1596"/>
      <c r="H34" s="1596"/>
      <c r="I34" s="1596"/>
      <c r="J34" s="1596"/>
      <c r="K34" s="1596"/>
      <c r="L34" s="1597"/>
      <c r="M34" s="1596"/>
      <c r="N34" s="1596"/>
      <c r="O34" s="1596"/>
      <c r="S34" s="2380" t="s">
        <v>424</v>
      </c>
      <c r="T34" s="2380"/>
      <c r="U34" s="1600"/>
      <c r="V34" s="2381" t="str">
        <f>IF(TITLE_DATE_PR_CHANGE="",IF(TITLE_DATE_PR="","",TITLE_DATE_PR),TITLE_DATE_PR_CHANGE)</f>
        <v>45281.66994212963</v>
      </c>
      <c r="W34" s="2381"/>
      <c r="X34" s="2381"/>
      <c r="Y34" s="2381"/>
      <c r="Z34" s="2381"/>
      <c r="AA34" s="2381"/>
      <c r="AB34" s="2381"/>
      <c r="AC34" s="549"/>
      <c r="AD34" s="2381" t="str">
        <f>IF(TITLE_DATE_PR_CHANGE="",IF(TITLE_DATE_PR="","",TITLE_DATE_PR),TITLE_DATE_PR_CHANGE)</f>
        <v>45281.66994212963</v>
      </c>
      <c r="AE34" s="2381"/>
      <c r="AF34" s="2381"/>
      <c r="AG34" s="2381"/>
      <c r="AH34" s="2381"/>
      <c r="AI34" s="2381"/>
      <c r="AJ34" s="2381"/>
      <c r="AK34" s="549"/>
      <c r="AL34" s="549"/>
      <c r="AM34" s="503"/>
      <c r="AN34" s="591"/>
      <c r="AO34" s="591"/>
      <c r="AP34" s="591"/>
      <c r="AQ34" s="591"/>
      <c r="AR34" s="591"/>
    </row>
    <row s="13547" customFormat="1" customHeight="1" ht="25.5" hidden="1">
      <c r="A35" s="1596"/>
      <c r="B35" s="1596"/>
      <c r="C35" s="1596"/>
      <c r="D35" s="1596"/>
      <c r="E35" s="1596"/>
      <c r="F35" s="1596"/>
      <c r="G35" s="1596"/>
      <c r="H35" s="1596"/>
      <c r="I35" s="1596"/>
      <c r="J35" s="1596"/>
      <c r="K35" s="1596"/>
      <c r="L35" s="1597"/>
      <c r="M35" s="1596"/>
      <c r="N35" s="1596"/>
      <c r="O35" s="1596"/>
      <c r="S35" s="2380" t="s">
        <v>425</v>
      </c>
      <c r="T35" s="2380"/>
      <c r="U35" s="1600"/>
      <c r="V35" s="2382" t="str">
        <f>IF(TITLE_NUMBER_PR_CHANGE="",IF(TITLE_NUMBER_PR="","",TITLE_NUMBER_PR),TITLE_NUMBER_PR_CHANGE)</f>
        <v>72/1</v>
      </c>
      <c r="W35" s="2382"/>
      <c r="X35" s="2382"/>
      <c r="Y35" s="2382"/>
      <c r="Z35" s="2382"/>
      <c r="AA35" s="2382"/>
      <c r="AB35" s="2382"/>
      <c r="AC35" s="549"/>
      <c r="AD35" s="2382" t="str">
        <f>IF(TITLE_NUMBER_PR_CHANGE="",IF(TITLE_NUMBER_PR="","",TITLE_NUMBER_PR),TITLE_NUMBER_PR_CHANGE)</f>
        <v>72/1</v>
      </c>
      <c r="AE35" s="2382"/>
      <c r="AF35" s="2382"/>
      <c r="AG35" s="2382"/>
      <c r="AH35" s="2382"/>
      <c r="AI35" s="2382"/>
      <c r="AJ35" s="2382"/>
      <c r="AK35" s="549"/>
      <c r="AL35" s="549"/>
      <c r="AM35" s="503"/>
      <c r="AN35" s="591"/>
      <c r="AO35" s="591"/>
      <c r="AP35" s="591"/>
      <c r="AQ35" s="591"/>
      <c r="AR35" s="591"/>
    </row>
    <row s="13547"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426</v>
      </c>
      <c r="AD36" s="549"/>
      <c r="AE36" s="549"/>
      <c r="AF36" s="549"/>
      <c r="AG36" s="549"/>
      <c r="AH36" s="549"/>
      <c r="AI36" s="549"/>
      <c r="AJ36" s="549"/>
      <c r="AK36" s="501" t="s">
        <v>426</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301</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302</v>
      </c>
    </row>
    <row customHeight="1" ht="14.25">
      <c r="Q39" s="599"/>
      <c r="R39" s="599"/>
      <c r="S39" s="2407" t="s">
        <v>87</v>
      </c>
      <c r="T39" s="2344" t="s">
        <v>427</v>
      </c>
      <c r="U39" s="524"/>
      <c r="V39" s="2408" t="s">
        <v>428</v>
      </c>
      <c r="W39" s="2409"/>
      <c r="X39" s="2409"/>
      <c r="Y39" s="2409"/>
      <c r="Z39" s="2409"/>
      <c r="AA39" s="2409"/>
      <c r="AB39" s="2410"/>
      <c r="AC39" s="2411" t="s">
        <v>429</v>
      </c>
      <c r="AD39" s="2408" t="s">
        <v>428</v>
      </c>
      <c r="AE39" s="2409"/>
      <c r="AF39" s="2409"/>
      <c r="AG39" s="2409"/>
      <c r="AH39" s="2409"/>
      <c r="AI39" s="2409"/>
      <c r="AJ39" s="2410"/>
      <c r="AK39" s="2411" t="s">
        <v>430</v>
      </c>
      <c r="AL39" s="2414" t="s">
        <v>431</v>
      </c>
      <c r="AM39" s="2254"/>
    </row>
    <row customHeight="1" ht="33.75">
      <c r="Q40" s="599"/>
      <c r="R40" s="599"/>
      <c r="S40" s="2407"/>
      <c r="T40" s="2344"/>
      <c r="U40" s="1255"/>
      <c r="V40" s="2417" t="s">
        <v>432</v>
      </c>
      <c r="W40" s="2398"/>
      <c r="X40" s="2400" t="s">
        <v>434</v>
      </c>
      <c r="Y40" s="2402"/>
      <c r="Z40" s="2400" t="s">
        <v>435</v>
      </c>
      <c r="AA40" s="2401"/>
      <c r="AB40" s="2402"/>
      <c r="AC40" s="2412"/>
      <c r="AD40" s="2417" t="s">
        <v>448</v>
      </c>
      <c r="AE40" s="2398"/>
      <c r="AF40" s="2400" t="s">
        <v>434</v>
      </c>
      <c r="AG40" s="2402"/>
      <c r="AH40" s="2400" t="s">
        <v>435</v>
      </c>
      <c r="AI40" s="2401"/>
      <c r="AJ40" s="2402"/>
      <c r="AK40" s="2412"/>
      <c r="AL40" s="2415"/>
      <c r="AM40" s="2254"/>
    </row>
    <row customHeight="1" ht="33.75">
      <c r="A41" s="1598"/>
      <c r="B41" s="1598" t="s">
        <v>134</v>
      </c>
      <c r="C41" s="1598" t="s">
        <v>135</v>
      </c>
      <c r="D41" s="1598" t="s">
        <v>136</v>
      </c>
      <c r="E41" s="1592" t="s">
        <v>436</v>
      </c>
      <c r="F41" s="1592" t="s">
        <v>437</v>
      </c>
      <c r="G41" s="1592" t="s">
        <v>438</v>
      </c>
      <c r="H41" s="1592" t="s">
        <v>439</v>
      </c>
      <c r="I41" s="1592" t="s">
        <v>440</v>
      </c>
      <c r="J41" s="1592" t="s">
        <v>441</v>
      </c>
      <c r="K41" s="1592" t="s">
        <v>442</v>
      </c>
      <c r="L41" s="1592" t="s">
        <v>417</v>
      </c>
      <c r="Q41" s="599"/>
      <c r="R41" s="599"/>
      <c r="S41" s="2407"/>
      <c r="T41" s="2344"/>
      <c r="U41" s="525"/>
      <c r="V41" s="2418"/>
      <c r="W41" s="2399"/>
      <c r="X41" s="1449" t="s">
        <v>443</v>
      </c>
      <c r="Y41" s="1449" t="s">
        <v>444</v>
      </c>
      <c r="Z41" s="1566" t="s">
        <v>445</v>
      </c>
      <c r="AA41" s="2403" t="s">
        <v>446</v>
      </c>
      <c r="AB41" s="2404"/>
      <c r="AC41" s="2413"/>
      <c r="AD41" s="2418"/>
      <c r="AE41" s="2399"/>
      <c r="AF41" s="1449" t="s">
        <v>443</v>
      </c>
      <c r="AG41" s="1449" t="s">
        <v>444</v>
      </c>
      <c r="AH41" s="1566" t="s">
        <v>445</v>
      </c>
      <c r="AI41" s="2403" t="s">
        <v>446</v>
      </c>
      <c r="AJ41" s="2404"/>
      <c r="AK41" s="2413"/>
      <c r="AL41" s="2416"/>
      <c r="AM41" s="2254"/>
    </row>
    <row s="13364"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108</v>
      </c>
      <c r="T42" s="1482" t="s">
        <v>109</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185</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122</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185</v>
      </c>
      <c r="B44" s="1591" t="s">
        <v>186</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398</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399</v>
      </c>
      <c r="AO44" s="723"/>
      <c r="AP44" s="723" t="str">
        <f>IF(T44="","",T44)</f>
        <v>Территория действия тарифа</v>
      </c>
      <c r="AQ44" s="723"/>
      <c r="AR44" s="723"/>
    </row>
    <row customHeight="1" ht="23.25">
      <c r="A45" s="1591" t="s">
        <v>185</v>
      </c>
      <c r="B45" s="1591" t="s">
        <v>186</v>
      </c>
      <c r="C45" s="1591" t="s">
        <v>187</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400</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401</v>
      </c>
      <c r="AO45" s="723"/>
      <c r="AP45" s="723" t="str">
        <f>IF(T45="","",T45)</f>
        <v>Наименование системы теплоснабжения </v>
      </c>
      <c r="AQ45" s="723"/>
      <c r="AR45" s="723"/>
    </row>
    <row customHeight="1" ht="21">
      <c r="A46" s="1591" t="s">
        <v>185</v>
      </c>
      <c r="B46" s="1591" t="s">
        <v>186</v>
      </c>
      <c r="C46" s="1591" t="s">
        <v>187</v>
      </c>
      <c r="D46" s="1591" t="s">
        <v>188</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402</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403</v>
      </c>
      <c r="AO46" s="723"/>
      <c r="AP46" s="723" t="str">
        <f>IF(T46="","",T46)</f>
        <v>Источник тепловой энергии  </v>
      </c>
      <c r="AQ46" s="723"/>
      <c r="AR46" s="723"/>
    </row>
    <row s="13606" customFormat="1" customHeight="1" ht="0">
      <c r="A47" s="1571" t="s">
        <v>185</v>
      </c>
      <c r="B47" s="1571" t="s">
        <v>186</v>
      </c>
      <c r="C47" s="1571" t="s">
        <v>187</v>
      </c>
      <c r="D47" s="1571" t="s">
        <v>188</v>
      </c>
      <c r="E47" s="2390"/>
      <c r="F47" s="2390"/>
      <c r="G47" s="2390"/>
      <c r="H47" s="2390"/>
      <c r="I47" s="2391" t="str">
        <f>S46&amp;".1"</f>
        <v>....1</v>
      </c>
      <c r="J47" s="1571"/>
      <c r="K47" s="1571"/>
      <c r="L47" s="1574" t="s">
        <v>404</v>
      </c>
      <c r="M47" s="733"/>
      <c r="N47" s="733"/>
      <c r="O47" s="733"/>
      <c r="P47" s="2393">
        <v>1</v>
      </c>
      <c r="Q47" s="1559"/>
      <c r="R47" s="579"/>
      <c r="S47" s="1266"/>
      <c r="T47" s="1611"/>
      <c r="U47" s="1612"/>
      <c r="V47" s="2431"/>
      <c r="W47" s="2432"/>
      <c r="X47" s="2432"/>
      <c r="Y47" s="2432"/>
      <c r="Z47" s="2432"/>
      <c r="AA47" s="2432"/>
      <c r="AB47" s="2432"/>
      <c r="AC47" s="2433"/>
      <c r="AD47" s="2431"/>
      <c r="AE47" s="2432"/>
      <c r="AF47" s="2432"/>
      <c r="AG47" s="2432"/>
      <c r="AH47" s="2432"/>
      <c r="AI47" s="2432"/>
      <c r="AJ47" s="2432"/>
      <c r="AK47" s="2432"/>
      <c r="AL47" s="2433"/>
      <c r="AM47" s="1613"/>
      <c r="AO47" s="723"/>
      <c r="AP47" s="723" t="str">
        <f>IF(T47="","",T47)</f>
        <v/>
      </c>
      <c r="AQ47" s="723"/>
      <c r="AR47" s="723"/>
    </row>
    <row customHeight="1" ht="21">
      <c r="A48" s="1591" t="s">
        <v>185</v>
      </c>
      <c r="B48" s="1591" t="s">
        <v>186</v>
      </c>
      <c r="C48" s="1591" t="s">
        <v>187</v>
      </c>
      <c r="D48" s="1591" t="s">
        <v>188</v>
      </c>
      <c r="E48" s="2390"/>
      <c r="F48" s="2390"/>
      <c r="G48" s="2390"/>
      <c r="H48" s="2390"/>
      <c r="I48" s="2392"/>
      <c r="J48" s="2391" t="str">
        <f>S46&amp;".1"</f>
        <v>....1</v>
      </c>
      <c r="K48" s="1591"/>
      <c r="L48" s="1592" t="s">
        <v>407</v>
      </c>
      <c r="P48" s="2393"/>
      <c r="Q48" s="2393">
        <v>1</v>
      </c>
      <c r="R48" s="580"/>
      <c r="S48" s="1564" t="str">
        <f>$J48</f>
        <v>....1</v>
      </c>
      <c r="T48" s="509" t="s">
        <v>408</v>
      </c>
      <c r="U48" s="523"/>
      <c r="V48" s="2377"/>
      <c r="W48" s="2378"/>
      <c r="X48" s="2378"/>
      <c r="Y48" s="2378"/>
      <c r="Z48" s="2378"/>
      <c r="AA48" s="2378"/>
      <c r="AB48" s="2378"/>
      <c r="AC48" s="2379"/>
      <c r="AD48" s="2377"/>
      <c r="AE48" s="2378"/>
      <c r="AF48" s="2378"/>
      <c r="AG48" s="2378"/>
      <c r="AH48" s="2378"/>
      <c r="AI48" s="2378"/>
      <c r="AJ48" s="2378"/>
      <c r="AK48" s="2378"/>
      <c r="AL48" s="2379"/>
      <c r="AM48" s="1485" t="s">
        <v>409</v>
      </c>
      <c r="AO48" s="723"/>
      <c r="AP48" s="723" t="str">
        <f>IF(T48="","",T48)</f>
        <v>Группа потребителей</v>
      </c>
      <c r="AQ48" s="723"/>
      <c r="AR48" s="723"/>
    </row>
    <row customHeight="1" ht="21">
      <c r="A49" s="1591" t="s">
        <v>185</v>
      </c>
      <c r="B49" s="1591" t="s">
        <v>186</v>
      </c>
      <c r="C49" s="1591" t="s">
        <v>187</v>
      </c>
      <c r="D49" s="1591" t="s">
        <v>188</v>
      </c>
      <c r="E49" s="2390"/>
      <c r="F49" s="2390"/>
      <c r="G49" s="2390"/>
      <c r="H49" s="2390"/>
      <c r="I49" s="2392"/>
      <c r="J49" s="2392"/>
      <c r="K49" s="2391" t="str">
        <f>J48&amp;".1"</f>
        <v>....1.1</v>
      </c>
      <c r="L49" s="1592" t="s">
        <v>410</v>
      </c>
      <c r="P49" s="2393"/>
      <c r="Q49" s="2393"/>
      <c r="R49" s="580">
        <v>1</v>
      </c>
      <c r="S49" s="1564" t="str">
        <f>$K49</f>
        <v>....1.1</v>
      </c>
      <c r="T49" s="1575"/>
      <c r="U49" s="523"/>
      <c r="V49" s="974"/>
      <c r="W49" s="548"/>
      <c r="X49" s="974"/>
      <c r="Y49" s="1484"/>
      <c r="Z49" s="2394"/>
      <c r="AA49" s="2264" t="s">
        <v>66</v>
      </c>
      <c r="AB49" s="2394"/>
      <c r="AC49" s="2264" t="s">
        <v>66</v>
      </c>
      <c r="AD49" s="974"/>
      <c r="AE49" s="548"/>
      <c r="AF49" s="974"/>
      <c r="AG49" s="1484"/>
      <c r="AH49" s="2394"/>
      <c r="AI49" s="2264" t="s">
        <v>66</v>
      </c>
      <c r="AJ49" s="2396"/>
      <c r="AK49" s="2264" t="s">
        <v>66</v>
      </c>
      <c r="AL49" s="1576"/>
      <c r="AM49" s="2419" t="s">
        <v>449</v>
      </c>
      <c r="AN49" s="734">
        <f>STRCHECKDATE(V50:AL50)</f>
      </c>
      <c r="AO49" s="723"/>
      <c r="AP49" s="723" t="str">
        <f>IF(T49="","",T49)</f>
        <v/>
      </c>
      <c r="AQ49" s="723"/>
      <c r="AR49" s="723"/>
    </row>
    <row customHeight="1" ht="0">
      <c r="A50" s="1591" t="s">
        <v>185</v>
      </c>
      <c r="B50" s="1591" t="s">
        <v>186</v>
      </c>
      <c r="C50" s="1591" t="s">
        <v>187</v>
      </c>
      <c r="D50" s="1591" t="s">
        <v>188</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185</v>
      </c>
      <c r="B51" s="1591" t="s">
        <v>186</v>
      </c>
      <c r="C51" s="1591" t="s">
        <v>187</v>
      </c>
      <c r="D51" s="1591" t="s">
        <v>188</v>
      </c>
      <c r="E51" s="2390"/>
      <c r="F51" s="2390"/>
      <c r="G51" s="2390"/>
      <c r="H51" s="2390"/>
      <c r="I51" s="2392"/>
      <c r="J51" s="2391"/>
      <c r="K51" s="1591"/>
      <c r="L51" s="1592"/>
      <c r="P51" s="2393"/>
      <c r="Q51" s="2393"/>
      <c r="R51" s="579"/>
      <c r="S51" s="1506"/>
      <c r="T51" s="510" t="s">
        <v>412</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185</v>
      </c>
      <c r="B52" s="1591" t="s">
        <v>186</v>
      </c>
      <c r="C52" s="1591" t="s">
        <v>187</v>
      </c>
      <c r="D52" s="1591" t="s">
        <v>188</v>
      </c>
      <c r="E52" s="2390"/>
      <c r="F52" s="2390"/>
      <c r="G52" s="2390"/>
      <c r="H52" s="2390"/>
      <c r="I52" s="2391"/>
      <c r="J52" s="1591"/>
      <c r="K52" s="1591"/>
      <c r="L52" s="1592"/>
      <c r="P52" s="2393"/>
      <c r="Q52" s="1559"/>
      <c r="R52" s="579"/>
      <c r="S52" s="1506"/>
      <c r="T52" s="588" t="s">
        <v>413</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91" t="s">
        <v>185</v>
      </c>
      <c r="B53" s="1591" t="s">
        <v>186</v>
      </c>
      <c r="C53" s="1591" t="s">
        <v>187</v>
      </c>
      <c r="D53" s="1591" t="s">
        <v>188</v>
      </c>
      <c r="E53" s="2390"/>
      <c r="F53" s="2390"/>
      <c r="G53" s="2390"/>
      <c r="H53" s="2389"/>
      <c r="I53" s="1591"/>
      <c r="J53" s="1591"/>
      <c r="K53" s="1591"/>
      <c r="L53" s="1592"/>
      <c r="M53" s="1593"/>
      <c r="N53" s="1593"/>
      <c r="O53" s="760"/>
      <c r="P53" s="583"/>
      <c r="Q53" s="598"/>
      <c r="R53" s="578"/>
      <c r="S53" s="1614"/>
      <c r="T53" s="1615"/>
      <c r="U53" s="1616"/>
      <c r="V53" s="1616"/>
      <c r="W53" s="1616"/>
      <c r="X53" s="1616"/>
      <c r="Y53" s="1616"/>
      <c r="Z53" s="1616"/>
      <c r="AA53" s="1616"/>
      <c r="AB53" s="1616"/>
      <c r="AC53" s="1616"/>
      <c r="AD53" s="1616"/>
      <c r="AE53" s="1616"/>
      <c r="AF53" s="1616"/>
      <c r="AG53" s="1616"/>
      <c r="AH53" s="1616"/>
      <c r="AI53" s="1616"/>
      <c r="AJ53" s="1616"/>
      <c r="AK53" s="1616"/>
      <c r="AL53" s="1616"/>
      <c r="AM53" s="1617"/>
      <c r="AO53" s="723"/>
      <c r="AP53" s="723" t="str">
        <f>IF(T53="","",T53)</f>
        <v/>
      </c>
      <c r="AQ53" s="723"/>
      <c r="AR53" s="723"/>
    </row>
    <row s="13514" customFormat="1" customHeight="1" ht="0">
      <c r="A54" s="1571" t="s">
        <v>185</v>
      </c>
      <c r="B54" s="1571" t="s">
        <v>186</v>
      </c>
      <c r="C54" s="1571" t="s">
        <v>187</v>
      </c>
      <c r="D54" s="1542"/>
      <c r="E54" s="2390"/>
      <c r="F54" s="2390"/>
      <c r="G54" s="2389"/>
      <c r="H54" s="1542"/>
      <c r="I54" s="1542"/>
      <c r="J54" s="1542"/>
      <c r="K54" s="1542"/>
      <c r="L54" s="1567"/>
      <c r="M54" s="1543"/>
      <c r="N54" s="1543"/>
      <c r="P54" s="1544"/>
      <c r="Q54" s="1545"/>
      <c r="R54" s="1544"/>
      <c r="S54" s="1550"/>
      <c r="T54" s="1553" t="s">
        <v>415</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13514" customFormat="1" customHeight="1" ht="0">
      <c r="A55" s="1571" t="s">
        <v>185</v>
      </c>
      <c r="B55" s="1571" t="s">
        <v>186</v>
      </c>
      <c r="C55" s="1542"/>
      <c r="D55" s="1542"/>
      <c r="E55" s="2390"/>
      <c r="F55" s="2389"/>
      <c r="G55" s="1542"/>
      <c r="H55" s="1542"/>
      <c r="I55" s="1542"/>
      <c r="J55" s="1542"/>
      <c r="K55" s="1542"/>
      <c r="L55" s="1567"/>
      <c r="M55" s="1549"/>
      <c r="N55" s="1549"/>
      <c r="P55" s="1544"/>
      <c r="Q55" s="1545"/>
      <c r="R55" s="1544"/>
      <c r="S55" s="1550"/>
      <c r="T55" s="1553" t="s">
        <v>252</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13606" customFormat="1" customHeight="1" ht="0">
      <c r="A56" s="1571" t="s">
        <v>185</v>
      </c>
      <c r="B56" s="1571"/>
      <c r="C56" s="1571"/>
      <c r="D56" s="1571"/>
      <c r="E56" s="2389"/>
      <c r="F56" s="1571"/>
      <c r="G56" s="1571"/>
      <c r="H56" s="1571"/>
      <c r="I56" s="1571"/>
      <c r="J56" s="1571"/>
      <c r="K56" s="1571"/>
      <c r="L56" s="1574"/>
      <c r="M56" s="1549"/>
      <c r="N56" s="1549"/>
      <c r="O56" s="741"/>
      <c r="P56" s="603"/>
      <c r="Q56" s="1572"/>
      <c r="R56" s="603"/>
      <c r="S56" s="1550"/>
      <c r="T56" s="1553" t="s">
        <v>253</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13514" customFormat="1" customHeight="1" ht="5.25">
      <c r="A57" s="1542"/>
      <c r="B57" s="1542"/>
      <c r="C57" s="1542"/>
      <c r="D57" s="1542"/>
      <c r="E57" s="1571"/>
      <c r="F57" s="1542"/>
      <c r="G57" s="1542"/>
      <c r="H57" s="1542"/>
      <c r="I57" s="1542"/>
      <c r="J57" s="1542"/>
      <c r="K57" s="1542"/>
      <c r="L57" s="1567"/>
      <c r="M57" s="1549"/>
      <c r="N57" s="1549"/>
      <c r="P57" s="1544"/>
      <c r="Q57" s="1545"/>
      <c r="R57" s="1544"/>
      <c r="S57" s="1550"/>
      <c r="T57" s="1553" t="s">
        <v>254</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14.25">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14.2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c r="T61" s="2388"/>
      <c r="U61" s="2388"/>
      <c r="V61" s="2388"/>
      <c r="W61" s="2388"/>
      <c r="X61" s="2388"/>
      <c r="Y61" s="2388"/>
      <c r="Z61" s="2388"/>
      <c r="AA61" s="2388"/>
      <c r="AB61" s="2388"/>
      <c r="AC61" s="2388"/>
      <c r="AD61" s="2388"/>
      <c r="AE61" s="2388"/>
      <c r="AF61" s="2388"/>
      <c r="AG61" s="2388"/>
      <c r="AH61" s="2388"/>
      <c r="AI61" s="2388"/>
      <c r="AJ61" s="2388"/>
      <c r="AK61" s="2388"/>
      <c r="AL61" s="2388"/>
      <c r="AM61" s="2388"/>
    </row>
    <row customHeight="1" ht="14.25">
      <c r="O62" s="760"/>
    </row>
    <row customHeight="1" ht="14.25">
      <c r="O63" s="760"/>
      <c r="S63" s="1480"/>
      <c r="T63" s="2434"/>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14.25">
      <c r="O64" s="760"/>
      <c r="T64" s="2388"/>
      <c r="U64" s="2388"/>
      <c r="V64" s="2388"/>
      <c r="W64" s="2388"/>
      <c r="X64" s="2388"/>
      <c r="Y64" s="2388"/>
      <c r="Z64" s="2388"/>
      <c r="AA64" s="2388"/>
      <c r="AB64" s="2388"/>
      <c r="AC64" s="2388"/>
      <c r="AD64" s="2388"/>
      <c r="AE64" s="2388"/>
      <c r="AF64" s="2388"/>
      <c r="AG64" s="2388"/>
      <c r="AH64" s="2388"/>
      <c r="AI64" s="2388"/>
      <c r="AJ64" s="2388"/>
      <c r="AK64" s="2388"/>
      <c r="AL64" s="2388"/>
      <c r="AM64" s="2388"/>
    </row>
    <row customHeight="1" ht="14.25">
      <c r="T65" s="2388"/>
      <c r="U65" s="2388"/>
      <c r="V65" s="2388"/>
      <c r="W65" s="2388"/>
      <c r="X65" s="2388"/>
      <c r="Y65" s="2388"/>
      <c r="Z65" s="2388"/>
      <c r="AA65" s="2388"/>
      <c r="AB65" s="2388"/>
      <c r="AC65" s="2388"/>
      <c r="AD65" s="2388"/>
      <c r="AE65" s="2388"/>
      <c r="AF65" s="2388"/>
      <c r="AG65" s="2388"/>
      <c r="AH65" s="2388"/>
      <c r="AI65" s="2388"/>
      <c r="AJ65" s="2388"/>
      <c r="AK65" s="2388"/>
      <c r="AL65" s="2388"/>
      <c r="AM65" s="23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B7AFC-94CF-C056-9AA4-945B31C5D91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3619" width="10.57421875" hidden="1"/>
    <col min="2" max="2" style="13619" width="11.00390625" hidden="1" customWidth="1"/>
    <col min="3" max="3" style="13619" width="10.57421875" hidden="1"/>
    <col min="4" max="4" style="13619" width="11.8515625" hidden="1" customWidth="1"/>
    <col min="5" max="5" style="13619" width="10.00390625" hidden="1" customWidth="1"/>
    <col min="6" max="6" style="13619" width="8.7109375" hidden="1" customWidth="1"/>
    <col min="7" max="7" style="13619" width="7.57421875" hidden="1" customWidth="1"/>
    <col min="8" max="8" style="13619" width="11.421875" hidden="1" customWidth="1"/>
    <col min="9" max="9" style="13619" width="12.00390625" hidden="1" customWidth="1"/>
    <col min="10" max="10" style="13619" width="9.8515625" hidden="1" customWidth="1"/>
    <col min="11" max="12" style="13619" width="11.421875" hidden="1" customWidth="1"/>
    <col min="13" max="13" style="13724" width="19.140625" hidden="1" customWidth="1"/>
    <col min="14" max="15" style="13627" width="12.28125" hidden="1" customWidth="1"/>
    <col min="16" max="16" style="13627" width="23.421875" hidden="1" customWidth="1"/>
    <col min="17" max="17" style="13627" width="3.7109375" hidden="1" customWidth="1"/>
    <col min="18" max="20" style="13617" width="3.7109375" customWidth="1"/>
    <col min="21" max="21" style="13618" width="12.7109375" customWidth="1"/>
    <col min="22" max="22" style="13619" width="32.00390625" customWidth="1"/>
    <col min="23" max="23" style="13619" width="0.140625" customWidth="1"/>
    <col min="24" max="28" style="13619" width="21.7109375" hidden="1" customWidth="1"/>
    <col min="29" max="29" style="13619" width="11.7109375" hidden="1" customWidth="1"/>
    <col min="30" max="30" style="13619" width="3.7109375" hidden="1" customWidth="1"/>
    <col min="31" max="31" style="13619" width="11.7109375" hidden="1" customWidth="1"/>
    <col min="32" max="32" style="13619" width="8.57421875" hidden="1" customWidth="1"/>
    <col min="33" max="37" style="13619" width="21.7109375" customWidth="1"/>
    <col min="38" max="38" style="13619" width="11.7109375" customWidth="1"/>
    <col min="39" max="39" style="13619" width="3.7109375" customWidth="1"/>
    <col min="40" max="40" style="13619" width="11.7109375" customWidth="1"/>
    <col min="41" max="41" style="13619" width="8.57421875" customWidth="1"/>
    <col min="42" max="42" style="13619" width="4.7109375" customWidth="1"/>
    <col min="43" max="43" style="13619" width="115.7109375" customWidth="1"/>
    <col min="44" max="45" style="13606" width="10.57421875"/>
    <col min="46" max="46" style="13606" width="11.140625" customWidth="1"/>
    <col min="47" max="48" style="13606" width="10.57421875"/>
  </cols>
  <sheetData>
    <row customHeight="1" ht="14.25" hidden="1">
      <c r="AB1" s="550"/>
      <c r="AC1" s="550"/>
      <c r="AK1" s="550"/>
      <c r="AL1" s="550"/>
    </row>
    <row customHeight="1" ht="21" hidden="1">
      <c r="A2" s="1495"/>
      <c r="B2" s="1495"/>
      <c r="C2" s="1495"/>
      <c r="D2" s="1495"/>
      <c r="E2" s="2424">
        <v>1</v>
      </c>
      <c r="F2" s="1495"/>
      <c r="G2" s="1495"/>
      <c r="H2" s="1495"/>
      <c r="I2" s="1495"/>
      <c r="J2" s="1495"/>
      <c r="K2" s="1495"/>
      <c r="L2" s="1495"/>
      <c r="M2" s="1538"/>
      <c r="N2" s="911"/>
      <c r="O2" s="911"/>
      <c r="P2" s="911"/>
      <c r="Q2" s="584"/>
      <c r="R2" s="583"/>
      <c r="S2" s="583"/>
      <c r="T2" s="578"/>
      <c r="U2" s="1564">
        <f>INDEX(PT_DIFFERENTIATION_NUM_NTAR,MATCH(A2,PT_DIFFERENTIATION_NTAR_ID,0))</f>
      </c>
      <c r="V2" s="521" t="s">
        <v>122</v>
      </c>
      <c r="W2" s="523"/>
      <c r="X2" s="2383"/>
      <c r="Y2" s="2384"/>
      <c r="Z2" s="2384"/>
      <c r="AA2" s="2384"/>
      <c r="AB2" s="2384"/>
      <c r="AC2" s="2384"/>
      <c r="AD2" s="2384"/>
      <c r="AE2" s="2384"/>
      <c r="AF2" s="2385"/>
      <c r="AG2" s="2383">
        <f>INDEX(PT_DIFFERENTIATION_NTAR,MATCH(A2,PT_DIFFERENTIATION_NTAR_ID,0))</f>
      </c>
      <c r="AH2" s="2384"/>
      <c r="AI2" s="2384"/>
      <c r="AJ2" s="2384"/>
      <c r="AK2" s="2384"/>
      <c r="AL2" s="2384"/>
      <c r="AM2" s="2384"/>
      <c r="AN2" s="2384"/>
      <c r="AO2" s="2384"/>
      <c r="AP2" s="2385"/>
      <c r="AQ2" s="1485" t="s">
        <v>397</v>
      </c>
      <c r="AS2" s="723"/>
      <c r="AT2" s="723" t="str">
        <f>IF(V2="","",V2)</f>
        <v>Наименование тарифа</v>
      </c>
      <c r="AU2" s="723"/>
      <c r="AV2" s="723"/>
    </row>
    <row customHeight="1" ht="21" hidden="1">
      <c r="A3" s="1495"/>
      <c r="B3" s="1495"/>
      <c r="C3" s="1495"/>
      <c r="D3" s="1495"/>
      <c r="E3" s="2425"/>
      <c r="F3" s="2424">
        <v>1</v>
      </c>
      <c r="G3" s="1495"/>
      <c r="H3" s="1495"/>
      <c r="I3" s="1495"/>
      <c r="J3" s="1495"/>
      <c r="K3" s="1495"/>
      <c r="L3" s="1495"/>
      <c r="M3" s="1538"/>
      <c r="N3" s="911"/>
      <c r="O3" s="911"/>
      <c r="P3" s="911"/>
      <c r="Q3" s="1560"/>
      <c r="R3" s="575"/>
      <c r="S3" s="732"/>
      <c r="T3" s="576"/>
      <c r="U3" s="1564">
        <f>INDEX(PT_DIFFERENTIATION_NUM_TER,MATCH(B3,PT_DIFFERENTIATION_TER_ID,0))</f>
      </c>
      <c r="V3" s="531" t="s">
        <v>398</v>
      </c>
      <c r="W3" s="523"/>
      <c r="X3" s="2383"/>
      <c r="Y3" s="2384"/>
      <c r="Z3" s="2384"/>
      <c r="AA3" s="2384"/>
      <c r="AB3" s="2384"/>
      <c r="AC3" s="2384"/>
      <c r="AD3" s="2384"/>
      <c r="AE3" s="2384"/>
      <c r="AF3" s="2385"/>
      <c r="AG3" s="2383">
        <f>INDEX(PT_DIFFERENTIATION_TER,MATCH(B3,PT_DIFFERENTIATION_TER_ID,0))</f>
      </c>
      <c r="AH3" s="2384"/>
      <c r="AI3" s="2384"/>
      <c r="AJ3" s="2384"/>
      <c r="AK3" s="2384"/>
      <c r="AL3" s="2384"/>
      <c r="AM3" s="2384"/>
      <c r="AN3" s="2384"/>
      <c r="AO3" s="2384"/>
      <c r="AP3" s="2385"/>
      <c r="AQ3" s="1485" t="s">
        <v>399</v>
      </c>
      <c r="AS3" s="723"/>
      <c r="AT3" s="723" t="str">
        <f>IF(V3="","",V3)</f>
        <v>Территория действия тарифа</v>
      </c>
      <c r="AU3" s="723"/>
      <c r="AV3" s="723"/>
    </row>
    <row customHeight="1" ht="22.5" hidden="1">
      <c r="A4" s="1495"/>
      <c r="B4" s="1495"/>
      <c r="C4" s="1495"/>
      <c r="D4" s="1495"/>
      <c r="E4" s="2425"/>
      <c r="F4" s="2425"/>
      <c r="G4" s="2424">
        <v>1</v>
      </c>
      <c r="H4" s="1495"/>
      <c r="I4" s="1495"/>
      <c r="J4" s="1495"/>
      <c r="K4" s="1495"/>
      <c r="L4" s="1495"/>
      <c r="M4" s="1538"/>
      <c r="N4" s="911"/>
      <c r="O4" s="911"/>
      <c r="P4" s="911"/>
      <c r="Q4" s="577"/>
      <c r="R4" s="575"/>
      <c r="S4" s="732"/>
      <c r="T4" s="576"/>
      <c r="U4" s="1564">
        <f>INDEX(PT_DIFFERENTIATION_NUM_CS,MATCH(C4,PT_DIFFERENTIATION_CS_ID,0))</f>
      </c>
      <c r="V4" s="532" t="s">
        <v>400</v>
      </c>
      <c r="W4" s="523"/>
      <c r="X4" s="2383"/>
      <c r="Y4" s="2384"/>
      <c r="Z4" s="2384"/>
      <c r="AA4" s="2384"/>
      <c r="AB4" s="2384"/>
      <c r="AC4" s="2384"/>
      <c r="AD4" s="2384"/>
      <c r="AE4" s="2384"/>
      <c r="AF4" s="2385"/>
      <c r="AG4" s="2383">
        <f>INDEX(PT_DIFFERENTIATION_CS,MATCH(C4,PT_DIFFERENTIATION_CS_ID,0))</f>
      </c>
      <c r="AH4" s="2384"/>
      <c r="AI4" s="2384"/>
      <c r="AJ4" s="2384"/>
      <c r="AK4" s="2384"/>
      <c r="AL4" s="2384"/>
      <c r="AM4" s="2384"/>
      <c r="AN4" s="2384"/>
      <c r="AO4" s="2384"/>
      <c r="AP4" s="2385"/>
      <c r="AQ4" s="1485" t="s">
        <v>401</v>
      </c>
      <c r="AS4" s="723"/>
      <c r="AT4" s="723" t="str">
        <f>IF(V4="","",V4)</f>
        <v>Наименование системы теплоснабжения </v>
      </c>
      <c r="AU4" s="723"/>
      <c r="AV4" s="723"/>
    </row>
    <row customHeight="1" ht="21" hidden="1">
      <c r="A5" s="1495"/>
      <c r="B5" s="1495"/>
      <c r="C5" s="1495"/>
      <c r="D5" s="1495"/>
      <c r="E5" s="2425"/>
      <c r="F5" s="2425"/>
      <c r="G5" s="2425"/>
      <c r="H5" s="2424">
        <v>1</v>
      </c>
      <c r="I5" s="1495"/>
      <c r="J5" s="1495"/>
      <c r="K5" s="1495"/>
      <c r="L5" s="1495"/>
      <c r="M5" s="1538"/>
      <c r="N5" s="911"/>
      <c r="O5" s="911"/>
      <c r="P5" s="911"/>
      <c r="Q5" s="577"/>
      <c r="R5" s="575"/>
      <c r="S5" s="732"/>
      <c r="T5" s="576"/>
      <c r="U5" s="1564">
        <f>INDEX(PT_DIFFERENTIATION_NUM_IST_TE,MATCH(D5,PT_DIFFERENTIATION_IST_TE_ID,0))</f>
      </c>
      <c r="V5" s="533" t="s">
        <v>402</v>
      </c>
      <c r="W5" s="523"/>
      <c r="X5" s="2383"/>
      <c r="Y5" s="2384"/>
      <c r="Z5" s="2384"/>
      <c r="AA5" s="2384"/>
      <c r="AB5" s="2384"/>
      <c r="AC5" s="2384"/>
      <c r="AD5" s="2384"/>
      <c r="AE5" s="2384"/>
      <c r="AF5" s="2385"/>
      <c r="AG5" s="2383">
        <f>INDEX(PT_DIFFERENTIATION_IST_TE,MATCH(D5,PT_DIFFERENTIATION_IST_TE_ID,0))</f>
      </c>
      <c r="AH5" s="2384"/>
      <c r="AI5" s="2384"/>
      <c r="AJ5" s="2384"/>
      <c r="AK5" s="2384"/>
      <c r="AL5" s="2384"/>
      <c r="AM5" s="2384"/>
      <c r="AN5" s="2384"/>
      <c r="AO5" s="2384"/>
      <c r="AP5" s="2385"/>
      <c r="AQ5" s="1485" t="s">
        <v>403</v>
      </c>
      <c r="AS5" s="723"/>
      <c r="AT5" s="723" t="str">
        <f>IF(V5="","",V5)</f>
        <v>Источник тепловой энергии  </v>
      </c>
      <c r="AU5" s="723"/>
      <c r="AV5" s="723"/>
    </row>
    <row customHeight="1" ht="14.25" hidden="1">
      <c r="A6" s="1495"/>
      <c r="B6" s="1495"/>
      <c r="C6" s="1495"/>
      <c r="D6" s="1495"/>
      <c r="E6" s="2425"/>
      <c r="F6" s="2425"/>
      <c r="G6" s="2425"/>
      <c r="H6" s="2425"/>
      <c r="I6" s="2254">
        <f>U5&amp;".1"</f>
      </c>
      <c r="J6" s="1495"/>
      <c r="K6" s="1495"/>
      <c r="L6" s="1495"/>
      <c r="M6" s="1538" t="s">
        <v>404</v>
      </c>
      <c r="N6" s="732"/>
      <c r="Q6" s="2393">
        <v>1</v>
      </c>
      <c r="R6" s="1559"/>
      <c r="S6" s="1559"/>
      <c r="T6" s="579"/>
      <c r="U6" s="1266"/>
      <c r="V6" s="1611"/>
      <c r="W6" s="1612"/>
      <c r="X6" s="2431"/>
      <c r="Y6" s="2432"/>
      <c r="Z6" s="2432"/>
      <c r="AA6" s="2432"/>
      <c r="AB6" s="2432"/>
      <c r="AC6" s="2432"/>
      <c r="AD6" s="2432"/>
      <c r="AE6" s="2432"/>
      <c r="AF6" s="2433"/>
      <c r="AG6" s="2431"/>
      <c r="AH6" s="2432"/>
      <c r="AI6" s="2432"/>
      <c r="AJ6" s="2432"/>
      <c r="AK6" s="2432"/>
      <c r="AL6" s="2432"/>
      <c r="AM6" s="2432"/>
      <c r="AN6" s="2432"/>
      <c r="AO6" s="2432"/>
      <c r="AP6" s="2433"/>
      <c r="AQ6" s="1613"/>
      <c r="AS6" s="723"/>
      <c r="AT6" s="723" t="str">
        <f>IF(V6="","",V6)</f>
        <v/>
      </c>
      <c r="AU6" s="723"/>
      <c r="AV6" s="723"/>
    </row>
    <row customHeight="1" ht="21" hidden="1">
      <c r="A7" s="1495"/>
      <c r="B7" s="1495"/>
      <c r="C7" s="1495"/>
      <c r="D7" s="1495"/>
      <c r="E7" s="2425"/>
      <c r="F7" s="2425"/>
      <c r="G7" s="2425"/>
      <c r="H7" s="2425"/>
      <c r="I7" s="2238"/>
      <c r="J7" s="2254">
        <f>I6&amp;".1"</f>
      </c>
      <c r="K7" s="1495"/>
      <c r="L7" s="1495"/>
      <c r="M7" s="1538" t="s">
        <v>407</v>
      </c>
      <c r="N7" s="732"/>
      <c r="O7" s="550"/>
      <c r="Q7" s="2393"/>
      <c r="R7" s="2393">
        <v>1</v>
      </c>
      <c r="S7" s="741"/>
      <c r="T7" s="580"/>
      <c r="U7" s="1564">
        <f>$J7</f>
      </c>
      <c r="V7" s="509" t="s">
        <v>408</v>
      </c>
      <c r="W7" s="523"/>
      <c r="X7" s="2377"/>
      <c r="Y7" s="2378"/>
      <c r="Z7" s="2378"/>
      <c r="AA7" s="2378"/>
      <c r="AB7" s="2378"/>
      <c r="AC7" s="2370"/>
      <c r="AD7" s="2370"/>
      <c r="AE7" s="2370"/>
      <c r="AF7" s="2453"/>
      <c r="AG7" s="2377"/>
      <c r="AH7" s="2378"/>
      <c r="AI7" s="2378"/>
      <c r="AJ7" s="2378"/>
      <c r="AK7" s="2378"/>
      <c r="AL7" s="2378"/>
      <c r="AM7" s="2378"/>
      <c r="AN7" s="2378"/>
      <c r="AO7" s="2378"/>
      <c r="AP7" s="2379"/>
      <c r="AQ7" s="1485" t="s">
        <v>409</v>
      </c>
      <c r="AS7" s="723"/>
      <c r="AT7" s="723" t="str">
        <f>IF(V7="","",V7)</f>
        <v>Группа потребителей</v>
      </c>
      <c r="AU7" s="723"/>
      <c r="AV7" s="723"/>
    </row>
    <row customHeight="1" ht="21" hidden="1">
      <c r="A8" s="1495"/>
      <c r="B8" s="1495"/>
      <c r="C8" s="1495"/>
      <c r="D8" s="1495"/>
      <c r="E8" s="2425"/>
      <c r="F8" s="2425"/>
      <c r="G8" s="2425"/>
      <c r="H8" s="2425"/>
      <c r="I8" s="2238"/>
      <c r="J8" s="2238"/>
      <c r="K8" s="2254">
        <f>J7&amp;".1"</f>
      </c>
      <c r="L8" s="363"/>
      <c r="M8" s="1538" t="s">
        <v>410</v>
      </c>
      <c r="N8" s="732"/>
      <c r="O8" s="550"/>
      <c r="P8" s="550"/>
      <c r="Q8" s="2393"/>
      <c r="R8" s="2393"/>
      <c r="S8" s="2393">
        <v>1</v>
      </c>
      <c r="T8" s="580"/>
      <c r="U8" s="1564">
        <f>$K8</f>
      </c>
      <c r="V8" s="1575"/>
      <c r="W8" s="523"/>
      <c r="X8" s="974"/>
      <c r="Y8" s="974"/>
      <c r="Z8" s="974"/>
      <c r="AA8" s="974"/>
      <c r="AB8" s="1633"/>
      <c r="AC8" s="2394"/>
      <c r="AD8" s="2264" t="s">
        <v>66</v>
      </c>
      <c r="AE8" s="2394"/>
      <c r="AF8" s="2264" t="s">
        <v>66</v>
      </c>
      <c r="AG8" s="1635"/>
      <c r="AH8" s="974"/>
      <c r="AI8" s="974"/>
      <c r="AJ8" s="974"/>
      <c r="AK8" s="1484"/>
      <c r="AL8" s="2394"/>
      <c r="AM8" s="2264" t="s">
        <v>66</v>
      </c>
      <c r="AN8" s="2394"/>
      <c r="AO8" s="2264" t="s">
        <v>66</v>
      </c>
      <c r="AP8" s="548"/>
      <c r="AQ8" s="1535" t="s">
        <v>450</v>
      </c>
      <c r="AR8" s="734">
        <f>STRCHECKDATE(X10:AP10)</f>
      </c>
      <c r="AS8" s="723"/>
      <c r="AT8" s="723" t="str">
        <f>IF(V8="","",V8)</f>
        <v/>
      </c>
      <c r="AU8" s="723"/>
      <c r="AV8" s="723"/>
    </row>
    <row customHeight="1" ht="21" hidden="1">
      <c r="A9" s="1495"/>
      <c r="B9" s="1495"/>
      <c r="C9" s="1495"/>
      <c r="D9" s="1495"/>
      <c r="E9" s="2425"/>
      <c r="F9" s="2425"/>
      <c r="G9" s="2425"/>
      <c r="H9" s="2425"/>
      <c r="I9" s="2238"/>
      <c r="J9" s="2238"/>
      <c r="K9" s="2238"/>
      <c r="L9" s="2254">
        <f>K8&amp;".1"</f>
      </c>
      <c r="M9" s="1538"/>
      <c r="N9" s="732"/>
      <c r="O9" s="550"/>
      <c r="P9" s="550"/>
      <c r="Q9" s="2393"/>
      <c r="R9" s="2393"/>
      <c r="S9" s="2393"/>
      <c r="T9" s="580"/>
      <c r="U9" s="1564">
        <f>$L9</f>
      </c>
      <c r="V9" s="1619"/>
      <c r="W9" s="523"/>
      <c r="X9" s="548"/>
      <c r="Y9" s="974"/>
      <c r="Z9" s="974"/>
      <c r="AA9" s="974"/>
      <c r="AB9" s="1633"/>
      <c r="AC9" s="2436"/>
      <c r="AD9" s="2264"/>
      <c r="AE9" s="2436"/>
      <c r="AF9" s="2264"/>
      <c r="AG9" s="1635"/>
      <c r="AH9" s="974"/>
      <c r="AI9" s="974"/>
      <c r="AJ9" s="974"/>
      <c r="AK9" s="1484"/>
      <c r="AL9" s="2436"/>
      <c r="AM9" s="2264"/>
      <c r="AN9" s="2436"/>
      <c r="AO9" s="2264"/>
      <c r="AP9" s="548"/>
      <c r="AQ9" s="2419" t="s">
        <v>451</v>
      </c>
      <c r="AS9" s="723"/>
      <c r="AT9" s="723"/>
      <c r="AU9" s="723"/>
      <c r="AV9" s="723"/>
    </row>
    <row customHeight="1" ht="14.25" hidden="1">
      <c r="A10" s="1495"/>
      <c r="B10" s="1495"/>
      <c r="C10" s="1495"/>
      <c r="D10" s="1495"/>
      <c r="E10" s="2425"/>
      <c r="F10" s="2425"/>
      <c r="G10" s="2425"/>
      <c r="H10" s="2425"/>
      <c r="I10" s="2238"/>
      <c r="J10" s="2238"/>
      <c r="K10" s="2238"/>
      <c r="L10" s="2254"/>
      <c r="M10" s="1538"/>
      <c r="N10" s="732"/>
      <c r="O10" s="550"/>
      <c r="P10" s="550"/>
      <c r="Q10" s="2393"/>
      <c r="R10" s="2393"/>
      <c r="S10" s="2393"/>
      <c r="T10" s="580"/>
      <c r="U10" s="1570"/>
      <c r="V10" s="523"/>
      <c r="W10" s="523"/>
      <c r="X10" s="548"/>
      <c r="Y10" s="548"/>
      <c r="Z10" s="548"/>
      <c r="AA10" s="548"/>
      <c r="AB10" s="1634" t="str">
        <f>AC8&amp;"-"&amp;AE8</f>
        <v>-</v>
      </c>
      <c r="AC10" s="2436"/>
      <c r="AD10" s="2264"/>
      <c r="AE10" s="2436"/>
      <c r="AF10" s="2264"/>
      <c r="AG10" s="1610"/>
      <c r="AH10" s="548"/>
      <c r="AI10" s="548"/>
      <c r="AJ10" s="548"/>
      <c r="AK10" s="551" t="str">
        <f>AL8&amp;"-"&amp;AN8</f>
        <v>-</v>
      </c>
      <c r="AL10" s="2436"/>
      <c r="AM10" s="2264"/>
      <c r="AN10" s="2436"/>
      <c r="AO10" s="2264"/>
      <c r="AP10" s="548"/>
      <c r="AQ10" s="2420"/>
      <c r="AS10" s="723"/>
      <c r="AT10" s="723" t="str">
        <f>IF(V10="","",V10)</f>
        <v/>
      </c>
      <c r="AU10" s="723"/>
      <c r="AV10" s="723"/>
    </row>
    <row customHeight="1" ht="11.25" hidden="1">
      <c r="A11" s="1495"/>
      <c r="B11" s="1495"/>
      <c r="C11" s="1495"/>
      <c r="D11" s="1495"/>
      <c r="E11" s="2425"/>
      <c r="F11" s="2425"/>
      <c r="G11" s="2425"/>
      <c r="H11" s="2425"/>
      <c r="I11" s="2238"/>
      <c r="J11" s="2238"/>
      <c r="K11" s="2254"/>
      <c r="L11" s="1495"/>
      <c r="M11" s="1538"/>
      <c r="N11" s="732"/>
      <c r="O11" s="550"/>
      <c r="P11" s="550"/>
      <c r="Q11" s="2393"/>
      <c r="R11" s="2393"/>
      <c r="S11" s="2393"/>
      <c r="T11" s="580"/>
      <c r="U11" s="1506"/>
      <c r="V11" s="511" t="s">
        <v>452</v>
      </c>
      <c r="W11" s="1620"/>
      <c r="X11" s="1621"/>
      <c r="Y11" s="1621"/>
      <c r="Z11" s="1621"/>
      <c r="AA11" s="1621"/>
      <c r="AB11" s="1622"/>
      <c r="AC11" s="2436"/>
      <c r="AD11" s="2264"/>
      <c r="AE11" s="2436"/>
      <c r="AF11" s="2264"/>
      <c r="AG11" s="1621"/>
      <c r="AH11" s="1621"/>
      <c r="AI11" s="1621"/>
      <c r="AJ11" s="1621"/>
      <c r="AK11" s="1622"/>
      <c r="AL11" s="2436"/>
      <c r="AM11" s="2264"/>
      <c r="AN11" s="2436"/>
      <c r="AO11" s="2264"/>
      <c r="AP11" s="1623"/>
      <c r="AQ11" s="2420"/>
      <c r="AS11" s="723"/>
      <c r="AT11" s="723"/>
      <c r="AU11" s="723"/>
      <c r="AV11" s="723"/>
    </row>
    <row customHeight="1" ht="15" hidden="1">
      <c r="A12" s="1495"/>
      <c r="B12" s="1495"/>
      <c r="C12" s="1495"/>
      <c r="D12" s="1495"/>
      <c r="E12" s="2425"/>
      <c r="F12" s="2425"/>
      <c r="G12" s="2425"/>
      <c r="H12" s="2425"/>
      <c r="I12" s="2238"/>
      <c r="J12" s="2254"/>
      <c r="K12" s="1495"/>
      <c r="L12" s="1495"/>
      <c r="M12" s="1538"/>
      <c r="N12" s="732"/>
      <c r="O12" s="550"/>
      <c r="Q12" s="2393"/>
      <c r="R12" s="2393"/>
      <c r="S12" s="1559"/>
      <c r="T12" s="579"/>
      <c r="U12" s="1506"/>
      <c r="V12" s="510" t="s">
        <v>412</v>
      </c>
      <c r="W12" s="590"/>
      <c r="X12" s="590"/>
      <c r="Y12" s="590"/>
      <c r="Z12" s="590"/>
      <c r="AA12" s="590"/>
      <c r="AB12" s="590"/>
      <c r="AC12" s="1636"/>
      <c r="AD12" s="1636"/>
      <c r="AE12" s="1636"/>
      <c r="AF12" s="1636"/>
      <c r="AG12" s="590"/>
      <c r="AH12" s="590"/>
      <c r="AI12" s="590"/>
      <c r="AJ12" s="590"/>
      <c r="AK12" s="590"/>
      <c r="AL12" s="590"/>
      <c r="AM12" s="590"/>
      <c r="AN12" s="590"/>
      <c r="AO12" s="590"/>
      <c r="AP12" s="547"/>
      <c r="AQ12" s="2421"/>
      <c r="AS12" s="723"/>
      <c r="AT12" s="723" t="str">
        <f>IF(V12="","",V12)</f>
        <v>Добавить вид теплоносителя (параметры теплоносителя)</v>
      </c>
      <c r="AU12" s="723"/>
      <c r="AV12" s="723"/>
    </row>
    <row customHeight="1" ht="11.25" hidden="1">
      <c r="A13" s="1495"/>
      <c r="B13" s="1495"/>
      <c r="C13" s="1495"/>
      <c r="D13" s="1495"/>
      <c r="E13" s="2425"/>
      <c r="F13" s="2425"/>
      <c r="G13" s="2425"/>
      <c r="H13" s="2425"/>
      <c r="I13" s="2254"/>
      <c r="J13" s="1495"/>
      <c r="K13" s="1495"/>
      <c r="L13" s="1495"/>
      <c r="M13" s="1538"/>
      <c r="N13" s="732"/>
      <c r="Q13" s="2393"/>
      <c r="R13" s="1559"/>
      <c r="S13" s="1559"/>
      <c r="T13" s="579"/>
      <c r="U13" s="1506"/>
      <c r="V13" s="588" t="s">
        <v>413</v>
      </c>
      <c r="W13" s="590"/>
      <c r="X13" s="590"/>
      <c r="Y13" s="590"/>
      <c r="Z13" s="590"/>
      <c r="AA13" s="590"/>
      <c r="AB13" s="590"/>
      <c r="AC13" s="590"/>
      <c r="AD13" s="590"/>
      <c r="AE13" s="590"/>
      <c r="AF13" s="589"/>
      <c r="AG13" s="590"/>
      <c r="AH13" s="590"/>
      <c r="AI13" s="590"/>
      <c r="AJ13" s="590"/>
      <c r="AK13" s="590"/>
      <c r="AL13" s="590"/>
      <c r="AM13" s="590"/>
      <c r="AN13" s="590"/>
      <c r="AO13" s="589"/>
      <c r="AP13" s="590"/>
      <c r="AQ13" s="526"/>
      <c r="AS13" s="723"/>
      <c r="AT13" s="723" t="str">
        <f>IF(V13="","",V13)</f>
        <v>Добавить группу потребителей</v>
      </c>
      <c r="AU13" s="723"/>
      <c r="AV13" s="723"/>
    </row>
    <row customHeight="1" ht="14.25" hidden="1">
      <c r="A14" s="1495"/>
      <c r="B14" s="1495"/>
      <c r="C14" s="1495"/>
      <c r="D14" s="1495"/>
      <c r="E14" s="2425"/>
      <c r="F14" s="2425"/>
      <c r="G14" s="2425"/>
      <c r="H14" s="2424"/>
      <c r="I14" s="1495"/>
      <c r="J14" s="1495"/>
      <c r="K14" s="1495"/>
      <c r="L14" s="1495"/>
      <c r="M14" s="1538"/>
      <c r="N14" s="911"/>
      <c r="O14" s="911"/>
      <c r="P14" s="732"/>
      <c r="Q14" s="583"/>
      <c r="R14" s="598"/>
      <c r="S14" s="578"/>
      <c r="T14" s="583"/>
      <c r="U14" s="1614"/>
      <c r="V14" s="1615"/>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7"/>
      <c r="AS14" s="723"/>
      <c r="AT14" s="723" t="str">
        <f>IF(V14="","",V14)</f>
        <v/>
      </c>
      <c r="AU14" s="723"/>
      <c r="AV14" s="723"/>
    </row>
    <row s="13514" customFormat="1" customHeight="1" ht="14.25" hidden="1">
      <c r="A15" s="1602"/>
      <c r="B15" s="1602"/>
      <c r="C15" s="1602"/>
      <c r="D15" s="1602"/>
      <c r="E15" s="2425"/>
      <c r="F15" s="2425"/>
      <c r="G15" s="2424"/>
      <c r="H15" s="1602"/>
      <c r="I15" s="1602"/>
      <c r="J15" s="1602"/>
      <c r="K15" s="1602"/>
      <c r="L15" s="1602"/>
      <c r="M15" s="1605"/>
      <c r="N15" s="1606"/>
      <c r="O15" s="1606"/>
      <c r="P15" s="574"/>
      <c r="Q15" s="1544"/>
      <c r="R15" s="1545"/>
      <c r="S15" s="1544"/>
      <c r="T15" s="1544"/>
      <c r="U15" s="1546"/>
      <c r="V15" s="1547" t="s">
        <v>415</v>
      </c>
      <c r="W15" s="1548"/>
      <c r="X15" s="1548"/>
      <c r="Y15" s="1548"/>
      <c r="Z15" s="1548"/>
      <c r="AA15" s="1548"/>
      <c r="AB15" s="1548"/>
      <c r="AC15" s="1548"/>
      <c r="AD15" s="1548"/>
      <c r="AE15" s="1548"/>
      <c r="AF15" s="1548"/>
      <c r="AG15" s="1548"/>
      <c r="AH15" s="1548"/>
      <c r="AI15" s="1548"/>
      <c r="AJ15" s="1548"/>
      <c r="AK15" s="1548"/>
      <c r="AL15" s="1548"/>
      <c r="AM15" s="1548"/>
      <c r="AN15" s="1548"/>
      <c r="AO15" s="1548"/>
      <c r="AP15" s="1548"/>
      <c r="AQ15" s="1548"/>
      <c r="AS15" s="1012"/>
      <c r="AT15" s="1012" t="str">
        <f>IF(V15="","",V15)</f>
        <v>Добавить источник для дифференциации</v>
      </c>
      <c r="AU15" s="1012"/>
      <c r="AV15" s="1012"/>
    </row>
    <row s="13514" customFormat="1" customHeight="1" ht="14.25" hidden="1">
      <c r="A16" s="1602"/>
      <c r="B16" s="1602"/>
      <c r="C16" s="1602"/>
      <c r="D16" s="1602"/>
      <c r="E16" s="2425"/>
      <c r="F16" s="2424"/>
      <c r="G16" s="1602"/>
      <c r="H16" s="1602"/>
      <c r="I16" s="1602"/>
      <c r="J16" s="1602"/>
      <c r="K16" s="1602"/>
      <c r="L16" s="1602"/>
      <c r="M16" s="1605"/>
      <c r="N16" s="1607"/>
      <c r="O16" s="1607"/>
      <c r="P16" s="574"/>
      <c r="Q16" s="1544"/>
      <c r="R16" s="1545"/>
      <c r="S16" s="1544"/>
      <c r="T16" s="1544"/>
      <c r="U16" s="1550"/>
      <c r="V16" s="1551" t="s">
        <v>252</v>
      </c>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S16" s="1012"/>
      <c r="AT16" s="1012" t="str">
        <f>IF(V16="","",V16)</f>
        <v>Добавить централизованную систему для дифференциации</v>
      </c>
      <c r="AU16" s="1012"/>
      <c r="AV16" s="1012"/>
    </row>
    <row s="13514" customFormat="1" customHeight="1" ht="14.25" hidden="1">
      <c r="A17" s="1602"/>
      <c r="B17" s="1602"/>
      <c r="C17" s="1602"/>
      <c r="D17" s="1602"/>
      <c r="E17" s="2424"/>
      <c r="F17" s="1602"/>
      <c r="G17" s="1602"/>
      <c r="H17" s="1602"/>
      <c r="I17" s="1602"/>
      <c r="J17" s="1602"/>
      <c r="K17" s="1602"/>
      <c r="L17" s="1602"/>
      <c r="M17" s="1605"/>
      <c r="N17" s="1607"/>
      <c r="O17" s="1607"/>
      <c r="P17" s="574"/>
      <c r="Q17" s="1544"/>
      <c r="R17" s="1545"/>
      <c r="S17" s="1544"/>
      <c r="T17" s="1544"/>
      <c r="U17" s="1550"/>
      <c r="V17" s="1553" t="s">
        <v>253</v>
      </c>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S17" s="1012"/>
      <c r="AT17" s="1012" t="str">
        <f>IF(V17="","",V17)</f>
        <v>Добавить территорию для дифференциации</v>
      </c>
      <c r="AU17" s="1012"/>
      <c r="AV17" s="1012"/>
    </row>
    <row customHeight="1" ht="14.25" hidden="1">
      <c r="AF18" s="550"/>
      <c r="AO18" s="550"/>
    </row>
    <row customHeight="1" ht="14.25" hidden="1">
      <c r="AG19" s="1588"/>
      <c r="AH19" s="1588"/>
      <c r="AI19" s="1588"/>
      <c r="AJ19" s="1588"/>
      <c r="AK19" s="1589"/>
      <c r="AL19" s="2387"/>
      <c r="AM19" s="2386" t="s">
        <v>66</v>
      </c>
      <c r="AN19" s="2387"/>
      <c r="AO19" s="2386" t="s">
        <v>66</v>
      </c>
    </row>
    <row customHeight="1" ht="14.25" hidden="1">
      <c r="AG20" s="1588"/>
      <c r="AH20" s="1588"/>
      <c r="AI20" s="1588"/>
      <c r="AJ20" s="1588"/>
      <c r="AK20" s="1589"/>
      <c r="AL20" s="2387"/>
      <c r="AM20" s="2386"/>
      <c r="AN20" s="2387"/>
      <c r="AO20" s="2386"/>
    </row>
    <row customHeight="1" ht="14.25" hidden="1">
      <c r="AG21" s="1588"/>
      <c r="AH21" s="1588"/>
      <c r="AI21" s="1588"/>
      <c r="AJ21" s="1588"/>
      <c r="AK21" s="1589"/>
      <c r="AL21" s="2387"/>
      <c r="AM21" s="2386"/>
      <c r="AN21" s="2387"/>
      <c r="AO21" s="2386"/>
    </row>
    <row customHeight="1" ht="14.25" hidden="1">
      <c r="AG22" s="1588"/>
      <c r="AH22" s="1588"/>
      <c r="AI22" s="1588"/>
      <c r="AJ22" s="1588"/>
      <c r="AK22" s="551" t="str">
        <f>AL19&amp;"-"&amp;AN19</f>
        <v>-</v>
      </c>
      <c r="AL22" s="2386"/>
      <c r="AM22" s="2386"/>
      <c r="AN22" s="2386"/>
      <c r="AO22" s="2386"/>
    </row>
    <row customHeight="1" ht="14.25" hidden="1">
      <c r="AO23" s="550"/>
    </row>
    <row s="13533" customFormat="1" customHeight="1" ht="22.5" hidden="1">
      <c r="A24" s="1380"/>
      <c r="B24" s="1380"/>
      <c r="C24" s="1380"/>
      <c r="D24" s="1380"/>
      <c r="E24" s="1380"/>
      <c r="F24" s="1380"/>
      <c r="G24" s="1380"/>
      <c r="H24" s="1380"/>
      <c r="I24" s="1380"/>
      <c r="J24" s="1380"/>
      <c r="K24" s="1380"/>
      <c r="L24" s="1380"/>
      <c r="M24" s="1555"/>
      <c r="N24" s="1556"/>
      <c r="O24" s="1556"/>
      <c r="P24" s="1573" t="s">
        <v>416</v>
      </c>
      <c r="Q24" s="1590"/>
      <c r="R24" s="1599"/>
      <c r="S24" s="1599"/>
      <c r="T24" s="1599"/>
      <c r="U24" s="952"/>
      <c r="AC24" s="1595"/>
      <c r="AE24" s="1595"/>
      <c r="AF24" s="1594"/>
      <c r="AL24" s="1595"/>
      <c r="AN24" s="1595"/>
      <c r="AO24" s="1594"/>
      <c r="AR24" s="734"/>
      <c r="AS24" s="734"/>
      <c r="AT24" s="734"/>
      <c r="AU24" s="734"/>
      <c r="AV24" s="734"/>
    </row>
    <row s="13533" customFormat="1" customHeight="1" ht="14.25" hidden="1">
      <c r="A25" s="1380"/>
      <c r="B25" s="1380"/>
      <c r="C25" s="1380"/>
      <c r="D25" s="1380"/>
      <c r="E25" s="1380"/>
      <c r="F25" s="1380"/>
      <c r="G25" s="1380"/>
      <c r="H25" s="1380"/>
      <c r="I25" s="1380"/>
      <c r="J25" s="1380"/>
      <c r="K25" s="1380"/>
      <c r="L25" s="1380"/>
      <c r="M25" s="1555"/>
      <c r="N25" s="1556"/>
      <c r="O25" s="1556"/>
      <c r="P25" s="1556"/>
      <c r="Q25" s="1590"/>
      <c r="R25" s="1599"/>
      <c r="S25" s="1599"/>
      <c r="T25" s="1599"/>
      <c r="U25" s="952"/>
      <c r="AF25" s="1594"/>
      <c r="AO25" s="1594"/>
      <c r="AR25" s="734"/>
      <c r="AS25" s="734"/>
      <c r="AT25" s="734"/>
      <c r="AU25" s="734"/>
      <c r="AV25" s="734"/>
    </row>
    <row s="13533" customFormat="1" customHeight="1" ht="14.25" hidden="1">
      <c r="A26" s="1380"/>
      <c r="B26" s="1380"/>
      <c r="C26" s="1380"/>
      <c r="D26" s="1380"/>
      <c r="E26" s="1380"/>
      <c r="F26" s="1380"/>
      <c r="G26" s="1380"/>
      <c r="H26" s="1380"/>
      <c r="I26" s="1380"/>
      <c r="J26" s="1380"/>
      <c r="K26" s="1380"/>
      <c r="L26" s="1380"/>
      <c r="M26" s="1555"/>
      <c r="N26" s="1556"/>
      <c r="O26" s="1556"/>
      <c r="P26" s="1538" t="s">
        <v>417</v>
      </c>
      <c r="Q26" s="1590"/>
      <c r="R26" s="1599"/>
      <c r="S26" s="1599"/>
      <c r="T26" s="1599"/>
      <c r="U26" s="952"/>
      <c r="V26" s="1385" t="s">
        <v>418</v>
      </c>
      <c r="AD26" s="409" t="s">
        <v>419</v>
      </c>
      <c r="AF26" s="409" t="s">
        <v>420</v>
      </c>
      <c r="AG26" s="1385" t="s">
        <v>418</v>
      </c>
      <c r="AM26" s="409" t="s">
        <v>421</v>
      </c>
      <c r="AO26" s="409" t="s">
        <v>420</v>
      </c>
      <c r="AR26" s="734"/>
      <c r="AS26" s="734"/>
      <c r="AT26" s="734"/>
      <c r="AU26" s="734"/>
      <c r="AV26" s="734"/>
    </row>
    <row customHeight="1" ht="14.25" hidden="1">
      <c r="P27" s="1538"/>
    </row>
    <row customHeight="1" ht="14.25" hidden="1">
      <c r="P28" s="1538"/>
    </row>
    <row customHeight="1" ht="14.25">
      <c r="R29" s="599"/>
      <c r="S29" s="599"/>
      <c r="T29" s="599"/>
      <c r="U29" s="1503"/>
      <c r="V29" s="586"/>
      <c r="W29" s="586"/>
      <c r="X29" s="732"/>
      <c r="Y29" s="732"/>
      <c r="Z29" s="732"/>
      <c r="AA29" s="732"/>
      <c r="AB29" s="732"/>
      <c r="AC29" s="732"/>
      <c r="AD29" s="732"/>
      <c r="AE29" s="732"/>
      <c r="AF29" s="732"/>
      <c r="AG29" s="732"/>
      <c r="AH29" s="732"/>
      <c r="AI29" s="732"/>
      <c r="AJ29" s="732"/>
      <c r="AK29" s="732"/>
      <c r="AL29" s="732"/>
      <c r="AM29" s="732"/>
      <c r="AN29" s="732"/>
      <c r="AO29" s="732"/>
    </row>
    <row customHeight="1" ht="54">
      <c r="R30" s="599"/>
      <c r="S30" s="599"/>
      <c r="T30" s="599"/>
      <c r="U30" s="24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2"/>
      <c r="W30" s="2422"/>
      <c r="X30" s="2422"/>
      <c r="Y30" s="2422"/>
      <c r="Z30" s="2422"/>
      <c r="AA30" s="2422"/>
      <c r="AB30" s="2422"/>
      <c r="AC30" s="2422"/>
      <c r="AD30" s="2422"/>
      <c r="AE30" s="2422"/>
      <c r="AF30" s="2422"/>
      <c r="AG30" s="2422"/>
      <c r="AH30" s="2422"/>
      <c r="AI30" s="2422"/>
      <c r="AJ30" s="2422"/>
      <c r="AK30" s="2422"/>
      <c r="AL30" s="2422"/>
      <c r="AM30" s="2422"/>
      <c r="AN30" s="2422"/>
      <c r="AO30" s="1470"/>
    </row>
    <row customHeight="1" ht="14.25">
      <c r="R31" s="599"/>
      <c r="S31" s="599"/>
      <c r="T31" s="599"/>
      <c r="U31" s="2423" t="str">
        <f>IF(org=0,"Не определено",org)</f>
        <v>ООО "Новая Энергетика"</v>
      </c>
      <c r="V31" s="2423"/>
      <c r="W31" s="2423"/>
      <c r="X31" s="2423"/>
      <c r="Y31" s="2423"/>
      <c r="Z31" s="2423"/>
      <c r="AA31" s="2423"/>
      <c r="AB31" s="2423"/>
      <c r="AC31" s="2423"/>
      <c r="AD31" s="2423"/>
      <c r="AE31" s="2423"/>
      <c r="AF31" s="2423"/>
      <c r="AG31" s="2423"/>
      <c r="AH31" s="2423"/>
      <c r="AI31" s="2423"/>
      <c r="AJ31" s="2423"/>
      <c r="AK31" s="2423"/>
      <c r="AL31" s="2423"/>
      <c r="AM31" s="2423"/>
      <c r="AN31" s="2423"/>
      <c r="AO31" s="1470"/>
    </row>
    <row customHeight="1" ht="14.25">
      <c r="R32" s="599"/>
      <c r="S32" s="599"/>
      <c r="T32" s="599"/>
      <c r="U32" s="1503"/>
      <c r="V32" s="586"/>
      <c r="W32" s="586"/>
      <c r="X32" s="545"/>
      <c r="Y32" s="545"/>
      <c r="Z32" s="545"/>
      <c r="AA32" s="545"/>
      <c r="AB32" s="545"/>
      <c r="AC32" s="545"/>
      <c r="AD32" s="545"/>
      <c r="AE32" s="545"/>
      <c r="AF32" s="545"/>
      <c r="AG32" s="545"/>
      <c r="AH32" s="545"/>
      <c r="AI32" s="545"/>
      <c r="AJ32" s="545"/>
      <c r="AK32" s="545"/>
      <c r="AL32" s="545"/>
      <c r="AM32" s="545"/>
      <c r="AN32" s="545"/>
      <c r="AO32" s="545"/>
      <c r="AP32" s="732"/>
    </row>
    <row s="13547" customFormat="1" customHeight="1" ht="25.5">
      <c r="A33" s="1475"/>
      <c r="B33" s="1475"/>
      <c r="C33" s="1475"/>
      <c r="D33" s="1475"/>
      <c r="E33" s="1475"/>
      <c r="F33" s="1475"/>
      <c r="G33" s="1475"/>
      <c r="H33" s="1475"/>
      <c r="I33" s="1475"/>
      <c r="J33" s="1475"/>
      <c r="K33" s="1475"/>
      <c r="L33" s="1475"/>
      <c r="M33" s="1608"/>
      <c r="N33" s="1475"/>
      <c r="O33" s="1475"/>
      <c r="P33" s="1475"/>
      <c r="U33" s="2380" t="s">
        <v>38</v>
      </c>
      <c r="V33" s="2380"/>
      <c r="W33" s="1600"/>
      <c r="X33" s="2382" t="str">
        <f>IF(TITLE_NAME_OR_PR_CHANGE="",IF(TITLE_NAME_OR_PR="","",TITLE_NAME_OR_PR),TITLE_NAME_OR_PR_CHANGE)</f>
        <v>Агенство по тарифам Приморского края</v>
      </c>
      <c r="Y33" s="2382"/>
      <c r="Z33" s="2382"/>
      <c r="AA33" s="2382"/>
      <c r="AB33" s="2382"/>
      <c r="AC33" s="2382"/>
      <c r="AD33" s="2382"/>
      <c r="AE33" s="2382"/>
      <c r="AF33" s="549"/>
      <c r="AG33" s="2382" t="str">
        <f>IF(TITLE_NAME_OR_PR_CHANGE="",IF(TITLE_NAME_OR_PR="","",TITLE_NAME_OR_PR),TITLE_NAME_OR_PR_CHANGE)</f>
        <v>Агенство по тарифам Приморского края</v>
      </c>
      <c r="AH33" s="2382"/>
      <c r="AI33" s="2382"/>
      <c r="AJ33" s="2382"/>
      <c r="AK33" s="2382"/>
      <c r="AL33" s="2382"/>
      <c r="AM33" s="2382"/>
      <c r="AN33" s="2382"/>
      <c r="AO33" s="549"/>
      <c r="AP33" s="549"/>
      <c r="AQ33" s="503"/>
      <c r="AR33" s="591"/>
      <c r="AS33" s="591"/>
      <c r="AT33" s="591"/>
      <c r="AU33" s="591"/>
      <c r="AV33" s="591"/>
    </row>
    <row s="13547" customFormat="1" customHeight="1" ht="18.75">
      <c r="A34" s="1475"/>
      <c r="B34" s="1475"/>
      <c r="C34" s="1475"/>
      <c r="D34" s="1475"/>
      <c r="E34" s="1475"/>
      <c r="F34" s="1475"/>
      <c r="G34" s="1475"/>
      <c r="H34" s="1475"/>
      <c r="I34" s="1475"/>
      <c r="J34" s="1475"/>
      <c r="K34" s="1475"/>
      <c r="L34" s="1475"/>
      <c r="M34" s="1608"/>
      <c r="N34" s="1475"/>
      <c r="O34" s="1475"/>
      <c r="P34" s="1475"/>
      <c r="U34" s="2380" t="s">
        <v>422</v>
      </c>
      <c r="V34" s="2380"/>
      <c r="W34" s="1600"/>
      <c r="X34" s="2381" t="str">
        <f>IF(TITLE_DATE_PR_CHANGE="",IF(TITLE_DATE_PR="","",TITLE_DATE_PR),TITLE_DATE_PR_CHANGE)</f>
        <v>45281.66994212963</v>
      </c>
      <c r="Y34" s="2381"/>
      <c r="Z34" s="2381"/>
      <c r="AA34" s="2381"/>
      <c r="AB34" s="2381"/>
      <c r="AC34" s="2381"/>
      <c r="AD34" s="2381"/>
      <c r="AE34" s="2381"/>
      <c r="AF34" s="549"/>
      <c r="AG34" s="2381" t="str">
        <f>IF(TITLE_DATE_PR_CHANGE="",IF(TITLE_DATE_PR="","",TITLE_DATE_PR),TITLE_DATE_PR_CHANGE)</f>
        <v>45281.66994212963</v>
      </c>
      <c r="AH34" s="2381"/>
      <c r="AI34" s="2381"/>
      <c r="AJ34" s="2381"/>
      <c r="AK34" s="2381"/>
      <c r="AL34" s="2381"/>
      <c r="AM34" s="2381"/>
      <c r="AN34" s="2381"/>
      <c r="AO34" s="549"/>
      <c r="AP34" s="549"/>
      <c r="AQ34" s="503"/>
      <c r="AR34" s="591"/>
      <c r="AS34" s="591"/>
      <c r="AT34" s="591"/>
      <c r="AU34" s="591"/>
      <c r="AV34" s="591"/>
    </row>
    <row s="13547" customFormat="1" customHeight="1" ht="18.75">
      <c r="A35" s="1475"/>
      <c r="B35" s="1475"/>
      <c r="C35" s="1475"/>
      <c r="D35" s="1475"/>
      <c r="E35" s="1475"/>
      <c r="F35" s="1475"/>
      <c r="G35" s="1475"/>
      <c r="H35" s="1475"/>
      <c r="I35" s="1475"/>
      <c r="J35" s="1475"/>
      <c r="K35" s="1475"/>
      <c r="L35" s="1475"/>
      <c r="M35" s="1608"/>
      <c r="N35" s="1475"/>
      <c r="O35" s="1475"/>
      <c r="P35" s="1475"/>
      <c r="U35" s="2380" t="s">
        <v>423</v>
      </c>
      <c r="V35" s="2380"/>
      <c r="W35" s="1600"/>
      <c r="X35" s="2382" t="str">
        <f>IF(TITLE_NUMBER_PR_CHANGE="",IF(TITLE_NUMBER_PR="","",TITLE_NUMBER_PR),TITLE_NUMBER_PR_CHANGE)</f>
        <v>72/1</v>
      </c>
      <c r="Y35" s="2382"/>
      <c r="Z35" s="2382"/>
      <c r="AA35" s="2382"/>
      <c r="AB35" s="2382"/>
      <c r="AC35" s="2382"/>
      <c r="AD35" s="2382"/>
      <c r="AE35" s="2382"/>
      <c r="AF35" s="549"/>
      <c r="AG35" s="2382" t="str">
        <f>IF(TITLE_NUMBER_PR_CHANGE="",IF(TITLE_NUMBER_PR="","",TITLE_NUMBER_PR),TITLE_NUMBER_PR_CHANGE)</f>
        <v>72/1</v>
      </c>
      <c r="AH35" s="2382"/>
      <c r="AI35" s="2382"/>
      <c r="AJ35" s="2382"/>
      <c r="AK35" s="2382"/>
      <c r="AL35" s="2382"/>
      <c r="AM35" s="2382"/>
      <c r="AN35" s="2382"/>
      <c r="AO35" s="549"/>
      <c r="AP35" s="549"/>
      <c r="AQ35" s="503"/>
      <c r="AR35" s="591"/>
      <c r="AS35" s="591"/>
      <c r="AT35" s="591"/>
      <c r="AU35" s="591"/>
      <c r="AV35" s="591"/>
    </row>
    <row s="13547" customFormat="1" customHeight="1" ht="18.75">
      <c r="A36" s="1475"/>
      <c r="B36" s="1475"/>
      <c r="C36" s="1475"/>
      <c r="D36" s="1475"/>
      <c r="E36" s="1475"/>
      <c r="F36" s="1475"/>
      <c r="G36" s="1475"/>
      <c r="H36" s="1475"/>
      <c r="I36" s="1475"/>
      <c r="J36" s="1475"/>
      <c r="K36" s="1475"/>
      <c r="L36" s="1475"/>
      <c r="M36" s="1608"/>
      <c r="N36" s="1475"/>
      <c r="O36" s="1475"/>
      <c r="P36" s="1475"/>
      <c r="U36" s="2380" t="s">
        <v>40</v>
      </c>
      <c r="V36" s="2380"/>
      <c r="W36" s="1600"/>
      <c r="X36" s="2382" t="str">
        <f>IF(TITLE_IST_PUB_CHANGE="",IF(TITLE_IST_PUB="","",TITLE_IST_PUB),TITLE_IST_PUB_CHANGE)</f>
        <v>http://pravo.gov.ru Номер опубликования: 2501202312270032 Дата опубликования: 27.12.2023</v>
      </c>
      <c r="Y36" s="2382"/>
      <c r="Z36" s="2382"/>
      <c r="AA36" s="2382"/>
      <c r="AB36" s="2382"/>
      <c r="AC36" s="2382"/>
      <c r="AD36" s="2382"/>
      <c r="AE36" s="2382"/>
      <c r="AF36" s="549"/>
      <c r="AG36" s="2382" t="str">
        <f>IF(TITLE_IST_PUB_CHANGE="",IF(TITLE_IST_PUB="","",TITLE_IST_PUB),TITLE_IST_PUB_CHANGE)</f>
        <v>http://pravo.gov.ru Номер опубликования: 2501202312270032 Дата опубликования: 27.12.2023</v>
      </c>
      <c r="AH36" s="2382"/>
      <c r="AI36" s="2382"/>
      <c r="AJ36" s="2382"/>
      <c r="AK36" s="2382"/>
      <c r="AL36" s="2382"/>
      <c r="AM36" s="2382"/>
      <c r="AN36" s="2382"/>
      <c r="AO36" s="549"/>
      <c r="AP36" s="549"/>
      <c r="AQ36" s="503"/>
      <c r="AR36" s="591"/>
      <c r="AS36" s="591"/>
      <c r="AT36" s="591"/>
      <c r="AU36" s="591"/>
      <c r="AV36" s="591"/>
    </row>
    <row customHeight="1" ht="14.25" hidden="1">
      <c r="R37" s="599"/>
      <c r="S37" s="599"/>
      <c r="T37" s="599"/>
      <c r="U37" s="1503"/>
      <c r="V37" s="586"/>
      <c r="W37" s="586"/>
      <c r="X37" s="545"/>
      <c r="Y37" s="545"/>
      <c r="Z37" s="545"/>
      <c r="AA37" s="545"/>
      <c r="AB37" s="545"/>
      <c r="AC37" s="545"/>
      <c r="AD37" s="545"/>
      <c r="AE37" s="545"/>
      <c r="AF37" s="545"/>
      <c r="AG37" s="545"/>
      <c r="AH37" s="545"/>
      <c r="AI37" s="545"/>
      <c r="AJ37" s="545"/>
      <c r="AK37" s="545"/>
      <c r="AL37" s="545"/>
      <c r="AM37" s="545"/>
      <c r="AN37" s="545"/>
      <c r="AO37" s="545"/>
      <c r="AP37" s="732"/>
    </row>
    <row s="13547" customFormat="1" customHeight="1" ht="18.75" hidden="1">
      <c r="A38" s="1475"/>
      <c r="B38" s="1475"/>
      <c r="C38" s="1475"/>
      <c r="D38" s="1475"/>
      <c r="E38" s="1475"/>
      <c r="F38" s="1475"/>
      <c r="G38" s="1475"/>
      <c r="H38" s="1475"/>
      <c r="I38" s="1475"/>
      <c r="J38" s="1475"/>
      <c r="K38" s="1475"/>
      <c r="L38" s="1475"/>
      <c r="M38" s="1608"/>
      <c r="N38" s="1475"/>
      <c r="O38" s="1475"/>
      <c r="P38" s="1475"/>
      <c r="U38" s="2380" t="s">
        <v>424</v>
      </c>
      <c r="V38" s="2380"/>
      <c r="W38" s="1600"/>
      <c r="X38" s="2381" t="str">
        <f>IF(TITLE_DATE_PR_CHANGE="",IF(TITLE_DATE_PR="","",TITLE_DATE_PR),TITLE_DATE_PR_CHANGE)</f>
        <v>45281.66994212963</v>
      </c>
      <c r="Y38" s="2381"/>
      <c r="Z38" s="2381"/>
      <c r="AA38" s="2381"/>
      <c r="AB38" s="2381"/>
      <c r="AC38" s="2381"/>
      <c r="AD38" s="2381"/>
      <c r="AE38" s="2381"/>
      <c r="AF38" s="549"/>
      <c r="AG38" s="2381" t="str">
        <f>IF(TITLE_DATE_PR_CHANGE="",IF(TITLE_DATE_PR="","",TITLE_DATE_PR),TITLE_DATE_PR_CHANGE)</f>
        <v>45281.66994212963</v>
      </c>
      <c r="AH38" s="2381"/>
      <c r="AI38" s="2381"/>
      <c r="AJ38" s="2381"/>
      <c r="AK38" s="2381"/>
      <c r="AL38" s="2381"/>
      <c r="AM38" s="2381"/>
      <c r="AN38" s="2381"/>
      <c r="AO38" s="549"/>
      <c r="AP38" s="549"/>
      <c r="AQ38" s="503"/>
      <c r="AR38" s="591"/>
      <c r="AS38" s="591"/>
      <c r="AT38" s="591"/>
      <c r="AU38" s="591"/>
      <c r="AV38" s="591"/>
    </row>
    <row s="13547" customFormat="1" customHeight="1" ht="18.75" hidden="1">
      <c r="A39" s="1475"/>
      <c r="B39" s="1475"/>
      <c r="C39" s="1475"/>
      <c r="D39" s="1475"/>
      <c r="E39" s="1475"/>
      <c r="F39" s="1475"/>
      <c r="G39" s="1475"/>
      <c r="H39" s="1475"/>
      <c r="I39" s="1475"/>
      <c r="J39" s="1475"/>
      <c r="K39" s="1475"/>
      <c r="L39" s="1475"/>
      <c r="M39" s="1608"/>
      <c r="N39" s="1475"/>
      <c r="O39" s="1475"/>
      <c r="P39" s="1475"/>
      <c r="U39" s="2380" t="s">
        <v>425</v>
      </c>
      <c r="V39" s="2380"/>
      <c r="W39" s="1600"/>
      <c r="X39" s="2382" t="str">
        <f>IF(TITLE_NUMBER_PR_CHANGE="",IF(TITLE_NUMBER_PR="","",TITLE_NUMBER_PR),TITLE_NUMBER_PR_CHANGE)</f>
        <v>72/1</v>
      </c>
      <c r="Y39" s="2382"/>
      <c r="Z39" s="2382"/>
      <c r="AA39" s="2382"/>
      <c r="AB39" s="2382"/>
      <c r="AC39" s="2382"/>
      <c r="AD39" s="2382"/>
      <c r="AE39" s="2382"/>
      <c r="AF39" s="549"/>
      <c r="AG39" s="2382" t="str">
        <f>IF(TITLE_NUMBER_PR_CHANGE="",IF(TITLE_NUMBER_PR="","",TITLE_NUMBER_PR),TITLE_NUMBER_PR_CHANGE)</f>
        <v>72/1</v>
      </c>
      <c r="AH39" s="2382"/>
      <c r="AI39" s="2382"/>
      <c r="AJ39" s="2382"/>
      <c r="AK39" s="2382"/>
      <c r="AL39" s="2382"/>
      <c r="AM39" s="2382"/>
      <c r="AN39" s="2382"/>
      <c r="AO39" s="549"/>
      <c r="AP39" s="549"/>
      <c r="AQ39" s="503"/>
      <c r="AR39" s="591"/>
      <c r="AS39" s="591"/>
      <c r="AT39" s="591"/>
      <c r="AU39" s="591"/>
      <c r="AV39" s="591"/>
    </row>
    <row s="13547" customFormat="1" customHeight="1" ht="0">
      <c r="A40" s="1475"/>
      <c r="B40" s="1475"/>
      <c r="C40" s="1475"/>
      <c r="D40" s="1475"/>
      <c r="E40" s="1475"/>
      <c r="F40" s="1475"/>
      <c r="G40" s="1475"/>
      <c r="H40" s="1475"/>
      <c r="I40" s="1475"/>
      <c r="J40" s="1475"/>
      <c r="K40" s="1475"/>
      <c r="L40" s="1475"/>
      <c r="M40" s="1608"/>
      <c r="N40" s="1475"/>
      <c r="O40" s="1475"/>
      <c r="P40" s="1475"/>
      <c r="U40" s="546"/>
      <c r="V40" s="546"/>
      <c r="W40" s="1568"/>
      <c r="X40" s="549"/>
      <c r="Y40" s="549"/>
      <c r="Z40" s="549"/>
      <c r="AA40" s="549"/>
      <c r="AB40" s="549"/>
      <c r="AC40" s="549"/>
      <c r="AD40" s="549"/>
      <c r="AE40" s="549"/>
      <c r="AF40" s="501" t="s">
        <v>426</v>
      </c>
      <c r="AG40" s="549"/>
      <c r="AH40" s="549"/>
      <c r="AI40" s="549"/>
      <c r="AJ40" s="549"/>
      <c r="AK40" s="549"/>
      <c r="AL40" s="549"/>
      <c r="AM40" s="549"/>
      <c r="AN40" s="549"/>
      <c r="AO40" s="501" t="s">
        <v>426</v>
      </c>
      <c r="AR40" s="591"/>
      <c r="AS40" s="591"/>
      <c r="AT40" s="591"/>
      <c r="AU40" s="591"/>
      <c r="AV40" s="591"/>
    </row>
    <row customHeight="1" ht="14.25">
      <c r="R41" s="599"/>
      <c r="S41" s="599"/>
      <c r="T41" s="599"/>
      <c r="U41" s="1503"/>
      <c r="V41" s="586"/>
      <c r="W41" s="1471"/>
      <c r="X41" s="2406"/>
      <c r="Y41" s="2406"/>
      <c r="Z41" s="2406"/>
      <c r="AA41" s="2406"/>
      <c r="AB41" s="2406"/>
      <c r="AC41" s="2406"/>
      <c r="AD41" s="2406"/>
      <c r="AE41" s="2406"/>
      <c r="AF41" s="2406"/>
      <c r="AG41" s="2406"/>
      <c r="AH41" s="2406"/>
      <c r="AI41" s="2406"/>
      <c r="AJ41" s="2406"/>
      <c r="AK41" s="2406"/>
      <c r="AL41" s="2406"/>
      <c r="AM41" s="2406"/>
      <c r="AN41" s="2406"/>
      <c r="AO41" s="2406"/>
    </row>
    <row customHeight="1" ht="14.25">
      <c r="R42" s="599"/>
      <c r="S42" s="599"/>
      <c r="T42" s="599"/>
      <c r="U42" s="2254" t="s">
        <v>301</v>
      </c>
      <c r="V42" s="2254"/>
      <c r="W42" s="2254"/>
      <c r="X42" s="2254"/>
      <c r="Y42" s="2254"/>
      <c r="Z42" s="2254"/>
      <c r="AA42" s="2254"/>
      <c r="AB42" s="2254"/>
      <c r="AC42" s="2254"/>
      <c r="AD42" s="2254"/>
      <c r="AE42" s="2254"/>
      <c r="AF42" s="2254"/>
      <c r="AG42" s="2254"/>
      <c r="AH42" s="2254"/>
      <c r="AI42" s="2254"/>
      <c r="AJ42" s="2254"/>
      <c r="AK42" s="2254"/>
      <c r="AL42" s="2254"/>
      <c r="AM42" s="2254"/>
      <c r="AN42" s="2254"/>
      <c r="AO42" s="2254"/>
      <c r="AP42" s="2254"/>
      <c r="AQ42" s="2254" t="s">
        <v>302</v>
      </c>
    </row>
    <row customHeight="1" ht="14.25">
      <c r="R43" s="599"/>
      <c r="S43" s="599"/>
      <c r="T43" s="599"/>
      <c r="U43" s="2407" t="s">
        <v>87</v>
      </c>
      <c r="V43" s="2344" t="s">
        <v>427</v>
      </c>
      <c r="W43" s="524"/>
      <c r="X43" s="2408" t="s">
        <v>428</v>
      </c>
      <c r="Y43" s="2430"/>
      <c r="Z43" s="2430"/>
      <c r="AA43" s="2430"/>
      <c r="AB43" s="2430"/>
      <c r="AC43" s="2409"/>
      <c r="AD43" s="2409"/>
      <c r="AE43" s="2410"/>
      <c r="AF43" s="2411" t="s">
        <v>429</v>
      </c>
      <c r="AG43" s="2408" t="s">
        <v>428</v>
      </c>
      <c r="AH43" s="2430"/>
      <c r="AI43" s="2430"/>
      <c r="AJ43" s="2430"/>
      <c r="AK43" s="2430"/>
      <c r="AL43" s="2409"/>
      <c r="AM43" s="2409"/>
      <c r="AN43" s="2410"/>
      <c r="AO43" s="2411" t="s">
        <v>430</v>
      </c>
      <c r="AP43" s="2414" t="s">
        <v>431</v>
      </c>
      <c r="AQ43" s="2254"/>
    </row>
    <row customHeight="1" ht="33.75">
      <c r="R44" s="599"/>
      <c r="S44" s="599"/>
      <c r="T44" s="599"/>
      <c r="U44" s="2407"/>
      <c r="V44" s="2344"/>
      <c r="W44" s="1255"/>
      <c r="X44" s="2428" t="s">
        <v>453</v>
      </c>
      <c r="Y44" s="2437" t="s">
        <v>454</v>
      </c>
      <c r="Z44" s="2437"/>
      <c r="AA44" s="2437"/>
      <c r="AB44" s="2437"/>
      <c r="AC44" s="2428" t="s">
        <v>435</v>
      </c>
      <c r="AD44" s="2446"/>
      <c r="AE44" s="2447"/>
      <c r="AF44" s="2412"/>
      <c r="AG44" s="2428" t="s">
        <v>453</v>
      </c>
      <c r="AH44" s="2437" t="s">
        <v>454</v>
      </c>
      <c r="AI44" s="2437"/>
      <c r="AJ44" s="2437"/>
      <c r="AK44" s="2437"/>
      <c r="AL44" s="2428" t="s">
        <v>435</v>
      </c>
      <c r="AM44" s="2446"/>
      <c r="AN44" s="2447"/>
      <c r="AO44" s="2412"/>
      <c r="AP44" s="2415"/>
      <c r="AQ44" s="2254"/>
    </row>
    <row customHeight="1" ht="14.25">
      <c r="R45" s="599"/>
      <c r="S45" s="599"/>
      <c r="T45" s="599"/>
      <c r="U45" s="2407"/>
      <c r="V45" s="2344"/>
      <c r="W45" s="1255"/>
      <c r="X45" s="2450"/>
      <c r="Y45" s="2438" t="s">
        <v>455</v>
      </c>
      <c r="Z45" s="2403" t="s">
        <v>456</v>
      </c>
      <c r="AA45" s="2441"/>
      <c r="AB45" s="2404"/>
      <c r="AC45" s="2429"/>
      <c r="AD45" s="2448"/>
      <c r="AE45" s="2449"/>
      <c r="AF45" s="2412"/>
      <c r="AG45" s="2450"/>
      <c r="AH45" s="2438" t="s">
        <v>455</v>
      </c>
      <c r="AI45" s="2403" t="s">
        <v>456</v>
      </c>
      <c r="AJ45" s="2441"/>
      <c r="AK45" s="2404"/>
      <c r="AL45" s="2429"/>
      <c r="AM45" s="2448"/>
      <c r="AN45" s="2449"/>
      <c r="AO45" s="2412"/>
      <c r="AP45" s="2415"/>
      <c r="AQ45" s="2254"/>
    </row>
    <row customHeight="1" ht="25.5">
      <c r="R46" s="599"/>
      <c r="S46" s="599"/>
      <c r="T46" s="599"/>
      <c r="U46" s="2407"/>
      <c r="V46" s="2344"/>
      <c r="W46" s="1255"/>
      <c r="X46" s="2450"/>
      <c r="Y46" s="2439"/>
      <c r="Z46" s="2438" t="s">
        <v>457</v>
      </c>
      <c r="AA46" s="2403" t="s">
        <v>458</v>
      </c>
      <c r="AB46" s="2404"/>
      <c r="AC46" s="2438" t="s">
        <v>445</v>
      </c>
      <c r="AD46" s="2442" t="s">
        <v>446</v>
      </c>
      <c r="AE46" s="2443"/>
      <c r="AF46" s="2412"/>
      <c r="AG46" s="2450"/>
      <c r="AH46" s="2439"/>
      <c r="AI46" s="2438" t="s">
        <v>457</v>
      </c>
      <c r="AJ46" s="2403" t="s">
        <v>458</v>
      </c>
      <c r="AK46" s="2404"/>
      <c r="AL46" s="2438" t="s">
        <v>445</v>
      </c>
      <c r="AM46" s="2442" t="s">
        <v>446</v>
      </c>
      <c r="AN46" s="2443"/>
      <c r="AO46" s="2412"/>
      <c r="AP46" s="2415"/>
      <c r="AQ46" s="2254"/>
    </row>
    <row customHeight="1" ht="62.25">
      <c r="A47" s="1487"/>
      <c r="B47" s="1487" t="s">
        <v>134</v>
      </c>
      <c r="C47" s="1487" t="s">
        <v>135</v>
      </c>
      <c r="D47" s="1487" t="s">
        <v>136</v>
      </c>
      <c r="E47" s="1538" t="s">
        <v>436</v>
      </c>
      <c r="F47" s="1538" t="s">
        <v>437</v>
      </c>
      <c r="G47" s="1538" t="s">
        <v>438</v>
      </c>
      <c r="H47" s="1538" t="s">
        <v>439</v>
      </c>
      <c r="I47" s="1538" t="s">
        <v>440</v>
      </c>
      <c r="J47" s="1538" t="s">
        <v>441</v>
      </c>
      <c r="K47" s="1538" t="s">
        <v>442</v>
      </c>
      <c r="L47" s="1538" t="s">
        <v>459</v>
      </c>
      <c r="M47" s="1538" t="s">
        <v>417</v>
      </c>
      <c r="R47" s="599"/>
      <c r="S47" s="599"/>
      <c r="T47" s="599"/>
      <c r="U47" s="2407"/>
      <c r="V47" s="2344"/>
      <c r="W47" s="525"/>
      <c r="X47" s="2429"/>
      <c r="Y47" s="2440"/>
      <c r="Z47" s="2440"/>
      <c r="AA47" s="1449" t="s">
        <v>460</v>
      </c>
      <c r="AB47" s="1449" t="s">
        <v>461</v>
      </c>
      <c r="AC47" s="2440"/>
      <c r="AD47" s="2444"/>
      <c r="AE47" s="2445"/>
      <c r="AF47" s="2413"/>
      <c r="AG47" s="2429"/>
      <c r="AH47" s="2440"/>
      <c r="AI47" s="2440"/>
      <c r="AJ47" s="1449" t="s">
        <v>460</v>
      </c>
      <c r="AK47" s="1449" t="s">
        <v>461</v>
      </c>
      <c r="AL47" s="2440"/>
      <c r="AM47" s="2444"/>
      <c r="AN47" s="2445"/>
      <c r="AO47" s="2413"/>
      <c r="AP47" s="2416"/>
      <c r="AQ47" s="2254"/>
    </row>
    <row s="13364" customFormat="1" customHeight="1" ht="11.25" hidden="1">
      <c r="A48" s="1487"/>
      <c r="B48" s="1487"/>
      <c r="C48" s="1487"/>
      <c r="D48" s="1487"/>
      <c r="E48" s="1487"/>
      <c r="F48" s="1487"/>
      <c r="G48" s="1487"/>
      <c r="H48" s="1487"/>
      <c r="I48" s="1487"/>
      <c r="J48" s="1487"/>
      <c r="K48" s="1487"/>
      <c r="L48" s="1487"/>
      <c r="M48" s="1538"/>
      <c r="N48" s="1556"/>
      <c r="O48" s="1556"/>
      <c r="P48" s="1556"/>
      <c r="Q48" s="1473"/>
      <c r="R48" s="1474"/>
      <c r="S48" s="1481">
        <v>1</v>
      </c>
      <c r="T48" s="1481"/>
      <c r="U48" s="1505" t="s">
        <v>108</v>
      </c>
      <c r="V48" s="1482" t="s">
        <v>109</v>
      </c>
      <c r="W48" s="1472" t="str">
        <f>OFFSET(W48,0,-1)</f>
        <v>2</v>
      </c>
      <c r="X48" s="1563">
        <f>OFFSET(X48,0,-1)+1</f>
        <v>3</v>
      </c>
      <c r="Y48" s="1569"/>
      <c r="Z48" s="1569"/>
      <c r="AA48" s="1569">
        <f>OFFSET(AA48,0,-1)+1</f>
        <v>1</v>
      </c>
      <c r="AB48" s="1569">
        <f>OFFSET(AB48,0,-1)+1</f>
        <v>2</v>
      </c>
      <c r="AC48" s="1563">
        <f>OFFSET(AC48,0,-1)+1</f>
        <v>3</v>
      </c>
      <c r="AD48" s="2405">
        <f>OFFSET(AD48,0,-1)+1</f>
        <v>4</v>
      </c>
      <c r="AE48" s="2405"/>
      <c r="AF48" s="1563">
        <f>OFFSET(AF48,0,-2)+1</f>
        <v>5</v>
      </c>
      <c r="AG48" s="1563">
        <f>OFFSET(AG48,0,-1)+1</f>
        <v>6</v>
      </c>
      <c r="AH48" s="1563"/>
      <c r="AI48" s="1563"/>
      <c r="AJ48" s="1563">
        <f>OFFSET(AJ48,0,-1)+1</f>
        <v>1</v>
      </c>
      <c r="AK48" s="1563">
        <f>OFFSET(AK48,0,-1)+1</f>
        <v>2</v>
      </c>
      <c r="AL48" s="1563">
        <f>OFFSET(AL48,0,-1)+1</f>
        <v>3</v>
      </c>
      <c r="AM48" s="2405">
        <f>OFFSET(AM48,0,-1)+1</f>
        <v>4</v>
      </c>
      <c r="AN48" s="2405"/>
      <c r="AO48" s="1563">
        <f>OFFSET(AO48,0,-2)+1</f>
        <v>5</v>
      </c>
      <c r="AP48" s="1472">
        <f>OFFSET(AP48,0,-1)</f>
        <v>5</v>
      </c>
      <c r="AQ48" s="1563">
        <f>OFFSET(AQ48,0,-1)+1</f>
        <v>6</v>
      </c>
      <c r="AR48" s="734"/>
      <c r="AS48" s="734"/>
      <c r="AT48" s="734"/>
      <c r="AU48" s="734"/>
      <c r="AV48" s="734"/>
    </row>
    <row customHeight="1" ht="21">
      <c r="A49" s="1495" t="s">
        <v>173</v>
      </c>
      <c r="B49" s="1495"/>
      <c r="C49" s="1495"/>
      <c r="D49" s="1495"/>
      <c r="E49" s="2424">
        <v>1</v>
      </c>
      <c r="F49" s="1495"/>
      <c r="G49" s="1495"/>
      <c r="H49" s="1495"/>
      <c r="I49" s="1495"/>
      <c r="J49" s="1495"/>
      <c r="K49" s="1495"/>
      <c r="L49" s="1495"/>
      <c r="M49" s="1538"/>
      <c r="N49" s="911"/>
      <c r="O49" s="911"/>
      <c r="P49" s="911"/>
      <c r="Q49" s="584"/>
      <c r="R49" s="583"/>
      <c r="S49" s="583"/>
      <c r="T49" s="578"/>
      <c r="U49" s="1564">
        <f>INDEX(PT_DIFFERENTIATION_NUM_NTAR,MATCH(A49,PT_DIFFERENTIATION_NTAR_ID,0))</f>
        <v>0</v>
      </c>
      <c r="V49" s="521" t="s">
        <v>122</v>
      </c>
      <c r="W49" s="523"/>
      <c r="X49" s="2383"/>
      <c r="Y49" s="2384"/>
      <c r="Z49" s="2384"/>
      <c r="AA49" s="2384"/>
      <c r="AB49" s="2384"/>
      <c r="AC49" s="2384"/>
      <c r="AD49" s="2384"/>
      <c r="AE49" s="2384"/>
      <c r="AF49" s="2385"/>
      <c r="AG49" s="2383" t="str">
        <f>INDEX(PT_DIFFERENTIATION_NTAR,MATCH(A49,PT_DIFFERENTIATION_NTAR_ID,0))</f>
        <v/>
      </c>
      <c r="AH49" s="2384"/>
      <c r="AI49" s="2384"/>
      <c r="AJ49" s="2384"/>
      <c r="AK49" s="2384"/>
      <c r="AL49" s="2384"/>
      <c r="AM49" s="2384"/>
      <c r="AN49" s="2384"/>
      <c r="AO49" s="2384"/>
      <c r="AP49" s="2385"/>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23"/>
      <c r="AT49" s="723" t="str">
        <f>IF(V49="","",V49)</f>
        <v>Наименование тарифа</v>
      </c>
      <c r="AU49" s="723"/>
      <c r="AV49" s="723"/>
    </row>
    <row customHeight="1" ht="21">
      <c r="A50" s="1495" t="s">
        <v>173</v>
      </c>
      <c r="B50" s="1495" t="s">
        <v>174</v>
      </c>
      <c r="C50" s="1495"/>
      <c r="D50" s="1495"/>
      <c r="E50" s="2425"/>
      <c r="F50" s="2424">
        <v>1</v>
      </c>
      <c r="G50" s="1495"/>
      <c r="H50" s="1495"/>
      <c r="I50" s="1495"/>
      <c r="J50" s="1495"/>
      <c r="K50" s="1495"/>
      <c r="L50" s="1495"/>
      <c r="M50" s="1538"/>
      <c r="N50" s="911"/>
      <c r="O50" s="911"/>
      <c r="P50" s="911"/>
      <c r="Q50" s="1560"/>
      <c r="R50" s="575"/>
      <c r="S50" s="732"/>
      <c r="T50" s="576"/>
      <c r="U50" s="1564" t="str">
        <f>INDEX(PT_DIFFERENTIATION_NUM_TER,MATCH(B50,PT_DIFFERENTIATION_TER_ID,0))</f>
        <v>.</v>
      </c>
      <c r="V50" s="531" t="s">
        <v>398</v>
      </c>
      <c r="W50" s="523"/>
      <c r="X50" s="2383"/>
      <c r="Y50" s="2384"/>
      <c r="Z50" s="2384"/>
      <c r="AA50" s="2384"/>
      <c r="AB50" s="2384"/>
      <c r="AC50" s="2384"/>
      <c r="AD50" s="2384"/>
      <c r="AE50" s="2384"/>
      <c r="AF50" s="2385"/>
      <c r="AG50" s="2383" t="str">
        <f>INDEX(PT_DIFFERENTIATION_TER,MATCH(B50,PT_DIFFERENTIATION_TER_ID,0))</f>
        <v/>
      </c>
      <c r="AH50" s="2384"/>
      <c r="AI50" s="2384"/>
      <c r="AJ50" s="2384"/>
      <c r="AK50" s="2384"/>
      <c r="AL50" s="2384"/>
      <c r="AM50" s="2384"/>
      <c r="AN50" s="2384"/>
      <c r="AO50" s="2384"/>
      <c r="AP50" s="2385"/>
      <c r="AQ50" s="1485" t="s">
        <v>399</v>
      </c>
      <c r="AS50" s="723"/>
      <c r="AT50" s="723" t="str">
        <f>IF(V50="","",V50)</f>
        <v>Территория действия тарифа</v>
      </c>
      <c r="AU50" s="723"/>
      <c r="AV50" s="723"/>
    </row>
    <row customHeight="1" ht="22.5">
      <c r="A51" s="1495" t="s">
        <v>173</v>
      </c>
      <c r="B51" s="1495" t="s">
        <v>174</v>
      </c>
      <c r="C51" s="1495" t="s">
        <v>175</v>
      </c>
      <c r="D51" s="1495"/>
      <c r="E51" s="2425"/>
      <c r="F51" s="2425"/>
      <c r="G51" s="2424">
        <v>1</v>
      </c>
      <c r="H51" s="1495"/>
      <c r="I51" s="1495"/>
      <c r="J51" s="1495"/>
      <c r="K51" s="1495"/>
      <c r="L51" s="1495"/>
      <c r="M51" s="1538"/>
      <c r="N51" s="911"/>
      <c r="O51" s="911"/>
      <c r="P51" s="911"/>
      <c r="Q51" s="577"/>
      <c r="R51" s="575"/>
      <c r="S51" s="732"/>
      <c r="T51" s="576"/>
      <c r="U51" s="1564" t="str">
        <f>INDEX(PT_DIFFERENTIATION_NUM_CS,MATCH(C51,PT_DIFFERENTIATION_CS_ID,0))</f>
        <v>..</v>
      </c>
      <c r="V51" s="532" t="s">
        <v>400</v>
      </c>
      <c r="W51" s="523"/>
      <c r="X51" s="2383"/>
      <c r="Y51" s="2384"/>
      <c r="Z51" s="2384"/>
      <c r="AA51" s="2384"/>
      <c r="AB51" s="2384"/>
      <c r="AC51" s="2384"/>
      <c r="AD51" s="2384"/>
      <c r="AE51" s="2384"/>
      <c r="AF51" s="2385"/>
      <c r="AG51" s="2383" t="str">
        <f>INDEX(PT_DIFFERENTIATION_CS,MATCH(C51,PT_DIFFERENTIATION_CS_ID,0))</f>
        <v/>
      </c>
      <c r="AH51" s="2384"/>
      <c r="AI51" s="2384"/>
      <c r="AJ51" s="2384"/>
      <c r="AK51" s="2384"/>
      <c r="AL51" s="2384"/>
      <c r="AM51" s="2384"/>
      <c r="AN51" s="2384"/>
      <c r="AO51" s="2384"/>
      <c r="AP51" s="2385"/>
      <c r="AQ51" s="1485" t="s">
        <v>401</v>
      </c>
      <c r="AS51" s="723"/>
      <c r="AT51" s="723" t="str">
        <f>IF(V51="","",V51)</f>
        <v>Наименование системы теплоснабжения </v>
      </c>
      <c r="AU51" s="723"/>
      <c r="AV51" s="723"/>
    </row>
    <row customHeight="1" ht="21">
      <c r="A52" s="1495" t="s">
        <v>173</v>
      </c>
      <c r="B52" s="1495" t="s">
        <v>174</v>
      </c>
      <c r="C52" s="1495" t="s">
        <v>175</v>
      </c>
      <c r="D52" s="1495" t="s">
        <v>176</v>
      </c>
      <c r="E52" s="2425"/>
      <c r="F52" s="2425"/>
      <c r="G52" s="2425"/>
      <c r="H52" s="2451">
        <v>1</v>
      </c>
      <c r="I52" s="1495"/>
      <c r="J52" s="1495"/>
      <c r="K52" s="1495"/>
      <c r="L52" s="1495"/>
      <c r="M52" s="1538"/>
      <c r="N52" s="911"/>
      <c r="O52" s="911"/>
      <c r="P52" s="911"/>
      <c r="Q52" s="577"/>
      <c r="R52" s="575"/>
      <c r="S52" s="732"/>
      <c r="T52" s="576"/>
      <c r="U52" s="1564" t="str">
        <f>INDEX(PT_DIFFERENTIATION_NUM_IST_TE,MATCH(D52,PT_DIFFERENTIATION_IST_TE_ID,0))</f>
        <v>...</v>
      </c>
      <c r="V52" s="533" t="s">
        <v>402</v>
      </c>
      <c r="W52" s="523"/>
      <c r="X52" s="2383"/>
      <c r="Y52" s="2384"/>
      <c r="Z52" s="2384"/>
      <c r="AA52" s="2384"/>
      <c r="AB52" s="2384"/>
      <c r="AC52" s="2384"/>
      <c r="AD52" s="2384"/>
      <c r="AE52" s="2384"/>
      <c r="AF52" s="2385"/>
      <c r="AG52" s="2383" t="str">
        <f>INDEX(PT_DIFFERENTIATION_IST_TE,MATCH(D52,PT_DIFFERENTIATION_IST_TE_ID,0))</f>
        <v/>
      </c>
      <c r="AH52" s="2384"/>
      <c r="AI52" s="2384"/>
      <c r="AJ52" s="2384"/>
      <c r="AK52" s="2384"/>
      <c r="AL52" s="2384"/>
      <c r="AM52" s="2384"/>
      <c r="AN52" s="2384"/>
      <c r="AO52" s="2384"/>
      <c r="AP52" s="2385"/>
      <c r="AQ52" s="1485" t="s">
        <v>403</v>
      </c>
      <c r="AS52" s="723"/>
      <c r="AT52" s="723" t="str">
        <f>IF(V52="","",V52)</f>
        <v>Источник тепловой энергии  </v>
      </c>
      <c r="AU52" s="723"/>
      <c r="AV52" s="723"/>
    </row>
    <row s="13606" customFormat="1" customHeight="1" ht="0">
      <c r="A53" s="1603" t="s">
        <v>173</v>
      </c>
      <c r="B53" s="1603" t="s">
        <v>174</v>
      </c>
      <c r="C53" s="1603" t="s">
        <v>175</v>
      </c>
      <c r="D53" s="1603" t="s">
        <v>176</v>
      </c>
      <c r="E53" s="2425"/>
      <c r="F53" s="2425"/>
      <c r="G53" s="2425"/>
      <c r="H53" s="2452"/>
      <c r="I53" s="2254" t="str">
        <f>U52&amp;".1"</f>
        <v>....1</v>
      </c>
      <c r="J53" s="1603"/>
      <c r="K53" s="1603"/>
      <c r="L53" s="1603"/>
      <c r="M53" s="1609" t="s">
        <v>404</v>
      </c>
      <c r="N53" s="1473"/>
      <c r="O53" s="1473"/>
      <c r="P53" s="1473"/>
      <c r="Q53" s="2393">
        <v>1</v>
      </c>
      <c r="R53" s="1559"/>
      <c r="S53" s="1559"/>
      <c r="T53" s="579"/>
      <c r="U53" s="1266"/>
      <c r="V53" s="1611"/>
      <c r="W53" s="1612"/>
      <c r="X53" s="2431"/>
      <c r="Y53" s="2432"/>
      <c r="Z53" s="2432"/>
      <c r="AA53" s="2432"/>
      <c r="AB53" s="2432"/>
      <c r="AC53" s="2432"/>
      <c r="AD53" s="2432"/>
      <c r="AE53" s="2432"/>
      <c r="AF53" s="2433"/>
      <c r="AG53" s="2431"/>
      <c r="AH53" s="2432"/>
      <c r="AI53" s="2432"/>
      <c r="AJ53" s="2432"/>
      <c r="AK53" s="2432"/>
      <c r="AL53" s="2432"/>
      <c r="AM53" s="2432"/>
      <c r="AN53" s="2432"/>
      <c r="AO53" s="2432"/>
      <c r="AP53" s="2433"/>
      <c r="AQ53" s="1613"/>
      <c r="AS53" s="723"/>
      <c r="AT53" s="723" t="str">
        <f>IF(V53="","",V53)</f>
        <v/>
      </c>
      <c r="AU53" s="723"/>
      <c r="AV53" s="723"/>
    </row>
    <row customHeight="1" ht="21">
      <c r="A54" s="1495" t="s">
        <v>173</v>
      </c>
      <c r="B54" s="1495" t="s">
        <v>174</v>
      </c>
      <c r="C54" s="1495" t="s">
        <v>175</v>
      </c>
      <c r="D54" s="1495" t="s">
        <v>176</v>
      </c>
      <c r="E54" s="2425"/>
      <c r="F54" s="2425"/>
      <c r="G54" s="2425"/>
      <c r="H54" s="2452"/>
      <c r="I54" s="2238"/>
      <c r="J54" s="2254" t="str">
        <f>I53&amp;".1"</f>
        <v>....1.1</v>
      </c>
      <c r="K54" s="1495"/>
      <c r="L54" s="1495"/>
      <c r="M54" s="1538" t="s">
        <v>407</v>
      </c>
      <c r="Q54" s="2393"/>
      <c r="R54" s="2393">
        <v>1</v>
      </c>
      <c r="S54" s="741"/>
      <c r="T54" s="580"/>
      <c r="U54" s="1564" t="str">
        <f>$J54</f>
        <v>....1.1</v>
      </c>
      <c r="V54" s="509" t="s">
        <v>408</v>
      </c>
      <c r="W54" s="523"/>
      <c r="X54" s="2377"/>
      <c r="Y54" s="2378"/>
      <c r="Z54" s="2378"/>
      <c r="AA54" s="2378"/>
      <c r="AB54" s="2378"/>
      <c r="AC54" s="2370"/>
      <c r="AD54" s="2370"/>
      <c r="AE54" s="2370"/>
      <c r="AF54" s="2453"/>
      <c r="AG54" s="2377"/>
      <c r="AH54" s="2378"/>
      <c r="AI54" s="2378"/>
      <c r="AJ54" s="2378"/>
      <c r="AK54" s="2378"/>
      <c r="AL54" s="2378"/>
      <c r="AM54" s="2378"/>
      <c r="AN54" s="2378"/>
      <c r="AO54" s="2378"/>
      <c r="AP54" s="2379"/>
      <c r="AQ54" s="1485" t="s">
        <v>409</v>
      </c>
      <c r="AS54" s="723"/>
      <c r="AT54" s="723" t="str">
        <f>IF(V54="","",V54)</f>
        <v>Группа потребителей</v>
      </c>
      <c r="AU54" s="723"/>
      <c r="AV54" s="723"/>
    </row>
    <row customHeight="1" ht="21">
      <c r="A55" s="1495" t="s">
        <v>173</v>
      </c>
      <c r="B55" s="1495" t="s">
        <v>174</v>
      </c>
      <c r="C55" s="1495" t="s">
        <v>175</v>
      </c>
      <c r="D55" s="1495" t="s">
        <v>176</v>
      </c>
      <c r="E55" s="2425"/>
      <c r="F55" s="2425"/>
      <c r="G55" s="2425"/>
      <c r="H55" s="2452"/>
      <c r="I55" s="2238"/>
      <c r="J55" s="2238"/>
      <c r="K55" s="2254" t="str">
        <f>J54&amp;".1"</f>
        <v>....1.1.1</v>
      </c>
      <c r="L55" s="363"/>
      <c r="M55" s="1538" t="s">
        <v>410</v>
      </c>
      <c r="Q55" s="2393"/>
      <c r="R55" s="2393"/>
      <c r="S55" s="741">
        <v>1</v>
      </c>
      <c r="T55" s="580"/>
      <c r="U55" s="1564" t="str">
        <f>$K55</f>
        <v>....1.1.1</v>
      </c>
      <c r="V55" s="1575"/>
      <c r="W55" s="523"/>
      <c r="X55" s="974"/>
      <c r="Y55" s="974"/>
      <c r="Z55" s="974"/>
      <c r="AA55" s="974"/>
      <c r="AB55" s="1633"/>
      <c r="AC55" s="2394"/>
      <c r="AD55" s="2264" t="s">
        <v>66</v>
      </c>
      <c r="AE55" s="2394"/>
      <c r="AF55" s="2264" t="s">
        <v>66</v>
      </c>
      <c r="AG55" s="1635"/>
      <c r="AH55" s="974"/>
      <c r="AI55" s="974"/>
      <c r="AJ55" s="974"/>
      <c r="AK55" s="1484"/>
      <c r="AL55" s="2394"/>
      <c r="AM55" s="2264" t="s">
        <v>66</v>
      </c>
      <c r="AN55" s="2394"/>
      <c r="AO55" s="2264" t="s">
        <v>66</v>
      </c>
      <c r="AP55" s="1576"/>
      <c r="AQ55" s="1535" t="s">
        <v>450</v>
      </c>
      <c r="AR55" s="734">
        <f>STRCHECKDATE(X57:AP57)</f>
      </c>
      <c r="AS55" s="723"/>
      <c r="AT55" s="723" t="str">
        <f>IF(V55="","",V55)</f>
        <v/>
      </c>
      <c r="AU55" s="723"/>
      <c r="AV55" s="723"/>
    </row>
    <row customHeight="1" ht="11.25">
      <c r="A56" s="1495" t="s">
        <v>173</v>
      </c>
      <c r="B56" s="1495" t="s">
        <v>174</v>
      </c>
      <c r="C56" s="1495" t="s">
        <v>175</v>
      </c>
      <c r="D56" s="1495" t="s">
        <v>176</v>
      </c>
      <c r="E56" s="2425"/>
      <c r="F56" s="2425"/>
      <c r="G56" s="2425"/>
      <c r="H56" s="2452"/>
      <c r="I56" s="2238"/>
      <c r="J56" s="2238"/>
      <c r="K56" s="2238"/>
      <c r="L56" s="2254" t="str">
        <f>K55&amp;".1"</f>
        <v>....1.1.1.1</v>
      </c>
      <c r="M56" s="1538"/>
      <c r="Q56" s="2393"/>
      <c r="R56" s="2393"/>
      <c r="S56" s="741">
        <v>1</v>
      </c>
      <c r="T56" s="580"/>
      <c r="U56" s="1564" t="str">
        <f>$L56</f>
        <v>....1.1.1.1</v>
      </c>
      <c r="V56" s="1619"/>
      <c r="W56" s="523"/>
      <c r="X56" s="548"/>
      <c r="Y56" s="974"/>
      <c r="Z56" s="974"/>
      <c r="AA56" s="974"/>
      <c r="AB56" s="1633"/>
      <c r="AC56" s="2436"/>
      <c r="AD56" s="2264"/>
      <c r="AE56" s="2436"/>
      <c r="AF56" s="2264"/>
      <c r="AG56" s="1635"/>
      <c r="AH56" s="974"/>
      <c r="AI56" s="974"/>
      <c r="AJ56" s="974"/>
      <c r="AK56" s="1484"/>
      <c r="AL56" s="2436"/>
      <c r="AM56" s="2264"/>
      <c r="AN56" s="2436"/>
      <c r="AO56" s="2264"/>
      <c r="AP56" s="1576"/>
      <c r="AQ56" s="2419" t="s">
        <v>451</v>
      </c>
      <c r="AR56" s="734">
        <f>STRCHECKDATE(X58:AP58)</f>
      </c>
      <c r="AS56" s="723"/>
      <c r="AT56" s="723" t="str">
        <f>IF(V56="","",V56)</f>
        <v/>
      </c>
      <c r="AU56" s="723"/>
      <c r="AV56" s="723"/>
    </row>
    <row customHeight="1" ht="0">
      <c r="A57" s="1495" t="s">
        <v>173</v>
      </c>
      <c r="B57" s="1495" t="s">
        <v>174</v>
      </c>
      <c r="C57" s="1495" t="s">
        <v>175</v>
      </c>
      <c r="D57" s="1495" t="s">
        <v>176</v>
      </c>
      <c r="E57" s="2425"/>
      <c r="F57" s="2425"/>
      <c r="G57" s="2425"/>
      <c r="H57" s="2452"/>
      <c r="I57" s="2238"/>
      <c r="J57" s="2238"/>
      <c r="K57" s="2238"/>
      <c r="L57" s="2254"/>
      <c r="M57" s="1538"/>
      <c r="Q57" s="2393"/>
      <c r="R57" s="2393"/>
      <c r="S57" s="741"/>
      <c r="T57" s="580"/>
      <c r="U57" s="1570"/>
      <c r="V57" s="523"/>
      <c r="W57" s="523"/>
      <c r="X57" s="548"/>
      <c r="Y57" s="548"/>
      <c r="Z57" s="548"/>
      <c r="AA57" s="548"/>
      <c r="AB57" s="1634" t="str">
        <f>AC55&amp;"-"&amp;AE55</f>
        <v>-</v>
      </c>
      <c r="AC57" s="2436"/>
      <c r="AD57" s="2264"/>
      <c r="AE57" s="2436"/>
      <c r="AF57" s="2264"/>
      <c r="AG57" s="1610"/>
      <c r="AH57" s="548"/>
      <c r="AI57" s="548"/>
      <c r="AJ57" s="548"/>
      <c r="AK57" s="551" t="str">
        <f>AL55&amp;"-"&amp;AN55</f>
        <v>-</v>
      </c>
      <c r="AL57" s="2436"/>
      <c r="AM57" s="2264"/>
      <c r="AN57" s="2436"/>
      <c r="AO57" s="2264"/>
      <c r="AP57" s="1577"/>
      <c r="AQ57" s="2420"/>
      <c r="AS57" s="723"/>
      <c r="AT57" s="723" t="str">
        <f>IF(V57="","",V57)</f>
        <v/>
      </c>
      <c r="AU57" s="723"/>
      <c r="AV57" s="723"/>
    </row>
    <row customHeight="1" ht="11.25">
      <c r="A58" s="1495" t="s">
        <v>173</v>
      </c>
      <c r="B58" s="1495" t="s">
        <v>174</v>
      </c>
      <c r="C58" s="1495" t="s">
        <v>175</v>
      </c>
      <c r="D58" s="1495" t="s">
        <v>176</v>
      </c>
      <c r="E58" s="2425"/>
      <c r="F58" s="2425"/>
      <c r="G58" s="2425"/>
      <c r="H58" s="2452"/>
      <c r="I58" s="2238"/>
      <c r="J58" s="2238"/>
      <c r="K58" s="2254"/>
      <c r="L58" s="1495"/>
      <c r="M58" s="1538"/>
      <c r="Q58" s="2393"/>
      <c r="R58" s="2393"/>
      <c r="S58" s="1559"/>
      <c r="T58" s="579"/>
      <c r="U58" s="1506"/>
      <c r="V58" s="511" t="s">
        <v>452</v>
      </c>
      <c r="W58" s="590"/>
      <c r="X58" s="590"/>
      <c r="Y58" s="590"/>
      <c r="Z58" s="590"/>
      <c r="AA58" s="590"/>
      <c r="AB58" s="590"/>
      <c r="AC58" s="2436"/>
      <c r="AD58" s="2264"/>
      <c r="AE58" s="2436"/>
      <c r="AF58" s="2264"/>
      <c r="AG58" s="590"/>
      <c r="AH58" s="590"/>
      <c r="AI58" s="590"/>
      <c r="AJ58" s="590"/>
      <c r="AK58" s="590"/>
      <c r="AL58" s="2436"/>
      <c r="AM58" s="2264"/>
      <c r="AN58" s="2436"/>
      <c r="AO58" s="2264"/>
      <c r="AP58" s="547"/>
      <c r="AQ58" s="2420"/>
      <c r="AS58" s="723"/>
      <c r="AT58" s="723" t="str">
        <f>IF(V58="","",V58)</f>
        <v>Добавить наименование поставщика</v>
      </c>
      <c r="AU58" s="723"/>
      <c r="AV58" s="723"/>
    </row>
    <row customHeight="1" ht="11.25">
      <c r="A59" s="1495" t="s">
        <v>173</v>
      </c>
      <c r="B59" s="1495" t="s">
        <v>174</v>
      </c>
      <c r="C59" s="1495" t="s">
        <v>175</v>
      </c>
      <c r="D59" s="1495" t="s">
        <v>176</v>
      </c>
      <c r="E59" s="2425"/>
      <c r="F59" s="2425"/>
      <c r="G59" s="2425"/>
      <c r="H59" s="2452"/>
      <c r="I59" s="2238"/>
      <c r="J59" s="2254"/>
      <c r="K59" s="1495"/>
      <c r="L59" s="1495"/>
      <c r="M59" s="1538"/>
      <c r="Q59" s="2393"/>
      <c r="R59" s="2393"/>
      <c r="S59" s="1559"/>
      <c r="T59" s="579"/>
      <c r="U59" s="1506"/>
      <c r="V59" s="510" t="s">
        <v>412</v>
      </c>
      <c r="W59" s="590"/>
      <c r="X59" s="590"/>
      <c r="Y59" s="590"/>
      <c r="Z59" s="590"/>
      <c r="AA59" s="590"/>
      <c r="AB59" s="590"/>
      <c r="AC59" s="1636"/>
      <c r="AD59" s="1636"/>
      <c r="AE59" s="1636"/>
      <c r="AF59" s="1636"/>
      <c r="AG59" s="590"/>
      <c r="AH59" s="590"/>
      <c r="AI59" s="590"/>
      <c r="AJ59" s="590"/>
      <c r="AK59" s="590"/>
      <c r="AL59" s="590"/>
      <c r="AM59" s="590"/>
      <c r="AN59" s="590"/>
      <c r="AO59" s="590"/>
      <c r="AP59" s="547"/>
      <c r="AQ59" s="2421"/>
      <c r="AS59" s="723"/>
      <c r="AT59" s="723" t="str">
        <f>IF(V59="","",V59)</f>
        <v>Добавить вид теплоносителя (параметры теплоносителя)</v>
      </c>
      <c r="AU59" s="723"/>
      <c r="AV59" s="723"/>
    </row>
    <row customHeight="1" ht="11.25">
      <c r="A60" s="1495" t="s">
        <v>173</v>
      </c>
      <c r="B60" s="1495" t="s">
        <v>174</v>
      </c>
      <c r="C60" s="1495" t="s">
        <v>175</v>
      </c>
      <c r="D60" s="1495" t="s">
        <v>176</v>
      </c>
      <c r="E60" s="2425"/>
      <c r="F60" s="2425"/>
      <c r="G60" s="2425"/>
      <c r="H60" s="2452"/>
      <c r="I60" s="2254"/>
      <c r="J60" s="1495"/>
      <c r="K60" s="1495"/>
      <c r="L60" s="1495"/>
      <c r="M60" s="1538"/>
      <c r="Q60" s="2393"/>
      <c r="R60" s="1559"/>
      <c r="S60" s="1559"/>
      <c r="T60" s="579"/>
      <c r="U60" s="1506"/>
      <c r="V60" s="588" t="s">
        <v>413</v>
      </c>
      <c r="W60" s="590"/>
      <c r="X60" s="590"/>
      <c r="Y60" s="590"/>
      <c r="Z60" s="590"/>
      <c r="AA60" s="590"/>
      <c r="AB60" s="590"/>
      <c r="AC60" s="590"/>
      <c r="AD60" s="590"/>
      <c r="AE60" s="590"/>
      <c r="AF60" s="589"/>
      <c r="AG60" s="590"/>
      <c r="AH60" s="590"/>
      <c r="AI60" s="590"/>
      <c r="AJ60" s="590"/>
      <c r="AK60" s="590"/>
      <c r="AL60" s="590"/>
      <c r="AM60" s="590"/>
      <c r="AN60" s="590"/>
      <c r="AO60" s="589"/>
      <c r="AP60" s="590"/>
      <c r="AQ60" s="526"/>
      <c r="AS60" s="723"/>
      <c r="AT60" s="723" t="str">
        <f>IF(V60="","",V60)</f>
        <v>Добавить группу потребителей</v>
      </c>
      <c r="AU60" s="723"/>
      <c r="AV60" s="723"/>
    </row>
    <row customHeight="1" ht="0">
      <c r="A61" s="1495" t="s">
        <v>173</v>
      </c>
      <c r="B61" s="1495" t="s">
        <v>174</v>
      </c>
      <c r="C61" s="1495" t="s">
        <v>175</v>
      </c>
      <c r="D61" s="1495" t="s">
        <v>176</v>
      </c>
      <c r="E61" s="2425"/>
      <c r="F61" s="2425"/>
      <c r="G61" s="2425"/>
      <c r="H61" s="2451"/>
      <c r="I61" s="1495"/>
      <c r="J61" s="1495"/>
      <c r="K61" s="1495"/>
      <c r="L61" s="1495"/>
      <c r="M61" s="1538"/>
      <c r="N61" s="911"/>
      <c r="O61" s="911"/>
      <c r="P61" s="732"/>
      <c r="Q61" s="583"/>
      <c r="R61" s="598"/>
      <c r="S61" s="578"/>
      <c r="T61" s="583"/>
      <c r="U61" s="1614"/>
      <c r="V61" s="1615"/>
      <c r="W61" s="1616"/>
      <c r="X61" s="1616"/>
      <c r="Y61" s="1616"/>
      <c r="Z61" s="1616"/>
      <c r="AA61" s="1616"/>
      <c r="AB61" s="1616"/>
      <c r="AC61" s="1616"/>
      <c r="AD61" s="1616"/>
      <c r="AE61" s="1616"/>
      <c r="AF61" s="1616"/>
      <c r="AG61" s="1616"/>
      <c r="AH61" s="1616"/>
      <c r="AI61" s="1616"/>
      <c r="AJ61" s="1616"/>
      <c r="AK61" s="1616"/>
      <c r="AL61" s="1616"/>
      <c r="AM61" s="1616"/>
      <c r="AN61" s="1616"/>
      <c r="AO61" s="1616"/>
      <c r="AP61" s="1616"/>
      <c r="AQ61" s="1617"/>
      <c r="AS61" s="723"/>
      <c r="AT61" s="723" t="str">
        <f>IF(V61="","",V61)</f>
        <v/>
      </c>
      <c r="AU61" s="723"/>
      <c r="AV61" s="723"/>
    </row>
    <row s="13514" customFormat="1" customHeight="1" ht="0">
      <c r="A62" s="1603" t="s">
        <v>173</v>
      </c>
      <c r="B62" s="1603" t="s">
        <v>174</v>
      </c>
      <c r="C62" s="1603" t="s">
        <v>175</v>
      </c>
      <c r="D62" s="1602"/>
      <c r="E62" s="2425"/>
      <c r="F62" s="2425"/>
      <c r="G62" s="2424"/>
      <c r="H62" s="1602"/>
      <c r="I62" s="1602"/>
      <c r="J62" s="1602"/>
      <c r="K62" s="1602"/>
      <c r="L62" s="1602"/>
      <c r="M62" s="1605"/>
      <c r="N62" s="1606"/>
      <c r="O62" s="1606"/>
      <c r="P62" s="574"/>
      <c r="Q62" s="1544"/>
      <c r="R62" s="1545"/>
      <c r="S62" s="1544"/>
      <c r="T62" s="1544"/>
      <c r="U62" s="1550"/>
      <c r="V62" s="1553" t="s">
        <v>415</v>
      </c>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S62" s="1012"/>
      <c r="AT62" s="1012" t="str">
        <f>IF(V62="","",V62)</f>
        <v>Добавить источник для дифференциации</v>
      </c>
      <c r="AU62" s="1012"/>
      <c r="AV62" s="1012"/>
    </row>
    <row s="13514" customFormat="1" customHeight="1" ht="0">
      <c r="A63" s="1603" t="s">
        <v>173</v>
      </c>
      <c r="B63" s="1603" t="s">
        <v>174</v>
      </c>
      <c r="C63" s="1602"/>
      <c r="D63" s="1602"/>
      <c r="E63" s="2425"/>
      <c r="F63" s="2424"/>
      <c r="G63" s="1602"/>
      <c r="H63" s="1602"/>
      <c r="I63" s="1602"/>
      <c r="J63" s="1602"/>
      <c r="K63" s="1602"/>
      <c r="L63" s="1602"/>
      <c r="M63" s="1605"/>
      <c r="N63" s="1607"/>
      <c r="O63" s="1607"/>
      <c r="P63" s="574"/>
      <c r="Q63" s="1544"/>
      <c r="R63" s="1545"/>
      <c r="S63" s="1544"/>
      <c r="T63" s="1544"/>
      <c r="U63" s="1550"/>
      <c r="V63" s="1553" t="s">
        <v>252</v>
      </c>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S63" s="1012"/>
      <c r="AT63" s="1012" t="str">
        <f>IF(V63="","",V63)</f>
        <v>Добавить централизованную систему для дифференциации</v>
      </c>
      <c r="AU63" s="1012"/>
      <c r="AV63" s="1012"/>
    </row>
    <row s="13606" customFormat="1" customHeight="1" ht="0">
      <c r="A64" s="1603" t="s">
        <v>173</v>
      </c>
      <c r="B64" s="1603"/>
      <c r="C64" s="1603"/>
      <c r="D64" s="1603"/>
      <c r="E64" s="2424"/>
      <c r="F64" s="1603"/>
      <c r="G64" s="1603"/>
      <c r="H64" s="1603"/>
      <c r="I64" s="1603"/>
      <c r="J64" s="1603"/>
      <c r="K64" s="1603"/>
      <c r="L64" s="1603"/>
      <c r="M64" s="1609"/>
      <c r="N64" s="1607"/>
      <c r="O64" s="1607"/>
      <c r="P64" s="574"/>
      <c r="Q64" s="603"/>
      <c r="R64" s="1572"/>
      <c r="S64" s="603"/>
      <c r="T64" s="603"/>
      <c r="U64" s="1550"/>
      <c r="V64" s="1553" t="s">
        <v>253</v>
      </c>
      <c r="W64" s="1552"/>
      <c r="X64" s="1552"/>
      <c r="Y64" s="1552"/>
      <c r="Z64" s="1552"/>
      <c r="AA64" s="1552"/>
      <c r="AB64" s="1552"/>
      <c r="AC64" s="1552"/>
      <c r="AD64" s="1552"/>
      <c r="AE64" s="1552"/>
      <c r="AF64" s="1552"/>
      <c r="AG64" s="1552"/>
      <c r="AH64" s="1552"/>
      <c r="AI64" s="1552"/>
      <c r="AJ64" s="1552"/>
      <c r="AK64" s="1552"/>
      <c r="AL64" s="1552"/>
      <c r="AM64" s="1552"/>
      <c r="AN64" s="1552"/>
      <c r="AO64" s="1552"/>
      <c r="AP64" s="1552"/>
      <c r="AQ64" s="1552"/>
      <c r="AS64" s="723"/>
      <c r="AT64" s="723" t="str">
        <f>IF(V64="","",V64)</f>
        <v>Добавить территорию для дифференциации</v>
      </c>
      <c r="AU64" s="723"/>
      <c r="AV64" s="723"/>
    </row>
    <row s="13514" customFormat="1" customHeight="1" ht="5.25">
      <c r="A65" s="1602"/>
      <c r="B65" s="1602"/>
      <c r="C65" s="1602"/>
      <c r="D65" s="1602"/>
      <c r="E65" s="1603"/>
      <c r="F65" s="1602"/>
      <c r="G65" s="1602"/>
      <c r="H65" s="1602"/>
      <c r="I65" s="1602"/>
      <c r="J65" s="1602"/>
      <c r="K65" s="1602"/>
      <c r="L65" s="1602"/>
      <c r="M65" s="1605"/>
      <c r="N65" s="1607"/>
      <c r="O65" s="1607"/>
      <c r="P65" s="574"/>
      <c r="Q65" s="1544"/>
      <c r="R65" s="1545"/>
      <c r="S65" s="1544"/>
      <c r="T65" s="1544"/>
      <c r="U65" s="1550"/>
      <c r="V65" s="1553" t="s">
        <v>254</v>
      </c>
      <c r="W65" s="1552"/>
      <c r="X65" s="1552"/>
      <c r="Y65" s="1552"/>
      <c r="Z65" s="1552"/>
      <c r="AA65" s="1552"/>
      <c r="AB65" s="1552"/>
      <c r="AC65" s="1552"/>
      <c r="AD65" s="1552"/>
      <c r="AE65" s="1552"/>
      <c r="AF65" s="1552"/>
      <c r="AG65" s="1552"/>
      <c r="AH65" s="1552"/>
      <c r="AI65" s="1552"/>
      <c r="AJ65" s="1552"/>
      <c r="AK65" s="1552"/>
      <c r="AL65" s="1552"/>
      <c r="AM65" s="1552"/>
      <c r="AN65" s="1552"/>
      <c r="AO65" s="1552"/>
      <c r="AP65" s="1552"/>
      <c r="AQ65" s="1552"/>
      <c r="AS65" s="1012"/>
      <c r="AT65" s="1012" t="str">
        <f>IF(V65="","",V65)</f>
        <v>Добавить наименование тарифа</v>
      </c>
      <c r="AU65" s="1012"/>
      <c r="AV65" s="1012"/>
    </row>
    <row customHeight="1" ht="11.25">
      <c r="N66" s="1380"/>
      <c r="O66" s="1380"/>
      <c r="P66" s="732"/>
      <c r="Q66" s="1380"/>
      <c r="R66" s="1380"/>
      <c r="S66" s="1380"/>
      <c r="T66" s="1380"/>
      <c r="U66" s="1380"/>
      <c r="AR66" s="1380"/>
      <c r="AS66" s="1380"/>
      <c r="AT66" s="1380"/>
      <c r="AU66" s="1380"/>
      <c r="AV66" s="1380"/>
    </row>
    <row customHeight="1" ht="33.75">
      <c r="P67" s="732"/>
      <c r="U67" s="1480"/>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row>
    <row customHeight="1" ht="19.5">
      <c r="P68" s="732"/>
      <c r="V68" s="2388"/>
      <c r="W68" s="2388"/>
      <c r="X68" s="2388"/>
      <c r="Y68" s="2388"/>
      <c r="Z68" s="2388"/>
      <c r="AA68" s="2388"/>
      <c r="AB68" s="2388"/>
      <c r="AC68" s="2388"/>
      <c r="AD68" s="2388"/>
      <c r="AE68" s="2388"/>
      <c r="AF68" s="2388"/>
      <c r="AG68" s="2388"/>
      <c r="AH68" s="2388"/>
      <c r="AI68" s="2388"/>
      <c r="AJ68" s="2388"/>
      <c r="AK68" s="2388"/>
      <c r="AL68" s="2388"/>
      <c r="AM68" s="2388"/>
      <c r="AN68" s="2388"/>
      <c r="AO68" s="2388"/>
      <c r="AP68" s="2388"/>
      <c r="AQ68" s="2388"/>
    </row>
    <row customHeight="1" ht="14.25">
      <c r="P69" s="732"/>
    </row>
    <row customHeight="1" ht="27">
      <c r="P70" s="732"/>
      <c r="V70" s="2388"/>
      <c r="W70" s="2388"/>
      <c r="X70" s="2388"/>
      <c r="Y70" s="2388"/>
      <c r="Z70" s="2388"/>
      <c r="AA70" s="2388"/>
      <c r="AB70" s="2388"/>
      <c r="AC70" s="2388"/>
      <c r="AD70" s="2388"/>
      <c r="AE70" s="2388"/>
      <c r="AF70" s="2388"/>
      <c r="AG70" s="2388"/>
      <c r="AH70" s="2388"/>
      <c r="AI70" s="2388"/>
      <c r="AJ70" s="2388"/>
      <c r="AK70" s="2388"/>
      <c r="AL70" s="2388"/>
      <c r="AM70" s="2388"/>
      <c r="AN70" s="2388"/>
      <c r="AO70" s="2388"/>
      <c r="AP70" s="2388"/>
      <c r="AQ70" s="2388"/>
    </row>
    <row customHeight="1" ht="18">
      <c r="P71" s="732"/>
      <c r="V71" s="2388"/>
      <c r="W71" s="2388"/>
      <c r="X71" s="2388"/>
      <c r="Y71" s="2388"/>
      <c r="Z71" s="2388"/>
      <c r="AA71" s="2388"/>
      <c r="AB71" s="2388"/>
      <c r="AC71" s="2388"/>
      <c r="AD71" s="2388"/>
      <c r="AE71" s="2388"/>
      <c r="AF71" s="2388"/>
      <c r="AG71" s="2388"/>
      <c r="AH71" s="2388"/>
      <c r="AI71" s="2388"/>
      <c r="AJ71" s="2388"/>
      <c r="AK71" s="2388"/>
      <c r="AL71" s="2388"/>
      <c r="AM71" s="2388"/>
      <c r="AN71" s="2388"/>
      <c r="AO71" s="2388"/>
      <c r="AP71" s="2388"/>
      <c r="AQ71" s="23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9A8D5-E1A8-F1A4-EA04-ADDEDA0137B4}"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13533" width="10.57421875"/>
    <col min="2" max="2" style="13533" width="11.00390625" customWidth="1"/>
    <col min="3" max="3" style="13533" width="10.57421875"/>
    <col min="4" max="4" style="13533" width="11.8515625" customWidth="1"/>
    <col min="5" max="5" style="13533" width="10.00390625" customWidth="1"/>
    <col min="6" max="6" style="13533" width="8.7109375" customWidth="1"/>
    <col min="7" max="7" style="13533" width="7.57421875" customWidth="1"/>
    <col min="8" max="8" style="13533" width="11.421875" customWidth="1"/>
    <col min="9" max="9" style="13533" width="12.00390625" customWidth="1"/>
    <col min="10" max="10" style="13533" width="9.8515625" customWidth="1"/>
    <col min="11" max="11" style="13533" width="11.421875" customWidth="1"/>
    <col min="12" max="12" style="13614" width="19.140625" customWidth="1"/>
    <col min="13" max="14" style="13615" width="12.28125" customWidth="1"/>
    <col min="15" max="15" style="13615" width="23.421875" customWidth="1"/>
    <col min="16" max="16" style="13615" width="3.7109375" customWidth="1"/>
    <col min="17" max="17" style="13788" width="3.7109375" customWidth="1"/>
    <col min="18" max="18" style="13617" width="3.7109375" customWidth="1"/>
    <col min="19" max="19" style="13618" width="12.7109375" customWidth="1"/>
    <col min="20" max="20" style="13619" width="32.00390625" customWidth="1"/>
    <col min="21" max="21" style="13619" width="0.140625" customWidth="1"/>
    <col min="22" max="23" style="13619" width="21.7109375" customWidth="1"/>
    <col min="24" max="24" style="13619" width="11.7109375" customWidth="1"/>
    <col min="25" max="25" style="13619" width="3.7109375" customWidth="1"/>
    <col min="26" max="26" style="13619" width="11.7109375" customWidth="1"/>
    <col min="27" max="27" style="13619" width="8.57421875" customWidth="1"/>
    <col min="28" max="28" style="13619" width="5.421875" customWidth="1"/>
    <col min="29" max="30" style="13619" width="3.7109375" customWidth="1"/>
    <col min="31" max="31" style="13619" width="24.7109375" customWidth="1"/>
    <col min="32" max="34" style="13619" width="3.7109375" customWidth="1"/>
    <col min="35" max="35" style="13619" width="24.7109375" customWidth="1"/>
    <col min="36" max="38" style="13619" width="3.7109375" customWidth="1"/>
    <col min="39" max="39" style="13619" width="18.8515625" customWidth="1"/>
    <col min="40" max="41" style="13619" width="21.7109375" customWidth="1"/>
    <col min="42" max="42" style="13619" width="11.7109375" customWidth="1"/>
    <col min="43" max="43" style="13619" width="3.7109375" customWidth="1"/>
    <col min="44" max="44" style="13619" width="11.7109375" customWidth="1"/>
    <col min="45" max="45" style="13619" width="8.57421875" customWidth="1"/>
    <col min="46" max="46" style="13619" width="4.7109375" customWidth="1"/>
    <col min="47" max="47" style="13619" width="115.7109375" customWidth="1"/>
    <col min="48" max="49" style="13606" width="10.57421875"/>
    <col min="50" max="50" style="13606" width="11.140625" customWidth="1"/>
    <col min="51" max="52" style="13606" width="10.57421875"/>
  </cols>
  <sheetData>
    <row customHeight="1" ht="14.25">
      <c r="W1" s="550"/>
      <c r="X1" s="550"/>
      <c r="AO1" s="550"/>
      <c r="AP1" s="550"/>
    </row>
    <row customHeight="1" ht="21">
      <c r="A2" s="1591"/>
      <c r="B2" s="1591"/>
      <c r="C2" s="1591"/>
      <c r="D2" s="1591"/>
      <c r="E2" s="2389">
        <v>1</v>
      </c>
      <c r="F2" s="1591"/>
      <c r="G2" s="1591"/>
      <c r="H2" s="1591"/>
      <c r="I2" s="1591"/>
      <c r="J2" s="1591"/>
      <c r="K2" s="1591"/>
      <c r="L2" s="1592"/>
      <c r="M2" s="1593"/>
      <c r="N2" s="1593"/>
      <c r="O2" s="1593"/>
      <c r="P2" s="1637"/>
      <c r="Q2" s="1096"/>
      <c r="R2" s="578"/>
      <c r="S2" s="1564">
        <f>INDEX(PT_DIFFERENTIATION_NUM_NTAR,MATCH(A2,PT_DIFFERENTIATION_NTAR_ID,0))</f>
      </c>
      <c r="T2" s="521" t="s">
        <v>122</v>
      </c>
      <c r="U2" s="523"/>
      <c r="V2" s="2384"/>
      <c r="W2" s="2384"/>
      <c r="X2" s="2384"/>
      <c r="Y2" s="2384"/>
      <c r="Z2" s="2384"/>
      <c r="AA2" s="2385"/>
      <c r="AB2" s="2383">
        <f>INDEX(PT_DIFFERENTIATION_NTAR,MATCH(A2,PT_DIFFERENTIATION_NTAR_ID,0))</f>
      </c>
      <c r="AC2" s="2384"/>
      <c r="AD2" s="2384"/>
      <c r="AE2" s="2384"/>
      <c r="AF2" s="2384"/>
      <c r="AG2" s="2384"/>
      <c r="AH2" s="2384"/>
      <c r="AI2" s="2384"/>
      <c r="AJ2" s="2384"/>
      <c r="AK2" s="2384"/>
      <c r="AL2" s="2384"/>
      <c r="AM2" s="2384"/>
      <c r="AN2" s="2384"/>
      <c r="AO2" s="2384"/>
      <c r="AP2" s="2384"/>
      <c r="AQ2" s="2384"/>
      <c r="AR2" s="2384"/>
      <c r="AS2" s="2384"/>
      <c r="AT2" s="2385"/>
      <c r="AU2" s="1485" t="s">
        <v>397</v>
      </c>
      <c r="AW2" s="723"/>
      <c r="AX2" s="723" t="str">
        <f>IF(T2="","",T2)</f>
        <v>Наименование тарифа</v>
      </c>
      <c r="AY2" s="723"/>
      <c r="AZ2" s="723"/>
    </row>
    <row customHeight="1" ht="21">
      <c r="A3" s="1591"/>
      <c r="B3" s="1591"/>
      <c r="C3" s="1591"/>
      <c r="D3" s="1591"/>
      <c r="E3" s="2390"/>
      <c r="F3" s="2389">
        <v>1</v>
      </c>
      <c r="G3" s="1591"/>
      <c r="H3" s="1591"/>
      <c r="I3" s="1591"/>
      <c r="J3" s="1591"/>
      <c r="K3" s="1591"/>
      <c r="L3" s="1592"/>
      <c r="M3" s="1593"/>
      <c r="N3" s="1593"/>
      <c r="O3" s="1593"/>
      <c r="P3" s="1638"/>
      <c r="Q3" s="1639"/>
      <c r="R3" s="576"/>
      <c r="S3" s="1564">
        <f>INDEX(PT_DIFFERENTIATION_NUM_TER,MATCH(B3,PT_DIFFERENTIATION_TER_ID,0))</f>
      </c>
      <c r="T3" s="531" t="s">
        <v>398</v>
      </c>
      <c r="U3" s="523"/>
      <c r="V3" s="2384"/>
      <c r="W3" s="2384"/>
      <c r="X3" s="2384"/>
      <c r="Y3" s="2384"/>
      <c r="Z3" s="2384"/>
      <c r="AA3" s="2385"/>
      <c r="AB3" s="2383">
        <f>INDEX(PT_DIFFERENTIATION_TER,MATCH(B3,PT_DIFFERENTIATION_TER_ID,0))</f>
      </c>
      <c r="AC3" s="2384"/>
      <c r="AD3" s="2384"/>
      <c r="AE3" s="2384"/>
      <c r="AF3" s="2384"/>
      <c r="AG3" s="2384"/>
      <c r="AH3" s="2384"/>
      <c r="AI3" s="2384"/>
      <c r="AJ3" s="2384"/>
      <c r="AK3" s="2384"/>
      <c r="AL3" s="2384"/>
      <c r="AM3" s="2384"/>
      <c r="AN3" s="2384"/>
      <c r="AO3" s="2384"/>
      <c r="AP3" s="2384"/>
      <c r="AQ3" s="2384"/>
      <c r="AR3" s="2384"/>
      <c r="AS3" s="2384"/>
      <c r="AT3" s="2385"/>
      <c r="AU3" s="1485" t="s">
        <v>399</v>
      </c>
      <c r="AW3" s="723"/>
      <c r="AX3" s="723" t="str">
        <f>IF(T3="","",T3)</f>
        <v>Территория действия тарифа</v>
      </c>
      <c r="AY3" s="723"/>
      <c r="AZ3" s="723"/>
    </row>
    <row customHeight="1" ht="22.5">
      <c r="A4" s="1591"/>
      <c r="B4" s="1591"/>
      <c r="C4" s="1591"/>
      <c r="D4" s="1591"/>
      <c r="E4" s="2390"/>
      <c r="F4" s="2390"/>
      <c r="G4" s="2389">
        <v>1</v>
      </c>
      <c r="H4" s="1591"/>
      <c r="I4" s="1591"/>
      <c r="J4" s="1591"/>
      <c r="K4" s="1591"/>
      <c r="L4" s="1592"/>
      <c r="M4" s="1593"/>
      <c r="N4" s="1593"/>
      <c r="O4" s="1593"/>
      <c r="P4" s="1640"/>
      <c r="Q4" s="1639"/>
      <c r="R4" s="576"/>
      <c r="S4" s="1564">
        <f>INDEX(PT_DIFFERENTIATION_NUM_CS,MATCH(C4,PT_DIFFERENTIATION_CS_ID,0))</f>
      </c>
      <c r="T4" s="532" t="s">
        <v>400</v>
      </c>
      <c r="U4" s="523"/>
      <c r="V4" s="2384"/>
      <c r="W4" s="2384"/>
      <c r="X4" s="2384"/>
      <c r="Y4" s="2384"/>
      <c r="Z4" s="2384"/>
      <c r="AA4" s="2385"/>
      <c r="AB4" s="2383">
        <f>INDEX(PT_DIFFERENTIATION_CS,MATCH(C4,PT_DIFFERENTIATION_CS_ID,0))</f>
      </c>
      <c r="AC4" s="2384"/>
      <c r="AD4" s="2384"/>
      <c r="AE4" s="2384"/>
      <c r="AF4" s="2384"/>
      <c r="AG4" s="2384"/>
      <c r="AH4" s="2384"/>
      <c r="AI4" s="2384"/>
      <c r="AJ4" s="2384"/>
      <c r="AK4" s="2384"/>
      <c r="AL4" s="2384"/>
      <c r="AM4" s="2384"/>
      <c r="AN4" s="2384"/>
      <c r="AO4" s="2384"/>
      <c r="AP4" s="2384"/>
      <c r="AQ4" s="2384"/>
      <c r="AR4" s="2384"/>
      <c r="AS4" s="2384"/>
      <c r="AT4" s="2385"/>
      <c r="AU4" s="1485" t="s">
        <v>401</v>
      </c>
      <c r="AW4" s="723"/>
      <c r="AX4" s="723" t="str">
        <f>IF(T4="","",T4)</f>
        <v>Наименование системы теплоснабжения </v>
      </c>
      <c r="AY4" s="723"/>
      <c r="AZ4" s="723"/>
    </row>
    <row customHeight="1" ht="21">
      <c r="A5" s="1591"/>
      <c r="B5" s="1591"/>
      <c r="C5" s="1591"/>
      <c r="D5" s="1591"/>
      <c r="E5" s="2390"/>
      <c r="F5" s="2390"/>
      <c r="G5" s="2390"/>
      <c r="H5" s="2389">
        <v>1</v>
      </c>
      <c r="I5" s="1591"/>
      <c r="J5" s="1591"/>
      <c r="K5" s="1591"/>
      <c r="L5" s="1592"/>
      <c r="M5" s="1593"/>
      <c r="N5" s="1593"/>
      <c r="O5" s="1593"/>
      <c r="P5" s="1640"/>
      <c r="Q5" s="1639"/>
      <c r="R5" s="576"/>
      <c r="S5" s="1564">
        <f>INDEX(PT_DIFFERENTIATION_NUM_IST_TE,MATCH(D5,PT_DIFFERENTIATION_IST_TE_ID,0))</f>
      </c>
      <c r="T5" s="533" t="s">
        <v>402</v>
      </c>
      <c r="U5" s="523"/>
      <c r="V5" s="2384"/>
      <c r="W5" s="2384"/>
      <c r="X5" s="2384"/>
      <c r="Y5" s="2384"/>
      <c r="Z5" s="2384"/>
      <c r="AA5" s="2385"/>
      <c r="AB5" s="2383">
        <f>INDEX(PT_DIFFERENTIATION_IST_TE,MATCH(D5,PT_DIFFERENTIATION_IST_TE_ID,0))</f>
      </c>
      <c r="AC5" s="2384"/>
      <c r="AD5" s="2384"/>
      <c r="AE5" s="2384"/>
      <c r="AF5" s="2384"/>
      <c r="AG5" s="2384"/>
      <c r="AH5" s="2384"/>
      <c r="AI5" s="2384"/>
      <c r="AJ5" s="2384"/>
      <c r="AK5" s="2384"/>
      <c r="AL5" s="2384"/>
      <c r="AM5" s="2384"/>
      <c r="AN5" s="2384"/>
      <c r="AO5" s="2384"/>
      <c r="AP5" s="2384"/>
      <c r="AQ5" s="2384"/>
      <c r="AR5" s="2384"/>
      <c r="AS5" s="2384"/>
      <c r="AT5" s="2385"/>
      <c r="AU5" s="1485" t="s">
        <v>403</v>
      </c>
      <c r="AW5" s="723"/>
      <c r="AX5" s="723" t="str">
        <f>IF(T5="","",T5)</f>
        <v>Источник тепловой энергии  </v>
      </c>
      <c r="AY5" s="723"/>
      <c r="AZ5" s="723"/>
    </row>
    <row s="13606" customFormat="1" customHeight="1" ht="0">
      <c r="A6" s="1571"/>
      <c r="B6" s="1571"/>
      <c r="C6" s="1571"/>
      <c r="D6" s="1571"/>
      <c r="E6" s="2390"/>
      <c r="F6" s="2390"/>
      <c r="G6" s="2390"/>
      <c r="H6" s="2390"/>
      <c r="I6" s="2391">
        <f>S5&amp;".1"</f>
      </c>
      <c r="J6" s="1571"/>
      <c r="K6" s="1571"/>
      <c r="L6" s="1574" t="s">
        <v>404</v>
      </c>
      <c r="M6" s="733"/>
      <c r="N6" s="733"/>
      <c r="O6" s="733"/>
      <c r="P6" s="2393">
        <v>1</v>
      </c>
      <c r="Q6" s="1559"/>
      <c r="R6" s="579"/>
      <c r="S6" s="1266"/>
      <c r="T6" s="1611"/>
      <c r="U6" s="1612"/>
      <c r="V6" s="2432"/>
      <c r="W6" s="2432"/>
      <c r="X6" s="2432"/>
      <c r="Y6" s="2432"/>
      <c r="Z6" s="2432"/>
      <c r="AA6" s="2433"/>
      <c r="AB6" s="2431"/>
      <c r="AC6" s="2432"/>
      <c r="AD6" s="2432"/>
      <c r="AE6" s="2432"/>
      <c r="AF6" s="2432"/>
      <c r="AG6" s="2432"/>
      <c r="AH6" s="2432"/>
      <c r="AI6" s="2432"/>
      <c r="AJ6" s="2432"/>
      <c r="AK6" s="2432"/>
      <c r="AL6" s="2432"/>
      <c r="AM6" s="2432"/>
      <c r="AN6" s="2432"/>
      <c r="AO6" s="2432"/>
      <c r="AP6" s="2432"/>
      <c r="AQ6" s="2432"/>
      <c r="AR6" s="2432"/>
      <c r="AS6" s="2432"/>
      <c r="AT6" s="2433"/>
      <c r="AU6" s="1613"/>
      <c r="AW6" s="723"/>
      <c r="AX6" s="723" t="str">
        <f>IF(T6="","",T6)</f>
        <v/>
      </c>
      <c r="AY6" s="723"/>
      <c r="AZ6" s="723"/>
    </row>
    <row s="13606" customFormat="1" customHeight="1" ht="0">
      <c r="A7" s="1571"/>
      <c r="B7" s="1571"/>
      <c r="C7" s="1571"/>
      <c r="D7" s="1571"/>
      <c r="E7" s="2390"/>
      <c r="F7" s="2390"/>
      <c r="G7" s="2390"/>
      <c r="H7" s="2390"/>
      <c r="I7" s="2392"/>
      <c r="J7" s="2391">
        <f>S5&amp;".1"</f>
      </c>
      <c r="K7" s="1571"/>
      <c r="L7" s="1574"/>
      <c r="M7" s="733"/>
      <c r="N7" s="733"/>
      <c r="O7" s="733"/>
      <c r="P7" s="2393"/>
      <c r="Q7" s="2393">
        <v>1</v>
      </c>
      <c r="R7" s="580"/>
      <c r="S7" s="1266"/>
      <c r="T7" s="1627"/>
      <c r="U7" s="1612"/>
      <c r="V7" s="2432"/>
      <c r="W7" s="2432"/>
      <c r="X7" s="2432"/>
      <c r="Y7" s="2432"/>
      <c r="Z7" s="2432"/>
      <c r="AA7" s="2433"/>
      <c r="AB7" s="2431"/>
      <c r="AC7" s="2432"/>
      <c r="AD7" s="2432"/>
      <c r="AE7" s="2432"/>
      <c r="AF7" s="2432"/>
      <c r="AG7" s="2432"/>
      <c r="AH7" s="2432"/>
      <c r="AI7" s="2432"/>
      <c r="AJ7" s="2432"/>
      <c r="AK7" s="2432"/>
      <c r="AL7" s="2432"/>
      <c r="AM7" s="2432"/>
      <c r="AN7" s="2432"/>
      <c r="AO7" s="2432"/>
      <c r="AP7" s="2432"/>
      <c r="AQ7" s="2432"/>
      <c r="AR7" s="2432"/>
      <c r="AS7" s="2432"/>
      <c r="AT7" s="2433"/>
      <c r="AU7" s="1613"/>
      <c r="AW7" s="723"/>
      <c r="AX7" s="723" t="str">
        <f>IF(T7="","",T7)</f>
        <v/>
      </c>
      <c r="AY7" s="723"/>
      <c r="AZ7" s="723"/>
    </row>
    <row customHeight="1" ht="21">
      <c r="A8" s="1591"/>
      <c r="B8" s="1591"/>
      <c r="C8" s="1591"/>
      <c r="D8" s="1591"/>
      <c r="E8" s="2390"/>
      <c r="F8" s="2390"/>
      <c r="G8" s="2390"/>
      <c r="H8" s="2390"/>
      <c r="I8" s="2392"/>
      <c r="J8" s="2392"/>
      <c r="K8" s="2391">
        <f>S5&amp;".1"</f>
      </c>
      <c r="L8" s="1592"/>
      <c r="P8" s="2393"/>
      <c r="Q8" s="2393"/>
      <c r="R8" s="2469">
        <v>1</v>
      </c>
      <c r="S8" s="2466">
        <f>$K8</f>
      </c>
      <c r="T8" s="2463"/>
      <c r="U8" s="523"/>
      <c r="V8" s="974"/>
      <c r="W8" s="1484"/>
      <c r="X8" s="2394"/>
      <c r="Y8" s="2264" t="s">
        <v>66</v>
      </c>
      <c r="Z8" s="2394"/>
      <c r="AA8" s="2264" t="s">
        <v>66</v>
      </c>
      <c r="AB8" s="2264" t="s">
        <v>56</v>
      </c>
      <c r="AC8" s="2462"/>
      <c r="AD8" s="2340">
        <v>1</v>
      </c>
      <c r="AE8" s="2475"/>
      <c r="AF8" s="2264" t="s">
        <v>56</v>
      </c>
      <c r="AG8" s="2462"/>
      <c r="AH8" s="2340">
        <v>1</v>
      </c>
      <c r="AI8" s="2475"/>
      <c r="AJ8" s="2264" t="s">
        <v>56</v>
      </c>
      <c r="AK8" s="534"/>
      <c r="AL8" s="1565">
        <v>1</v>
      </c>
      <c r="AM8" s="1626"/>
      <c r="AN8" s="974"/>
      <c r="AO8" s="1484"/>
      <c r="AP8" s="1962"/>
      <c r="AQ8" s="1687" t="s">
        <v>66</v>
      </c>
      <c r="AR8" s="1962"/>
      <c r="AS8" s="1687" t="s">
        <v>66</v>
      </c>
      <c r="AT8" s="1576"/>
      <c r="AU8" s="2419" t="s">
        <v>462</v>
      </c>
      <c r="AV8" s="734">
        <f>STRCHECKDATE(V11:AT11)</f>
      </c>
      <c r="AW8" s="723"/>
      <c r="AX8" s="723" t="str">
        <f>IF(T8="","",T8)</f>
        <v/>
      </c>
      <c r="AY8" s="723"/>
      <c r="AZ8" s="723"/>
    </row>
    <row customHeight="1" ht="11.25">
      <c r="A9" s="1591"/>
      <c r="B9" s="1591"/>
      <c r="C9" s="1591"/>
      <c r="D9" s="1591"/>
      <c r="E9" s="2390"/>
      <c r="F9" s="2390"/>
      <c r="G9" s="2390"/>
      <c r="H9" s="2390"/>
      <c r="I9" s="2392"/>
      <c r="J9" s="2392"/>
      <c r="K9" s="2391"/>
      <c r="L9" s="1592"/>
      <c r="P9" s="2393"/>
      <c r="Q9" s="2393"/>
      <c r="R9" s="2469"/>
      <c r="S9" s="2467"/>
      <c r="T9" s="2464"/>
      <c r="U9" s="523"/>
      <c r="V9" s="1621"/>
      <c r="W9" s="1625"/>
      <c r="X9" s="2394"/>
      <c r="Y9" s="2264"/>
      <c r="Z9" s="2394"/>
      <c r="AA9" s="2264"/>
      <c r="AB9" s="2264"/>
      <c r="AC9" s="2462"/>
      <c r="AD9" s="2340"/>
      <c r="AE9" s="2475"/>
      <c r="AF9" s="2264"/>
      <c r="AG9" s="2462"/>
      <c r="AH9" s="2340"/>
      <c r="AI9" s="2475"/>
      <c r="AJ9" s="2264"/>
      <c r="AK9" s="539"/>
      <c r="AL9" s="639"/>
      <c r="AM9" s="638" t="s">
        <v>463</v>
      </c>
      <c r="AN9" s="1621"/>
      <c r="AO9" s="1724"/>
      <c r="AP9" s="1621"/>
      <c r="AQ9" s="1621"/>
      <c r="AR9" s="1621"/>
      <c r="AS9" s="1621"/>
      <c r="AT9" s="1618"/>
      <c r="AU9" s="2420"/>
      <c r="AW9" s="723"/>
      <c r="AX9" s="723"/>
      <c r="AY9" s="723"/>
      <c r="AZ9" s="723"/>
    </row>
    <row customHeight="1" ht="11.25">
      <c r="A10" s="1591"/>
      <c r="B10" s="1591"/>
      <c r="C10" s="1591"/>
      <c r="D10" s="1591"/>
      <c r="E10" s="2390"/>
      <c r="F10" s="2390"/>
      <c r="G10" s="2390"/>
      <c r="H10" s="2390"/>
      <c r="I10" s="2392"/>
      <c r="J10" s="2392"/>
      <c r="K10" s="2391"/>
      <c r="L10" s="1592"/>
      <c r="P10" s="2393"/>
      <c r="Q10" s="2393"/>
      <c r="R10" s="2469"/>
      <c r="S10" s="2467"/>
      <c r="T10" s="2464"/>
      <c r="U10" s="523"/>
      <c r="V10" s="1621"/>
      <c r="W10" s="1625"/>
      <c r="X10" s="2394"/>
      <c r="Y10" s="2264"/>
      <c r="Z10" s="2394"/>
      <c r="AA10" s="2264"/>
      <c r="AB10" s="2264"/>
      <c r="AC10" s="2462"/>
      <c r="AD10" s="2340"/>
      <c r="AE10" s="2475"/>
      <c r="AF10" s="2264"/>
      <c r="AG10" s="517"/>
      <c r="AH10" s="638"/>
      <c r="AI10" s="638" t="s">
        <v>464</v>
      </c>
      <c r="AJ10" s="1621"/>
      <c r="AK10" s="1621"/>
      <c r="AL10" s="1621"/>
      <c r="AM10" s="1621"/>
      <c r="AN10" s="1621"/>
      <c r="AO10" s="1724"/>
      <c r="AP10" s="1621"/>
      <c r="AQ10" s="1621"/>
      <c r="AR10" s="1621"/>
      <c r="AS10" s="1621"/>
      <c r="AT10" s="1618"/>
      <c r="AU10" s="2420"/>
      <c r="AW10" s="723"/>
      <c r="AX10" s="723"/>
      <c r="AY10" s="723"/>
      <c r="AZ10" s="723"/>
    </row>
    <row customHeight="1" ht="11.25">
      <c r="A11" s="1591"/>
      <c r="B11" s="1591"/>
      <c r="C11" s="1591"/>
      <c r="D11" s="1591"/>
      <c r="E11" s="2390"/>
      <c r="F11" s="2390"/>
      <c r="G11" s="2390"/>
      <c r="H11" s="2390"/>
      <c r="I11" s="2392"/>
      <c r="J11" s="2392"/>
      <c r="K11" s="2391"/>
      <c r="L11" s="1592"/>
      <c r="P11" s="2393"/>
      <c r="Q11" s="2393"/>
      <c r="R11" s="2469"/>
      <c r="S11" s="2468"/>
      <c r="T11" s="2465"/>
      <c r="U11" s="523"/>
      <c r="V11" s="1621"/>
      <c r="W11" s="1624" t="str">
        <f>X8&amp;"-"&amp;Z8</f>
        <v>-</v>
      </c>
      <c r="X11" s="2395"/>
      <c r="Y11" s="2264"/>
      <c r="Z11" s="2395"/>
      <c r="AA11" s="2264"/>
      <c r="AB11" s="2264"/>
      <c r="AC11" s="535"/>
      <c r="AD11" s="537"/>
      <c r="AE11" s="638" t="s">
        <v>465</v>
      </c>
      <c r="AF11" s="1621"/>
      <c r="AG11" s="1621"/>
      <c r="AH11" s="1621"/>
      <c r="AI11" s="1621"/>
      <c r="AJ11" s="1621"/>
      <c r="AK11" s="1621"/>
      <c r="AL11" s="1621"/>
      <c r="AM11" s="1621"/>
      <c r="AN11" s="1621"/>
      <c r="AO11" s="1622" t="str">
        <f>AP8&amp;"-"&amp;AR8</f>
        <v>-</v>
      </c>
      <c r="AP11" s="1621"/>
      <c r="AQ11" s="1621"/>
      <c r="AR11" s="1621"/>
      <c r="AS11" s="1621"/>
      <c r="AT11" s="1577"/>
      <c r="AU11" s="2420"/>
      <c r="AW11" s="723"/>
      <c r="AX11" s="723" t="str">
        <f>IF(T11="","",T11)</f>
        <v/>
      </c>
      <c r="AY11" s="723"/>
      <c r="AZ11" s="723"/>
    </row>
    <row customHeight="1" ht="11.25">
      <c r="A12" s="1591"/>
      <c r="B12" s="1591"/>
      <c r="C12" s="1591"/>
      <c r="D12" s="1591"/>
      <c r="E12" s="2390"/>
      <c r="F12" s="2390"/>
      <c r="G12" s="2390"/>
      <c r="H12" s="2390"/>
      <c r="I12" s="2392"/>
      <c r="J12" s="2391"/>
      <c r="K12" s="1591"/>
      <c r="L12" s="1592"/>
      <c r="P12" s="2393"/>
      <c r="Q12" s="2393"/>
      <c r="R12" s="579"/>
      <c r="S12" s="1506"/>
      <c r="T12" s="510" t="s">
        <v>466</v>
      </c>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47"/>
      <c r="AU12" s="2421"/>
      <c r="AW12" s="723"/>
      <c r="AX12" s="723" t="str">
        <f>IF(T12="","",T12)</f>
        <v>Добавить строку</v>
      </c>
      <c r="AY12" s="723"/>
      <c r="AZ12" s="723"/>
    </row>
    <row s="13606" customFormat="1" customHeight="1" ht="0">
      <c r="A13" s="1571"/>
      <c r="B13" s="1571"/>
      <c r="C13" s="1571"/>
      <c r="D13" s="1571"/>
      <c r="E13" s="2390"/>
      <c r="F13" s="2390"/>
      <c r="G13" s="2390"/>
      <c r="H13" s="2390"/>
      <c r="I13" s="2391"/>
      <c r="J13" s="1571"/>
      <c r="K13" s="1571"/>
      <c r="L13" s="1574"/>
      <c r="M13" s="733"/>
      <c r="N13" s="733"/>
      <c r="O13" s="733"/>
      <c r="P13" s="2393"/>
      <c r="Q13" s="1559"/>
      <c r="R13" s="579"/>
      <c r="S13" s="1614"/>
      <c r="T13" s="1615"/>
      <c r="U13" s="1616"/>
      <c r="V13" s="1616"/>
      <c r="W13" s="1616"/>
      <c r="X13" s="1616"/>
      <c r="Y13" s="1616"/>
      <c r="Z13" s="1616"/>
      <c r="AA13" s="1616"/>
      <c r="AB13" s="1616"/>
      <c r="AC13" s="1616"/>
      <c r="AD13" s="1616"/>
      <c r="AE13" s="1616"/>
      <c r="AF13" s="1616"/>
      <c r="AG13" s="1616"/>
      <c r="AH13" s="1616"/>
      <c r="AI13" s="1616"/>
      <c r="AJ13" s="1616"/>
      <c r="AK13" s="1616"/>
      <c r="AL13" s="1616"/>
      <c r="AM13" s="1616"/>
      <c r="AN13" s="1616"/>
      <c r="AO13" s="1616"/>
      <c r="AP13" s="1616"/>
      <c r="AQ13" s="1616"/>
      <c r="AR13" s="1616"/>
      <c r="AS13" s="1616"/>
      <c r="AT13" s="1616"/>
      <c r="AU13" s="1617"/>
      <c r="AW13" s="723"/>
      <c r="AX13" s="723" t="str">
        <f>IF(T13="","",T13)</f>
        <v/>
      </c>
      <c r="AY13" s="723"/>
      <c r="AZ13" s="723"/>
    </row>
    <row s="13606" customFormat="1" customHeight="1" ht="0">
      <c r="A14" s="1571"/>
      <c r="B14" s="1571"/>
      <c r="C14" s="1571"/>
      <c r="D14" s="1571"/>
      <c r="E14" s="2390"/>
      <c r="F14" s="2390"/>
      <c r="G14" s="2390"/>
      <c r="H14" s="2389"/>
      <c r="I14" s="1571"/>
      <c r="J14" s="1571"/>
      <c r="K14" s="1571"/>
      <c r="L14" s="1574"/>
      <c r="M14" s="1543"/>
      <c r="N14" s="1543"/>
      <c r="O14" s="741"/>
      <c r="P14" s="603"/>
      <c r="Q14" s="1572"/>
      <c r="R14" s="162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7"/>
      <c r="AW14" s="723"/>
      <c r="AX14" s="723" t="str">
        <f>IF(T14="","",T14)</f>
        <v/>
      </c>
      <c r="AY14" s="723"/>
      <c r="AZ14" s="723"/>
    </row>
    <row s="13514" customFormat="1" customHeight="1" ht="0">
      <c r="A15" s="1571"/>
      <c r="B15" s="1571"/>
      <c r="C15" s="1571"/>
      <c r="D15" s="1542"/>
      <c r="E15" s="2390"/>
      <c r="F15" s="2390"/>
      <c r="G15" s="2389"/>
      <c r="H15" s="1542"/>
      <c r="I15" s="1542"/>
      <c r="J15" s="1542"/>
      <c r="K15" s="1542"/>
      <c r="L15" s="1567"/>
      <c r="M15" s="1543"/>
      <c r="N15" s="1543"/>
      <c r="P15" s="1544"/>
      <c r="Q15" s="1545"/>
      <c r="R15" s="1544"/>
      <c r="S15" s="1550"/>
      <c r="T15" s="1553" t="s">
        <v>415</v>
      </c>
      <c r="U15" s="1552"/>
      <c r="V15" s="1552"/>
      <c r="W15" s="1552"/>
      <c r="X15" s="1552"/>
      <c r="Y15" s="1552"/>
      <c r="Z15" s="1552"/>
      <c r="AA15" s="1552"/>
      <c r="AB15" s="1552"/>
      <c r="AC15" s="1552"/>
      <c r="AD15" s="1552"/>
      <c r="AE15" s="1552"/>
      <c r="AF15" s="1552"/>
      <c r="AG15" s="1552"/>
      <c r="AH15" s="1552"/>
      <c r="AI15" s="1552"/>
      <c r="AJ15" s="1552"/>
      <c r="AK15" s="1552"/>
      <c r="AL15" s="1552"/>
      <c r="AM15" s="1552"/>
      <c r="AN15" s="1552"/>
      <c r="AO15" s="1552"/>
      <c r="AP15" s="1552"/>
      <c r="AQ15" s="1552"/>
      <c r="AR15" s="1552"/>
      <c r="AS15" s="1552"/>
      <c r="AT15" s="1552"/>
      <c r="AU15" s="1552"/>
      <c r="AW15" s="1012"/>
      <c r="AX15" s="1012" t="str">
        <f>IF(T15="","",T15)</f>
        <v>Добавить источник для дифференциации</v>
      </c>
      <c r="AY15" s="1012"/>
      <c r="AZ15" s="1012"/>
    </row>
    <row s="13514" customFormat="1" customHeight="1" ht="0">
      <c r="A16" s="1571"/>
      <c r="B16" s="1571"/>
      <c r="C16" s="1542"/>
      <c r="D16" s="1542"/>
      <c r="E16" s="2390"/>
      <c r="F16" s="2389"/>
      <c r="G16" s="1542"/>
      <c r="H16" s="1542"/>
      <c r="I16" s="1542"/>
      <c r="J16" s="1542"/>
      <c r="K16" s="1542"/>
      <c r="L16" s="1567"/>
      <c r="M16" s="1549"/>
      <c r="N16" s="1549"/>
      <c r="P16" s="1544"/>
      <c r="Q16" s="1545"/>
      <c r="R16" s="1544"/>
      <c r="S16" s="1550"/>
      <c r="T16" s="1553" t="s">
        <v>252</v>
      </c>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W16" s="1012"/>
      <c r="AX16" s="1012" t="str">
        <f>IF(T16="","",T16)</f>
        <v>Добавить централизованную систему для дифференциации</v>
      </c>
      <c r="AY16" s="1012"/>
      <c r="AZ16" s="1012"/>
    </row>
    <row s="13606" customFormat="1" customHeight="1" ht="0">
      <c r="A17" s="1571"/>
      <c r="B17" s="1571"/>
      <c r="C17" s="1571"/>
      <c r="D17" s="1571"/>
      <c r="E17" s="2389"/>
      <c r="F17" s="1571"/>
      <c r="G17" s="1571"/>
      <c r="H17" s="1571"/>
      <c r="I17" s="1571"/>
      <c r="J17" s="1571"/>
      <c r="K17" s="1571"/>
      <c r="L17" s="1574"/>
      <c r="M17" s="1549"/>
      <c r="N17" s="1549"/>
      <c r="O17" s="741"/>
      <c r="P17" s="603"/>
      <c r="Q17" s="1572"/>
      <c r="R17" s="603"/>
      <c r="S17" s="1550"/>
      <c r="T17" s="1553" t="s">
        <v>253</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W17" s="723"/>
      <c r="AX17" s="723" t="str">
        <f>IF(T17="","",T17)</f>
        <v>Добавить территорию для дифференциации</v>
      </c>
      <c r="AY17" s="723"/>
      <c r="AZ17" s="723"/>
    </row>
    <row customHeight="1" ht="14.25">
      <c r="AA18" s="550"/>
      <c r="AS18" s="550"/>
    </row>
    <row customHeight="1" ht="14.25">
      <c r="AB19" s="1552" t="s">
        <v>56</v>
      </c>
      <c r="AC19" s="1729"/>
      <c r="AD19" s="771">
        <v>1</v>
      </c>
      <c r="AE19" s="1730"/>
      <c r="AF19" s="1552" t="s">
        <v>56</v>
      </c>
      <c r="AG19" s="1729"/>
      <c r="AH19" s="771">
        <v>1</v>
      </c>
      <c r="AI19" s="1730"/>
      <c r="AJ19" s="1552" t="s">
        <v>56</v>
      </c>
      <c r="AK19" s="1731"/>
      <c r="AL19" s="771">
        <v>1</v>
      </c>
      <c r="AM19" s="1734"/>
      <c r="AN19" s="1631"/>
      <c r="AO19" s="1632"/>
      <c r="AP19" s="1964"/>
      <c r="AQ19" s="1688" t="s">
        <v>66</v>
      </c>
      <c r="AR19" s="1964"/>
      <c r="AS19" s="1688" t="s">
        <v>66</v>
      </c>
    </row>
    <row customHeight="1" ht="14.25">
      <c r="AV20" s="719"/>
      <c r="AW20" s="719"/>
      <c r="AX20" s="719"/>
      <c r="AY20" s="719"/>
      <c r="AZ20" s="719"/>
    </row>
    <row customHeight="1" ht="14.25">
      <c r="O21" s="1595" t="s">
        <v>416</v>
      </c>
      <c r="X21" s="1573"/>
      <c r="Z21" s="1573"/>
      <c r="AA21" s="550"/>
      <c r="AP21" s="1573"/>
      <c r="AR21" s="1573"/>
      <c r="AS21" s="550"/>
      <c r="AV21" s="719"/>
      <c r="AW21" s="719"/>
      <c r="AX21" s="719"/>
      <c r="AY21" s="719"/>
      <c r="AZ21" s="719"/>
    </row>
    <row customHeight="1" ht="14.25">
      <c r="AA22" s="550"/>
      <c r="AS22" s="550"/>
      <c r="AV22" s="719"/>
      <c r="AW22" s="719"/>
      <c r="AX22" s="719"/>
      <c r="AY22" s="719"/>
      <c r="AZ22" s="719"/>
    </row>
    <row s="13762" customFormat="1" customHeight="1" ht="14.25">
      <c r="M23" s="1736"/>
      <c r="N23" s="1736"/>
      <c r="O23" s="1737" t="s">
        <v>417</v>
      </c>
      <c r="P23" s="1736"/>
      <c r="Q23" s="1738"/>
      <c r="R23" s="1738"/>
      <c r="Y23" s="1735" t="s">
        <v>419</v>
      </c>
      <c r="AA23" s="1735" t="s">
        <v>420</v>
      </c>
      <c r="AB23" s="1735" t="s">
        <v>467</v>
      </c>
      <c r="AE23" s="1735" t="s">
        <v>468</v>
      </c>
      <c r="AF23" s="1735" t="s">
        <v>467</v>
      </c>
      <c r="AI23" s="1735" t="s">
        <v>469</v>
      </c>
      <c r="AJ23" s="1735" t="s">
        <v>467</v>
      </c>
      <c r="AM23" s="1735" t="s">
        <v>470</v>
      </c>
      <c r="AQ23" s="1735" t="s">
        <v>419</v>
      </c>
      <c r="AS23" s="1735" t="s">
        <v>420</v>
      </c>
      <c r="AV23" s="1739"/>
      <c r="AW23" s="1739"/>
      <c r="AX23" s="1739"/>
      <c r="AY23" s="1739"/>
      <c r="AZ23" s="1739"/>
    </row>
    <row customHeight="1" ht="14.25">
      <c r="O24" s="1592"/>
      <c r="AV24" s="719"/>
      <c r="AW24" s="719"/>
      <c r="AX24" s="719"/>
      <c r="AY24" s="719"/>
      <c r="AZ24" s="719"/>
    </row>
    <row customHeight="1" ht="14.25">
      <c r="O25" s="1592"/>
      <c r="AV25" s="719"/>
      <c r="AW25" s="719"/>
      <c r="AX25" s="719"/>
      <c r="AY25" s="719"/>
      <c r="AZ25" s="719"/>
    </row>
    <row customHeight="1" ht="14.25">
      <c r="Q26" s="514"/>
      <c r="R26" s="599"/>
      <c r="S26" s="1503"/>
      <c r="T26" s="586"/>
      <c r="U26" s="586"/>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row>
    <row customHeight="1" ht="26.25">
      <c r="Q27" s="514"/>
      <c r="R27" s="599"/>
      <c r="S27" s="24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2"/>
      <c r="U27" s="2422"/>
      <c r="V27" s="2422"/>
      <c r="W27" s="2422"/>
      <c r="X27" s="2422"/>
      <c r="Y27" s="2422"/>
      <c r="Z27" s="2422"/>
      <c r="AA27" s="2422"/>
      <c r="AB27" s="2422"/>
      <c r="AC27" s="2422"/>
      <c r="AD27" s="2422"/>
      <c r="AE27" s="2422"/>
      <c r="AF27" s="2422"/>
      <c r="AG27" s="2422"/>
      <c r="AH27" s="2422"/>
      <c r="AI27" s="2422"/>
      <c r="AJ27" s="2422"/>
      <c r="AK27" s="2422"/>
      <c r="AL27" s="2422"/>
      <c r="AM27" s="2422"/>
      <c r="AN27" s="2422"/>
      <c r="AO27" s="2422"/>
      <c r="AP27" s="2422"/>
      <c r="AQ27" s="2422"/>
      <c r="AR27" s="2422"/>
      <c r="AS27" s="1470"/>
    </row>
    <row customHeight="1" ht="14.25">
      <c r="Q28" s="514"/>
      <c r="R28" s="599"/>
      <c r="S28" s="2423" t="str">
        <f>IF(org=0,"Не определено",org)</f>
        <v>ООО "Новая Энергетика"</v>
      </c>
      <c r="T28" s="2423"/>
      <c r="U28" s="2423"/>
      <c r="V28" s="2423"/>
      <c r="W28" s="2423"/>
      <c r="X28" s="2423"/>
      <c r="Y28" s="2423"/>
      <c r="Z28" s="2423"/>
      <c r="AA28" s="2423"/>
      <c r="AB28" s="2423"/>
      <c r="AC28" s="2423"/>
      <c r="AD28" s="2423"/>
      <c r="AE28" s="2423"/>
      <c r="AF28" s="2423"/>
      <c r="AG28" s="2423"/>
      <c r="AH28" s="2423"/>
      <c r="AI28" s="2423"/>
      <c r="AJ28" s="2423"/>
      <c r="AK28" s="2423"/>
      <c r="AL28" s="2423"/>
      <c r="AM28" s="2423"/>
      <c r="AN28" s="2423"/>
      <c r="AO28" s="2423"/>
      <c r="AP28" s="2423"/>
      <c r="AQ28" s="2423"/>
      <c r="AR28" s="2423"/>
      <c r="AS28" s="1470"/>
    </row>
    <row customHeight="1" ht="14.25">
      <c r="Q29" s="514"/>
      <c r="R29" s="599"/>
      <c r="S29" s="1503"/>
      <c r="T29" s="586"/>
      <c r="U29" s="586"/>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732"/>
    </row>
    <row s="13547" customFormat="1" customHeight="1" ht="25.5">
      <c r="A30" s="1596"/>
      <c r="B30" s="1596"/>
      <c r="C30" s="1596"/>
      <c r="D30" s="1596"/>
      <c r="E30" s="1596"/>
      <c r="F30" s="1596"/>
      <c r="G30" s="1596"/>
      <c r="H30" s="1596"/>
      <c r="I30" s="1596"/>
      <c r="J30" s="1596"/>
      <c r="K30" s="1596"/>
      <c r="L30" s="1597"/>
      <c r="M30" s="1596"/>
      <c r="N30" s="1596"/>
      <c r="O30" s="1596"/>
      <c r="P30" s="1596"/>
      <c r="Q30" s="1596"/>
      <c r="S30" s="2380" t="s">
        <v>38</v>
      </c>
      <c r="T30" s="2380"/>
      <c r="U30" s="1600"/>
      <c r="V30" s="2382" t="str">
        <f>IF(TITLE_NAME_OR_PR_CHANGE="",IF(TITLE_NAME_OR_PR="","",TITLE_NAME_OR_PR),TITLE_NAME_OR_PR_CHANGE)</f>
        <v>Агенство по тарифам Приморского края</v>
      </c>
      <c r="W30" s="2382"/>
      <c r="X30" s="2382"/>
      <c r="Y30" s="2382"/>
      <c r="Z30" s="2382"/>
      <c r="AA30" s="549"/>
      <c r="AB30" s="2382" t="str">
        <f>IF(TITLE_NAME_OR_PR_CHANGE="",IF(TITLE_NAME_OR_PR="","",TITLE_NAME_OR_PR),TITLE_NAME_OR_PR_CHANGE)</f>
        <v>Агенство по тарифам Приморского края</v>
      </c>
      <c r="AC30" s="2382"/>
      <c r="AD30" s="2382"/>
      <c r="AE30" s="2382"/>
      <c r="AF30" s="2382"/>
      <c r="AG30" s="2382"/>
      <c r="AH30" s="2382"/>
      <c r="AI30" s="2382"/>
      <c r="AJ30" s="2382"/>
      <c r="AK30" s="2382"/>
      <c r="AL30" s="2382"/>
      <c r="AM30" s="2382"/>
      <c r="AN30" s="2382"/>
      <c r="AO30" s="2382"/>
      <c r="AP30" s="2382"/>
      <c r="AQ30" s="2382"/>
      <c r="AR30" s="2382"/>
      <c r="AS30" s="549"/>
      <c r="AT30" s="549"/>
      <c r="AU30" s="503"/>
      <c r="AV30" s="591"/>
      <c r="AW30" s="591"/>
      <c r="AX30" s="591"/>
      <c r="AY30" s="591"/>
      <c r="AZ30" s="591"/>
    </row>
    <row s="13547" customFormat="1" customHeight="1" ht="18.75">
      <c r="A31" s="1596"/>
      <c r="B31" s="1596"/>
      <c r="C31" s="1596"/>
      <c r="D31" s="1596"/>
      <c r="E31" s="1596"/>
      <c r="F31" s="1596"/>
      <c r="G31" s="1596"/>
      <c r="H31" s="1596"/>
      <c r="I31" s="1596"/>
      <c r="J31" s="1596"/>
      <c r="K31" s="1596"/>
      <c r="L31" s="1597"/>
      <c r="M31" s="1596"/>
      <c r="N31" s="1596"/>
      <c r="O31" s="1596"/>
      <c r="P31" s="1596"/>
      <c r="Q31" s="1596"/>
      <c r="S31" s="2380" t="s">
        <v>422</v>
      </c>
      <c r="T31" s="2380"/>
      <c r="U31" s="1600"/>
      <c r="V31" s="2381" t="str">
        <f>IF(TITLE_DATE_PR_CHANGE="",IF(TITLE_DATE_PR="","",TITLE_DATE_PR),TITLE_DATE_PR_CHANGE)</f>
        <v>45281.66994212963</v>
      </c>
      <c r="W31" s="2381"/>
      <c r="X31" s="2381"/>
      <c r="Y31" s="2381"/>
      <c r="Z31" s="2381"/>
      <c r="AA31" s="549"/>
      <c r="AB31" s="2381" t="str">
        <f>IF(TITLE_DATE_PR_CHANGE="",IF(TITLE_DATE_PR="","",TITLE_DATE_PR),TITLE_DATE_PR_CHANGE)</f>
        <v>45281.66994212963</v>
      </c>
      <c r="AC31" s="2381"/>
      <c r="AD31" s="2381"/>
      <c r="AE31" s="2381"/>
      <c r="AF31" s="2381"/>
      <c r="AG31" s="2381"/>
      <c r="AH31" s="2381"/>
      <c r="AI31" s="2381"/>
      <c r="AJ31" s="2381"/>
      <c r="AK31" s="2381"/>
      <c r="AL31" s="2381"/>
      <c r="AM31" s="2381"/>
      <c r="AN31" s="2381"/>
      <c r="AO31" s="2381"/>
      <c r="AP31" s="2381"/>
      <c r="AQ31" s="2381"/>
      <c r="AR31" s="2381"/>
      <c r="AS31" s="549"/>
      <c r="AT31" s="549"/>
      <c r="AU31" s="503"/>
      <c r="AV31" s="591"/>
      <c r="AW31" s="591"/>
      <c r="AX31" s="591"/>
      <c r="AY31" s="591"/>
      <c r="AZ31" s="591"/>
    </row>
    <row s="13547" customFormat="1" customHeight="1" ht="18.75">
      <c r="A32" s="1596"/>
      <c r="B32" s="1596"/>
      <c r="C32" s="1596"/>
      <c r="D32" s="1596"/>
      <c r="E32" s="1596"/>
      <c r="F32" s="1596"/>
      <c r="G32" s="1596"/>
      <c r="H32" s="1596"/>
      <c r="I32" s="1596"/>
      <c r="J32" s="1596"/>
      <c r="K32" s="1596"/>
      <c r="L32" s="1597"/>
      <c r="M32" s="1596"/>
      <c r="N32" s="1596"/>
      <c r="O32" s="1596"/>
      <c r="P32" s="1596"/>
      <c r="Q32" s="1596"/>
      <c r="S32" s="2380" t="s">
        <v>423</v>
      </c>
      <c r="T32" s="2380"/>
      <c r="U32" s="1600"/>
      <c r="V32" s="2382" t="str">
        <f>IF(TITLE_NUMBER_PR_CHANGE="",IF(TITLE_NUMBER_PR="","",TITLE_NUMBER_PR),TITLE_NUMBER_PR_CHANGE)</f>
        <v>72/1</v>
      </c>
      <c r="W32" s="2382"/>
      <c r="X32" s="2382"/>
      <c r="Y32" s="2382"/>
      <c r="Z32" s="2382"/>
      <c r="AA32" s="549"/>
      <c r="AB32" s="2382" t="str">
        <f>IF(TITLE_NUMBER_PR_CHANGE="",IF(TITLE_NUMBER_PR="","",TITLE_NUMBER_PR),TITLE_NUMBER_PR_CHANGE)</f>
        <v>72/1</v>
      </c>
      <c r="AC32" s="2382"/>
      <c r="AD32" s="2382"/>
      <c r="AE32" s="2382"/>
      <c r="AF32" s="2382"/>
      <c r="AG32" s="2382"/>
      <c r="AH32" s="2382"/>
      <c r="AI32" s="2382"/>
      <c r="AJ32" s="2382"/>
      <c r="AK32" s="2382"/>
      <c r="AL32" s="2382"/>
      <c r="AM32" s="2382"/>
      <c r="AN32" s="2382"/>
      <c r="AO32" s="2382"/>
      <c r="AP32" s="2382"/>
      <c r="AQ32" s="2382"/>
      <c r="AR32" s="2382"/>
      <c r="AS32" s="549"/>
      <c r="AT32" s="549"/>
      <c r="AU32" s="503"/>
      <c r="AV32" s="591"/>
      <c r="AW32" s="591"/>
      <c r="AX32" s="591"/>
      <c r="AY32" s="591"/>
      <c r="AZ32" s="591"/>
    </row>
    <row s="13547" customFormat="1" customHeight="1" ht="18.75">
      <c r="A33" s="1596"/>
      <c r="B33" s="1596"/>
      <c r="C33" s="1596"/>
      <c r="D33" s="1596"/>
      <c r="E33" s="1596"/>
      <c r="F33" s="1596"/>
      <c r="G33" s="1596"/>
      <c r="H33" s="1596"/>
      <c r="I33" s="1596"/>
      <c r="J33" s="1596"/>
      <c r="K33" s="1596"/>
      <c r="L33" s="1597"/>
      <c r="M33" s="1596"/>
      <c r="N33" s="1596"/>
      <c r="O33" s="1596"/>
      <c r="P33" s="1596"/>
      <c r="Q33" s="1596"/>
      <c r="S33" s="2380" t="s">
        <v>40</v>
      </c>
      <c r="T33" s="2380"/>
      <c r="U33" s="1600"/>
      <c r="V33" s="2382" t="str">
        <f>IF(TITLE_IST_PUB_CHANGE="",IF(TITLE_IST_PUB="","",TITLE_IST_PUB),TITLE_IST_PUB_CHANGE)</f>
        <v>http://pravo.gov.ru Номер опубликования: 2501202312270032 Дата опубликования: 27.12.2023</v>
      </c>
      <c r="W33" s="2382"/>
      <c r="X33" s="2382"/>
      <c r="Y33" s="2382"/>
      <c r="Z33" s="2382"/>
      <c r="AA33" s="549"/>
      <c r="AB33" s="2382" t="str">
        <f>IF(TITLE_IST_PUB_CHANGE="",IF(TITLE_IST_PUB="","",TITLE_IST_PUB),TITLE_IST_PUB_CHANGE)</f>
        <v>http://pravo.gov.ru Номер опубликования: 2501202312270032 Дата опубликования: 27.12.2023</v>
      </c>
      <c r="AC33" s="2382"/>
      <c r="AD33" s="2382"/>
      <c r="AE33" s="2382"/>
      <c r="AF33" s="2382"/>
      <c r="AG33" s="2382"/>
      <c r="AH33" s="2382"/>
      <c r="AI33" s="2382"/>
      <c r="AJ33" s="2382"/>
      <c r="AK33" s="2382"/>
      <c r="AL33" s="2382"/>
      <c r="AM33" s="2382"/>
      <c r="AN33" s="2382"/>
      <c r="AO33" s="2382"/>
      <c r="AP33" s="2382"/>
      <c r="AQ33" s="2382"/>
      <c r="AR33" s="2382"/>
      <c r="AS33" s="549"/>
      <c r="AT33" s="549"/>
      <c r="AU33" s="503"/>
      <c r="AV33" s="591"/>
      <c r="AW33" s="591"/>
      <c r="AX33" s="591"/>
      <c r="AY33" s="591"/>
      <c r="AZ33" s="591"/>
    </row>
    <row customHeight="1" ht="14.25" hidden="1">
      <c r="Q34" s="514"/>
      <c r="R34" s="599"/>
      <c r="S34" s="1503"/>
      <c r="T34" s="586"/>
      <c r="U34" s="586"/>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732"/>
    </row>
    <row s="13547" customFormat="1" customHeight="1" ht="18.75" hidden="1">
      <c r="A35" s="1596"/>
      <c r="B35" s="1596"/>
      <c r="C35" s="1596"/>
      <c r="D35" s="1596"/>
      <c r="E35" s="1596"/>
      <c r="F35" s="1596"/>
      <c r="G35" s="1596"/>
      <c r="H35" s="1596"/>
      <c r="I35" s="1596"/>
      <c r="J35" s="1596"/>
      <c r="K35" s="1596"/>
      <c r="L35" s="1597"/>
      <c r="M35" s="1596"/>
      <c r="N35" s="1596"/>
      <c r="O35" s="1596"/>
      <c r="P35" s="1596"/>
      <c r="Q35" s="1596"/>
      <c r="S35" s="2380" t="s">
        <v>422</v>
      </c>
      <c r="T35" s="2380"/>
      <c r="U35" s="1600"/>
      <c r="V35" s="2381" t="str">
        <f>IF(TITLE_DATE_PR_CHANGE="",IF(TITLE_DATE_PR="","",TITLE_DATE_PR),TITLE_DATE_PR_CHANGE)</f>
        <v>45281.66994212963</v>
      </c>
      <c r="W35" s="2381"/>
      <c r="X35" s="2381"/>
      <c r="Y35" s="2381"/>
      <c r="Z35" s="2381"/>
      <c r="AA35" s="549"/>
      <c r="AB35" s="2381" t="str">
        <f>IF(TITLE_DATE_PR_CHANGE="",IF(TITLE_DATE_PR="","",TITLE_DATE_PR),TITLE_DATE_PR_CHANGE)</f>
        <v>45281.66994212963</v>
      </c>
      <c r="AC35" s="2381"/>
      <c r="AD35" s="2381"/>
      <c r="AE35" s="2381"/>
      <c r="AF35" s="2381"/>
      <c r="AG35" s="2381"/>
      <c r="AH35" s="2381"/>
      <c r="AI35" s="2381"/>
      <c r="AJ35" s="2381"/>
      <c r="AK35" s="2381"/>
      <c r="AL35" s="2381"/>
      <c r="AM35" s="2381"/>
      <c r="AN35" s="2381"/>
      <c r="AO35" s="2381"/>
      <c r="AP35" s="2381"/>
      <c r="AQ35" s="2381"/>
      <c r="AR35" s="2381"/>
      <c r="AS35" s="549"/>
      <c r="AT35" s="549"/>
      <c r="AU35" s="503"/>
      <c r="AV35" s="591"/>
      <c r="AW35" s="591"/>
      <c r="AX35" s="591"/>
      <c r="AY35" s="591"/>
      <c r="AZ35" s="591"/>
    </row>
    <row s="13547" customFormat="1" customHeight="1" ht="18" hidden="1">
      <c r="A36" s="1596"/>
      <c r="B36" s="1596"/>
      <c r="C36" s="1596"/>
      <c r="D36" s="1596"/>
      <c r="E36" s="1596"/>
      <c r="F36" s="1596"/>
      <c r="G36" s="1596"/>
      <c r="H36" s="1596"/>
      <c r="I36" s="1596"/>
      <c r="J36" s="1596"/>
      <c r="K36" s="1596"/>
      <c r="L36" s="1597"/>
      <c r="M36" s="1596"/>
      <c r="N36" s="1596"/>
      <c r="O36" s="1596"/>
      <c r="P36" s="1596"/>
      <c r="Q36" s="1596"/>
      <c r="S36" s="2380" t="s">
        <v>423</v>
      </c>
      <c r="T36" s="2380"/>
      <c r="U36" s="1600"/>
      <c r="V36" s="2382" t="str">
        <f>IF(TITLE_NUMBER_PR_CHANGE="",IF(TITLE_NUMBER_PR="","",TITLE_NUMBER_PR),TITLE_NUMBER_PR_CHANGE)</f>
        <v>72/1</v>
      </c>
      <c r="W36" s="2382"/>
      <c r="X36" s="2382"/>
      <c r="Y36" s="2382"/>
      <c r="Z36" s="2382"/>
      <c r="AA36" s="549"/>
      <c r="AB36" s="2382" t="str">
        <f>IF(TITLE_NUMBER_PR_CHANGE="",IF(TITLE_NUMBER_PR="","",TITLE_NUMBER_PR),TITLE_NUMBER_PR_CHANGE)</f>
        <v>72/1</v>
      </c>
      <c r="AC36" s="2382"/>
      <c r="AD36" s="2382"/>
      <c r="AE36" s="2382"/>
      <c r="AF36" s="2382"/>
      <c r="AG36" s="2382"/>
      <c r="AH36" s="2382"/>
      <c r="AI36" s="2382"/>
      <c r="AJ36" s="2382"/>
      <c r="AK36" s="2382"/>
      <c r="AL36" s="2382"/>
      <c r="AM36" s="2382"/>
      <c r="AN36" s="2382"/>
      <c r="AO36" s="2382"/>
      <c r="AP36" s="2382"/>
      <c r="AQ36" s="2382"/>
      <c r="AR36" s="2382"/>
      <c r="AS36" s="549"/>
      <c r="AT36" s="549"/>
      <c r="AU36" s="503"/>
      <c r="AV36" s="591"/>
      <c r="AW36" s="591"/>
      <c r="AX36" s="591"/>
      <c r="AY36" s="591"/>
      <c r="AZ36" s="591"/>
    </row>
    <row s="13547" customFormat="1" customHeight="1" ht="0.75">
      <c r="A37" s="1596"/>
      <c r="B37" s="1596"/>
      <c r="C37" s="1596"/>
      <c r="D37" s="1596"/>
      <c r="E37" s="1596"/>
      <c r="F37" s="1596"/>
      <c r="G37" s="1596"/>
      <c r="H37" s="1596"/>
      <c r="I37" s="1596"/>
      <c r="J37" s="1596"/>
      <c r="K37" s="1596"/>
      <c r="L37" s="1597"/>
      <c r="M37" s="1596"/>
      <c r="N37" s="1596"/>
      <c r="O37" s="1596"/>
      <c r="P37" s="1596"/>
      <c r="Q37" s="1596"/>
      <c r="S37" s="546"/>
      <c r="T37" s="546"/>
      <c r="U37" s="1568"/>
      <c r="V37" s="549"/>
      <c r="W37" s="549"/>
      <c r="X37" s="549"/>
      <c r="Y37" s="549"/>
      <c r="Z37" s="549"/>
      <c r="AA37" s="501" t="s">
        <v>426</v>
      </c>
      <c r="AB37" s="549"/>
      <c r="AC37" s="549"/>
      <c r="AD37" s="549"/>
      <c r="AE37" s="549"/>
      <c r="AF37" s="549"/>
      <c r="AG37" s="549"/>
      <c r="AH37" s="549"/>
      <c r="AI37" s="549"/>
      <c r="AJ37" s="549"/>
      <c r="AK37" s="549"/>
      <c r="AL37" s="549"/>
      <c r="AM37" s="549"/>
      <c r="AN37" s="549"/>
      <c r="AO37" s="549"/>
      <c r="AP37" s="549"/>
      <c r="AQ37" s="549"/>
      <c r="AR37" s="549"/>
      <c r="AS37" s="501" t="s">
        <v>426</v>
      </c>
      <c r="AV37" s="591"/>
      <c r="AW37" s="591"/>
      <c r="AX37" s="591"/>
      <c r="AY37" s="591"/>
      <c r="AZ37" s="591"/>
    </row>
    <row customHeight="1" ht="14.25">
      <c r="Q38" s="514"/>
      <c r="R38" s="599"/>
      <c r="S38" s="1503"/>
      <c r="T38" s="586"/>
      <c r="U38" s="1471"/>
      <c r="V38" s="2406"/>
      <c r="W38" s="2406"/>
      <c r="X38" s="2406"/>
      <c r="Y38" s="2406"/>
      <c r="Z38" s="2406"/>
      <c r="AA38" s="2406"/>
      <c r="AB38" s="2406"/>
      <c r="AC38" s="2406"/>
      <c r="AD38" s="2406"/>
      <c r="AE38" s="2406"/>
      <c r="AF38" s="2406"/>
      <c r="AG38" s="2406"/>
      <c r="AH38" s="2406"/>
      <c r="AI38" s="2406"/>
      <c r="AJ38" s="2406"/>
      <c r="AK38" s="2406"/>
      <c r="AL38" s="2406"/>
      <c r="AM38" s="2406"/>
      <c r="AN38" s="2406"/>
      <c r="AO38" s="2406"/>
      <c r="AP38" s="2406"/>
      <c r="AQ38" s="2406"/>
      <c r="AR38" s="2406"/>
      <c r="AS38" s="2406"/>
    </row>
    <row customHeight="1" ht="14.25">
      <c r="Q39" s="514"/>
      <c r="R39" s="599"/>
      <c r="S39" s="2254" t="s">
        <v>301</v>
      </c>
      <c r="T39" s="2254"/>
      <c r="U39" s="2254"/>
      <c r="V39" s="2254"/>
      <c r="W39" s="2254"/>
      <c r="X39" s="2254"/>
      <c r="Y39" s="2254"/>
      <c r="Z39" s="2254"/>
      <c r="AA39" s="2254"/>
      <c r="AB39" s="2311"/>
      <c r="AC39" s="2311"/>
      <c r="AD39" s="2311"/>
      <c r="AE39" s="2311"/>
      <c r="AF39" s="2254"/>
      <c r="AG39" s="2254"/>
      <c r="AH39" s="2254"/>
      <c r="AI39" s="2254"/>
      <c r="AJ39" s="2254"/>
      <c r="AK39" s="2254"/>
      <c r="AL39" s="2254"/>
      <c r="AM39" s="2254"/>
      <c r="AN39" s="2254"/>
      <c r="AO39" s="2254"/>
      <c r="AP39" s="2254"/>
      <c r="AQ39" s="2254"/>
      <c r="AR39" s="2254"/>
      <c r="AS39" s="2254"/>
      <c r="AT39" s="2254"/>
      <c r="AU39" s="2254" t="s">
        <v>302</v>
      </c>
    </row>
    <row customHeight="1" ht="14.25">
      <c r="Q40" s="514"/>
      <c r="R40" s="599"/>
      <c r="S40" s="2407" t="s">
        <v>87</v>
      </c>
      <c r="T40" s="2344" t="s">
        <v>471</v>
      </c>
      <c r="U40" s="524"/>
      <c r="V40" s="2409"/>
      <c r="W40" s="2409"/>
      <c r="X40" s="2409"/>
      <c r="Y40" s="2409"/>
      <c r="Z40" s="2410"/>
      <c r="AA40" s="2471" t="s">
        <v>429</v>
      </c>
      <c r="AB40" s="2455" t="s">
        <v>472</v>
      </c>
      <c r="AC40" s="2430"/>
      <c r="AD40" s="2430"/>
      <c r="AE40" s="2456"/>
      <c r="AF40" s="2430" t="s">
        <v>473</v>
      </c>
      <c r="AG40" s="2430"/>
      <c r="AH40" s="2430"/>
      <c r="AI40" s="2456"/>
      <c r="AJ40" s="2455" t="s">
        <v>474</v>
      </c>
      <c r="AK40" s="2430"/>
      <c r="AL40" s="2430"/>
      <c r="AM40" s="2456"/>
      <c r="AN40" s="2455" t="s">
        <v>428</v>
      </c>
      <c r="AO40" s="2430"/>
      <c r="AP40" s="2409"/>
      <c r="AQ40" s="2409"/>
      <c r="AR40" s="2410"/>
      <c r="AS40" s="2411" t="s">
        <v>429</v>
      </c>
      <c r="AT40" s="2414" t="s">
        <v>431</v>
      </c>
      <c r="AU40" s="2254"/>
    </row>
    <row customHeight="1" ht="33.75">
      <c r="Q41" s="514"/>
      <c r="R41" s="599"/>
      <c r="S41" s="2407"/>
      <c r="T41" s="2344"/>
      <c r="U41" s="1255"/>
      <c r="V41" s="2312" t="s">
        <v>475</v>
      </c>
      <c r="W41" s="2313"/>
      <c r="X41" s="2428" t="s">
        <v>435</v>
      </c>
      <c r="Y41" s="2446"/>
      <c r="Z41" s="2447"/>
      <c r="AA41" s="2472"/>
      <c r="AB41" s="2457"/>
      <c r="AC41" s="2458"/>
      <c r="AD41" s="2458"/>
      <c r="AE41" s="2470"/>
      <c r="AF41" s="2458"/>
      <c r="AG41" s="2458"/>
      <c r="AH41" s="2458"/>
      <c r="AI41" s="2470"/>
      <c r="AJ41" s="2457"/>
      <c r="AK41" s="2458"/>
      <c r="AL41" s="2458"/>
      <c r="AM41" s="2458"/>
      <c r="AN41" s="2254" t="s">
        <v>476</v>
      </c>
      <c r="AO41" s="2254"/>
      <c r="AP41" s="2446" t="s">
        <v>435</v>
      </c>
      <c r="AQ41" s="2446"/>
      <c r="AR41" s="2447"/>
      <c r="AS41" s="2412"/>
      <c r="AT41" s="2415"/>
      <c r="AU41" s="2254"/>
    </row>
    <row customHeight="1" ht="14.25">
      <c r="Q42" s="514"/>
      <c r="R42" s="599"/>
      <c r="S42" s="2407"/>
      <c r="T42" s="2344"/>
      <c r="U42" s="1255"/>
      <c r="V42" s="2320"/>
      <c r="W42" s="2321"/>
      <c r="X42" s="2429"/>
      <c r="Y42" s="2448"/>
      <c r="Z42" s="2449"/>
      <c r="AA42" s="2472"/>
      <c r="AB42" s="2457"/>
      <c r="AC42" s="2458"/>
      <c r="AD42" s="2458"/>
      <c r="AE42" s="2470"/>
      <c r="AF42" s="2458"/>
      <c r="AG42" s="2458"/>
      <c r="AH42" s="2458"/>
      <c r="AI42" s="2470"/>
      <c r="AJ42" s="2457"/>
      <c r="AK42" s="2458"/>
      <c r="AL42" s="2458"/>
      <c r="AM42" s="2458"/>
      <c r="AN42" s="2474"/>
      <c r="AO42" s="2474"/>
      <c r="AP42" s="2448"/>
      <c r="AQ42" s="2448"/>
      <c r="AR42" s="2449"/>
      <c r="AS42" s="2412"/>
      <c r="AT42" s="2415"/>
      <c r="AU42" s="2254"/>
    </row>
    <row customHeight="1" ht="14.25">
      <c r="A43" s="1598"/>
      <c r="B43" s="1598" t="s">
        <v>134</v>
      </c>
      <c r="C43" s="1598" t="s">
        <v>135</v>
      </c>
      <c r="D43" s="1598" t="s">
        <v>136</v>
      </c>
      <c r="E43" s="1592" t="s">
        <v>436</v>
      </c>
      <c r="F43" s="1592" t="s">
        <v>437</v>
      </c>
      <c r="G43" s="1592" t="s">
        <v>438</v>
      </c>
      <c r="H43" s="1592" t="s">
        <v>439</v>
      </c>
      <c r="I43" s="1592" t="s">
        <v>440</v>
      </c>
      <c r="J43" s="1592" t="s">
        <v>441</v>
      </c>
      <c r="K43" s="1592" t="s">
        <v>442</v>
      </c>
      <c r="L43" s="1592" t="s">
        <v>417</v>
      </c>
      <c r="Q43" s="514"/>
      <c r="R43" s="599"/>
      <c r="S43" s="2407"/>
      <c r="T43" s="2344"/>
      <c r="U43" s="525"/>
      <c r="V43" s="1558" t="s">
        <v>477</v>
      </c>
      <c r="W43" s="1558" t="s">
        <v>478</v>
      </c>
      <c r="X43" s="1566" t="s">
        <v>445</v>
      </c>
      <c r="Y43" s="2403" t="s">
        <v>446</v>
      </c>
      <c r="Z43" s="2404"/>
      <c r="AA43" s="2473"/>
      <c r="AB43" s="2459"/>
      <c r="AC43" s="2460"/>
      <c r="AD43" s="2460"/>
      <c r="AE43" s="2461"/>
      <c r="AF43" s="2460"/>
      <c r="AG43" s="2460"/>
      <c r="AH43" s="2460"/>
      <c r="AI43" s="2461"/>
      <c r="AJ43" s="2459"/>
      <c r="AK43" s="2460"/>
      <c r="AL43" s="2460"/>
      <c r="AM43" s="2461"/>
      <c r="AN43" s="2089" t="s">
        <v>477</v>
      </c>
      <c r="AO43" s="2089" t="s">
        <v>478</v>
      </c>
      <c r="AP43" s="1566" t="s">
        <v>445</v>
      </c>
      <c r="AQ43" s="2403" t="s">
        <v>446</v>
      </c>
      <c r="AR43" s="2404"/>
      <c r="AS43" s="2413"/>
      <c r="AT43" s="2416"/>
      <c r="AU43" s="2254"/>
    </row>
    <row s="13364" customFormat="1" customHeight="1" ht="11.25" hidden="1">
      <c r="A44" s="1598"/>
      <c r="B44" s="1598"/>
      <c r="C44" s="1598"/>
      <c r="D44" s="1598"/>
      <c r="E44" s="1598"/>
      <c r="F44" s="1598"/>
      <c r="G44" s="1598"/>
      <c r="H44" s="1598"/>
      <c r="I44" s="1598"/>
      <c r="J44" s="1598"/>
      <c r="K44" s="1598"/>
      <c r="L44" s="1592"/>
      <c r="M44" s="1590"/>
      <c r="N44" s="1590"/>
      <c r="O44" s="1590"/>
      <c r="P44" s="733"/>
      <c r="Q44" s="1481"/>
      <c r="R44" s="1481">
        <v>1</v>
      </c>
      <c r="S44" s="1505" t="s">
        <v>108</v>
      </c>
      <c r="T44" s="1482" t="s">
        <v>109</v>
      </c>
      <c r="U44" s="1472" t="str">
        <f>OFFSET(U44,0,-1)</f>
        <v>2</v>
      </c>
      <c r="V44" s="1563">
        <f>OFFSET(V44,0,-1)+1</f>
        <v>3</v>
      </c>
      <c r="W44" s="1563">
        <f>OFFSET(W44,0,-1)+1</f>
        <v>4</v>
      </c>
      <c r="X44" s="1563">
        <f>OFFSET(X44,0,-1)+1</f>
        <v>5</v>
      </c>
      <c r="Y44" s="2405">
        <f>OFFSET(Y44,0,-1)+1</f>
        <v>6</v>
      </c>
      <c r="Z44" s="2405"/>
      <c r="AA44" s="1563">
        <f>OFFSET(AA44,0,-2)+1</f>
        <v>7</v>
      </c>
      <c r="AB44" s="1569">
        <f>OFFSET(AB44,0,-1)+1</f>
        <v>8</v>
      </c>
      <c r="AC44" s="1569"/>
      <c r="AD44" s="1569"/>
      <c r="AE44" s="1569"/>
      <c r="AF44" s="1563"/>
      <c r="AG44" s="1563"/>
      <c r="AH44" s="1563"/>
      <c r="AI44" s="1563"/>
      <c r="AJ44" s="1563"/>
      <c r="AK44" s="1563"/>
      <c r="AL44" s="1563"/>
      <c r="AM44" s="1563"/>
      <c r="AN44" s="1563">
        <f>OFFSET(AN44,0,-1)+1</f>
        <v>1</v>
      </c>
      <c r="AO44" s="1563">
        <f>OFFSET(AO44,0,-1)+1</f>
        <v>2</v>
      </c>
      <c r="AP44" s="1563">
        <f>OFFSET(AP44,0,-1)+1</f>
        <v>3</v>
      </c>
      <c r="AQ44" s="2405">
        <f>OFFSET(AQ44,0,-1)+1</f>
        <v>4</v>
      </c>
      <c r="AR44" s="2405"/>
      <c r="AS44" s="1563">
        <f>OFFSET(AS44,0,-2)+1</f>
        <v>5</v>
      </c>
      <c r="AT44" s="1472">
        <f>OFFSET(AT44,0,-1)</f>
        <v>5</v>
      </c>
      <c r="AU44" s="1563">
        <f>OFFSET(AU44,0,-1)+1</f>
        <v>6</v>
      </c>
      <c r="AV44" s="734"/>
      <c r="AW44" s="734"/>
      <c r="AX44" s="734"/>
      <c r="AY44" s="734"/>
      <c r="AZ44" s="734"/>
    </row>
    <row customHeight="1" ht="102">
      <c r="A45" s="1591" t="s">
        <v>197</v>
      </c>
      <c r="B45" s="1591"/>
      <c r="C45" s="1591"/>
      <c r="D45" s="1591"/>
      <c r="E45" s="2389">
        <v>1</v>
      </c>
      <c r="F45" s="1591"/>
      <c r="G45" s="1591"/>
      <c r="H45" s="1591"/>
      <c r="I45" s="1591"/>
      <c r="J45" s="1591"/>
      <c r="K45" s="1591"/>
      <c r="L45" s="1592"/>
      <c r="M45" s="1593"/>
      <c r="N45" s="1593"/>
      <c r="O45" s="1593"/>
      <c r="P45" s="1637"/>
      <c r="Q45" s="1096"/>
      <c r="R45" s="578"/>
      <c r="S45" s="1564">
        <f>INDEX(PT_DIFFERENTIATION_NUM_NTAR,MATCH(A45,PT_DIFFERENTIATION_NTAR_ID,0))</f>
        <v>0</v>
      </c>
      <c r="T45" s="521" t="s">
        <v>122</v>
      </c>
      <c r="U45" s="523"/>
      <c r="V45" s="2384"/>
      <c r="W45" s="2384"/>
      <c r="X45" s="2384"/>
      <c r="Y45" s="2384"/>
      <c r="Z45" s="2384"/>
      <c r="AA45" s="2385"/>
      <c r="AB45" s="2383" t="str">
        <f>INDEX(PT_DIFFERENTIATION_NTAR,MATCH(A45,PT_DIFFERENTIATION_NTAR_ID,0))</f>
        <v/>
      </c>
      <c r="AC45" s="2384"/>
      <c r="AD45" s="2384"/>
      <c r="AE45" s="2384"/>
      <c r="AF45" s="2384"/>
      <c r="AG45" s="2384"/>
      <c r="AH45" s="2384"/>
      <c r="AI45" s="2384"/>
      <c r="AJ45" s="2384"/>
      <c r="AK45" s="2384"/>
      <c r="AL45" s="2384"/>
      <c r="AM45" s="2384"/>
      <c r="AN45" s="2384"/>
      <c r="AO45" s="2384"/>
      <c r="AP45" s="2384"/>
      <c r="AQ45" s="2384"/>
      <c r="AR45" s="2384"/>
      <c r="AS45" s="2384"/>
      <c r="AT45" s="2385"/>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23"/>
      <c r="AX45" s="723" t="str">
        <f>IF(T45="","",T45)</f>
        <v>Наименование тарифа</v>
      </c>
      <c r="AY45" s="723"/>
      <c r="AZ45" s="723"/>
    </row>
    <row customHeight="1" ht="21">
      <c r="A46" s="1591" t="s">
        <v>197</v>
      </c>
      <c r="B46" s="1591" t="s">
        <v>198</v>
      </c>
      <c r="C46" s="1591"/>
      <c r="D46" s="1591"/>
      <c r="E46" s="2390"/>
      <c r="F46" s="2389">
        <v>1</v>
      </c>
      <c r="G46" s="1591"/>
      <c r="H46" s="1591"/>
      <c r="I46" s="1591"/>
      <c r="J46" s="1591"/>
      <c r="K46" s="1591"/>
      <c r="L46" s="1592"/>
      <c r="M46" s="1593"/>
      <c r="N46" s="1593"/>
      <c r="O46" s="1593"/>
      <c r="P46" s="1638"/>
      <c r="Q46" s="1639"/>
      <c r="R46" s="576"/>
      <c r="S46" s="1564" t="str">
        <f>INDEX(PT_DIFFERENTIATION_NUM_TER,MATCH(B46,PT_DIFFERENTIATION_TER_ID,0))</f>
        <v>.</v>
      </c>
      <c r="T46" s="531" t="s">
        <v>398</v>
      </c>
      <c r="U46" s="523"/>
      <c r="V46" s="2384"/>
      <c r="W46" s="2384"/>
      <c r="X46" s="2384"/>
      <c r="Y46" s="2384"/>
      <c r="Z46" s="2384"/>
      <c r="AA46" s="2385"/>
      <c r="AB46" s="2383" t="str">
        <f>INDEX(PT_DIFFERENTIATION_TER,MATCH(B46,PT_DIFFERENTIATION_TER_ID,0))</f>
        <v/>
      </c>
      <c r="AC46" s="2384"/>
      <c r="AD46" s="2384"/>
      <c r="AE46" s="2384"/>
      <c r="AF46" s="2384"/>
      <c r="AG46" s="2384"/>
      <c r="AH46" s="2384"/>
      <c r="AI46" s="2384"/>
      <c r="AJ46" s="2384"/>
      <c r="AK46" s="2384"/>
      <c r="AL46" s="2384"/>
      <c r="AM46" s="2384"/>
      <c r="AN46" s="2384"/>
      <c r="AO46" s="2384"/>
      <c r="AP46" s="2384"/>
      <c r="AQ46" s="2384"/>
      <c r="AR46" s="2384"/>
      <c r="AS46" s="2384"/>
      <c r="AT46" s="2385"/>
      <c r="AU46" s="1485" t="s">
        <v>399</v>
      </c>
      <c r="AW46" s="723"/>
      <c r="AX46" s="723" t="str">
        <f>IF(T46="","",T46)</f>
        <v>Территория действия тарифа</v>
      </c>
      <c r="AY46" s="723"/>
      <c r="AZ46" s="723"/>
    </row>
    <row customHeight="1" ht="23.25">
      <c r="A47" s="1591" t="s">
        <v>197</v>
      </c>
      <c r="B47" s="1591" t="s">
        <v>198</v>
      </c>
      <c r="C47" s="1591" t="s">
        <v>199</v>
      </c>
      <c r="D47" s="1591"/>
      <c r="E47" s="2390"/>
      <c r="F47" s="2390"/>
      <c r="G47" s="2389">
        <v>1</v>
      </c>
      <c r="H47" s="1591"/>
      <c r="I47" s="1591"/>
      <c r="J47" s="1591"/>
      <c r="K47" s="1591"/>
      <c r="L47" s="1592"/>
      <c r="M47" s="1593"/>
      <c r="N47" s="1593"/>
      <c r="O47" s="1593"/>
      <c r="P47" s="1640"/>
      <c r="Q47" s="1639"/>
      <c r="R47" s="576"/>
      <c r="S47" s="1564" t="str">
        <f>INDEX(PT_DIFFERENTIATION_NUM_CS,MATCH(C47,PT_DIFFERENTIATION_CS_ID,0))</f>
        <v>..</v>
      </c>
      <c r="T47" s="532" t="s">
        <v>400</v>
      </c>
      <c r="U47" s="523"/>
      <c r="V47" s="2384"/>
      <c r="W47" s="2384"/>
      <c r="X47" s="2384"/>
      <c r="Y47" s="2384"/>
      <c r="Z47" s="2384"/>
      <c r="AA47" s="2385"/>
      <c r="AB47" s="2383" t="str">
        <f>INDEX(PT_DIFFERENTIATION_CS,MATCH(C47,PT_DIFFERENTIATION_CS_ID,0))</f>
        <v/>
      </c>
      <c r="AC47" s="2384"/>
      <c r="AD47" s="2384"/>
      <c r="AE47" s="2384"/>
      <c r="AF47" s="2384"/>
      <c r="AG47" s="2384"/>
      <c r="AH47" s="2384"/>
      <c r="AI47" s="2384"/>
      <c r="AJ47" s="2384"/>
      <c r="AK47" s="2384"/>
      <c r="AL47" s="2384"/>
      <c r="AM47" s="2384"/>
      <c r="AN47" s="2384"/>
      <c r="AO47" s="2384"/>
      <c r="AP47" s="2384"/>
      <c r="AQ47" s="2384"/>
      <c r="AR47" s="2384"/>
      <c r="AS47" s="2384"/>
      <c r="AT47" s="2385"/>
      <c r="AU47" s="1485" t="s">
        <v>401</v>
      </c>
      <c r="AW47" s="723"/>
      <c r="AX47" s="723" t="str">
        <f>IF(T47="","",T47)</f>
        <v>Наименование системы теплоснабжения </v>
      </c>
      <c r="AY47" s="723"/>
      <c r="AZ47" s="723"/>
    </row>
    <row customHeight="1" ht="21">
      <c r="A48" s="1591" t="s">
        <v>197</v>
      </c>
      <c r="B48" s="1591" t="s">
        <v>198</v>
      </c>
      <c r="C48" s="1591" t="s">
        <v>199</v>
      </c>
      <c r="D48" s="1591" t="s">
        <v>200</v>
      </c>
      <c r="E48" s="2390"/>
      <c r="F48" s="2390"/>
      <c r="G48" s="2390"/>
      <c r="H48" s="2389">
        <v>1</v>
      </c>
      <c r="I48" s="1591"/>
      <c r="J48" s="1591"/>
      <c r="K48" s="1591"/>
      <c r="L48" s="1592"/>
      <c r="M48" s="1593"/>
      <c r="N48" s="1593"/>
      <c r="O48" s="1593"/>
      <c r="P48" s="1640"/>
      <c r="Q48" s="1639"/>
      <c r="R48" s="576"/>
      <c r="S48" s="1564" t="str">
        <f>INDEX(PT_DIFFERENTIATION_NUM_IST_TE,MATCH(D48,PT_DIFFERENTIATION_IST_TE_ID,0))</f>
        <v>...</v>
      </c>
      <c r="T48" s="533" t="s">
        <v>402</v>
      </c>
      <c r="U48" s="523"/>
      <c r="V48" s="2384"/>
      <c r="W48" s="2384"/>
      <c r="X48" s="2384"/>
      <c r="Y48" s="2384"/>
      <c r="Z48" s="2384"/>
      <c r="AA48" s="2385"/>
      <c r="AB48" s="2383" t="str">
        <f>INDEX(PT_DIFFERENTIATION_IST_TE,MATCH(D48,PT_DIFFERENTIATION_IST_TE_ID,0))</f>
        <v/>
      </c>
      <c r="AC48" s="2384"/>
      <c r="AD48" s="2384"/>
      <c r="AE48" s="2384"/>
      <c r="AF48" s="2384"/>
      <c r="AG48" s="2384"/>
      <c r="AH48" s="2384"/>
      <c r="AI48" s="2384"/>
      <c r="AJ48" s="2384"/>
      <c r="AK48" s="2384"/>
      <c r="AL48" s="2384"/>
      <c r="AM48" s="2384"/>
      <c r="AN48" s="2384"/>
      <c r="AO48" s="2384"/>
      <c r="AP48" s="2384"/>
      <c r="AQ48" s="2384"/>
      <c r="AR48" s="2384"/>
      <c r="AS48" s="2384"/>
      <c r="AT48" s="2385"/>
      <c r="AU48" s="1485" t="s">
        <v>403</v>
      </c>
      <c r="AW48" s="723"/>
      <c r="AX48" s="723" t="str">
        <f>IF(T48="","",T48)</f>
        <v>Источник тепловой энергии  </v>
      </c>
      <c r="AY48" s="723"/>
      <c r="AZ48" s="723"/>
    </row>
    <row s="13606" customFormat="1" customHeight="1" ht="0">
      <c r="A49" s="1571" t="s">
        <v>197</v>
      </c>
      <c r="B49" s="1571" t="s">
        <v>198</v>
      </c>
      <c r="C49" s="1571" t="s">
        <v>199</v>
      </c>
      <c r="D49" s="1571" t="s">
        <v>200</v>
      </c>
      <c r="E49" s="2390"/>
      <c r="F49" s="2390"/>
      <c r="G49" s="2390"/>
      <c r="H49" s="2390"/>
      <c r="I49" s="2391" t="str">
        <f>S48&amp;".1"</f>
        <v>....1</v>
      </c>
      <c r="J49" s="1571"/>
      <c r="K49" s="1571"/>
      <c r="L49" s="1574" t="s">
        <v>404</v>
      </c>
      <c r="M49" s="733"/>
      <c r="N49" s="733"/>
      <c r="O49" s="733"/>
      <c r="P49" s="2393">
        <v>1</v>
      </c>
      <c r="Q49" s="1559"/>
      <c r="R49" s="579"/>
      <c r="S49" s="1266"/>
      <c r="T49" s="1611"/>
      <c r="U49" s="1612"/>
      <c r="V49" s="2432"/>
      <c r="W49" s="2432"/>
      <c r="X49" s="2432"/>
      <c r="Y49" s="2432"/>
      <c r="Z49" s="2432"/>
      <c r="AA49" s="2433"/>
      <c r="AB49" s="2431"/>
      <c r="AC49" s="2432"/>
      <c r="AD49" s="2432"/>
      <c r="AE49" s="2432"/>
      <c r="AF49" s="2432"/>
      <c r="AG49" s="2432"/>
      <c r="AH49" s="2432"/>
      <c r="AI49" s="2432"/>
      <c r="AJ49" s="2432"/>
      <c r="AK49" s="2432"/>
      <c r="AL49" s="2432"/>
      <c r="AM49" s="2432"/>
      <c r="AN49" s="2432"/>
      <c r="AO49" s="2432"/>
      <c r="AP49" s="2432"/>
      <c r="AQ49" s="2432"/>
      <c r="AR49" s="2432"/>
      <c r="AS49" s="2432"/>
      <c r="AT49" s="2433"/>
      <c r="AU49" s="1613"/>
      <c r="AW49" s="723"/>
      <c r="AX49" s="723" t="str">
        <f>IF(T49="","",T49)</f>
        <v/>
      </c>
      <c r="AY49" s="723"/>
      <c r="AZ49" s="723"/>
    </row>
    <row s="13606" customFormat="1" customHeight="1" ht="0">
      <c r="A50" s="1571" t="s">
        <v>197</v>
      </c>
      <c r="B50" s="1571" t="s">
        <v>198</v>
      </c>
      <c r="C50" s="1571" t="s">
        <v>199</v>
      </c>
      <c r="D50" s="1571" t="s">
        <v>200</v>
      </c>
      <c r="E50" s="2390"/>
      <c r="F50" s="2390"/>
      <c r="G50" s="2390"/>
      <c r="H50" s="2390"/>
      <c r="I50" s="2392"/>
      <c r="J50" s="2391" t="str">
        <f>S48&amp;".1"</f>
        <v>....1</v>
      </c>
      <c r="K50" s="1571"/>
      <c r="L50" s="1574"/>
      <c r="M50" s="733"/>
      <c r="N50" s="733"/>
      <c r="O50" s="733"/>
      <c r="P50" s="2393"/>
      <c r="Q50" s="2393">
        <v>1</v>
      </c>
      <c r="R50" s="580"/>
      <c r="S50" s="1266"/>
      <c r="T50" s="1627"/>
      <c r="U50" s="1612"/>
      <c r="V50" s="2432"/>
      <c r="W50" s="2432"/>
      <c r="X50" s="2432"/>
      <c r="Y50" s="2432"/>
      <c r="Z50" s="2432"/>
      <c r="AA50" s="2433"/>
      <c r="AB50" s="2431"/>
      <c r="AC50" s="2432"/>
      <c r="AD50" s="2432"/>
      <c r="AE50" s="2432"/>
      <c r="AF50" s="2432"/>
      <c r="AG50" s="2432"/>
      <c r="AH50" s="2432"/>
      <c r="AI50" s="2432"/>
      <c r="AJ50" s="2432"/>
      <c r="AK50" s="2432"/>
      <c r="AL50" s="2432"/>
      <c r="AM50" s="2432"/>
      <c r="AN50" s="2432"/>
      <c r="AO50" s="2432"/>
      <c r="AP50" s="2432"/>
      <c r="AQ50" s="2432"/>
      <c r="AR50" s="2432"/>
      <c r="AS50" s="2432"/>
      <c r="AT50" s="2433"/>
      <c r="AU50" s="1613"/>
      <c r="AW50" s="723"/>
      <c r="AX50" s="723" t="str">
        <f>IF(T50="","",T50)</f>
        <v/>
      </c>
      <c r="AY50" s="723"/>
      <c r="AZ50" s="723"/>
    </row>
    <row customHeight="1" ht="21">
      <c r="A51" s="1591" t="s">
        <v>197</v>
      </c>
      <c r="B51" s="1591" t="s">
        <v>198</v>
      </c>
      <c r="C51" s="1591" t="s">
        <v>199</v>
      </c>
      <c r="D51" s="1591" t="s">
        <v>200</v>
      </c>
      <c r="E51" s="2390"/>
      <c r="F51" s="2390"/>
      <c r="G51" s="2390"/>
      <c r="H51" s="2390"/>
      <c r="I51" s="2392"/>
      <c r="J51" s="2392"/>
      <c r="K51" s="2391" t="str">
        <f>S48&amp;".1"</f>
        <v>....1</v>
      </c>
      <c r="L51" s="1592"/>
      <c r="P51" s="2393"/>
      <c r="Q51" s="2393"/>
      <c r="R51" s="580">
        <v>1</v>
      </c>
      <c r="S51" s="2466" t="str">
        <f>$K51</f>
        <v>....1</v>
      </c>
      <c r="T51" s="2463"/>
      <c r="U51" s="523"/>
      <c r="V51" s="974"/>
      <c r="W51" s="1484"/>
      <c r="X51" s="1962"/>
      <c r="Y51" s="1687" t="s">
        <v>66</v>
      </c>
      <c r="Z51" s="1962"/>
      <c r="AA51" s="1687" t="s">
        <v>66</v>
      </c>
      <c r="AB51" s="2264" t="s">
        <v>56</v>
      </c>
      <c r="AC51" s="2462"/>
      <c r="AD51" s="2340">
        <v>1</v>
      </c>
      <c r="AE51" s="2454" t="s">
        <v>24</v>
      </c>
      <c r="AF51" s="2264" t="s">
        <v>56</v>
      </c>
      <c r="AG51" s="2462"/>
      <c r="AH51" s="2340">
        <v>1</v>
      </c>
      <c r="AI51" s="2454" t="s">
        <v>24</v>
      </c>
      <c r="AJ51" s="2264" t="s">
        <v>56</v>
      </c>
      <c r="AK51" s="534"/>
      <c r="AL51" s="1565">
        <v>1</v>
      </c>
      <c r="AM51" s="1630"/>
      <c r="AN51" s="974"/>
      <c r="AO51" s="1484"/>
      <c r="AP51" s="1962"/>
      <c r="AQ51" s="1687" t="s">
        <v>66</v>
      </c>
      <c r="AR51" s="1962"/>
      <c r="AS51" s="1687" t="s">
        <v>66</v>
      </c>
      <c r="AT51" s="1576"/>
      <c r="AU51" s="2419" t="s">
        <v>479</v>
      </c>
      <c r="AV51" s="734">
        <f>STRCHECKDATE(V54:AT54)</f>
      </c>
      <c r="AW51" s="723"/>
      <c r="AX51" s="723" t="str">
        <f>IF(T51="","",T51)</f>
        <v/>
      </c>
      <c r="AY51" s="723"/>
      <c r="AZ51" s="723"/>
    </row>
    <row customHeight="1" ht="11.25">
      <c r="A52" s="1591" t="s">
        <v>197</v>
      </c>
      <c r="B52" s="1591"/>
      <c r="C52" s="1591"/>
      <c r="D52" s="1591"/>
      <c r="E52" s="2390"/>
      <c r="F52" s="2390"/>
      <c r="G52" s="2390"/>
      <c r="H52" s="2390"/>
      <c r="I52" s="2392"/>
      <c r="J52" s="2392"/>
      <c r="K52" s="2391"/>
      <c r="L52" s="1592"/>
      <c r="P52" s="2393"/>
      <c r="Q52" s="2393"/>
      <c r="R52" s="580"/>
      <c r="S52" s="2467"/>
      <c r="T52" s="2464"/>
      <c r="U52" s="523"/>
      <c r="V52" s="1621"/>
      <c r="W52" s="1724"/>
      <c r="X52" s="1621"/>
      <c r="Y52" s="1621"/>
      <c r="Z52" s="1621"/>
      <c r="AA52" s="1621"/>
      <c r="AB52" s="2264"/>
      <c r="AC52" s="2462"/>
      <c r="AD52" s="2340"/>
      <c r="AE52" s="2454"/>
      <c r="AF52" s="2264"/>
      <c r="AG52" s="2462"/>
      <c r="AH52" s="2340"/>
      <c r="AI52" s="2454"/>
      <c r="AJ52" s="2264"/>
      <c r="AK52" s="539"/>
      <c r="AL52" s="639"/>
      <c r="AM52" s="638" t="s">
        <v>463</v>
      </c>
      <c r="AN52" s="1621"/>
      <c r="AO52" s="1724"/>
      <c r="AP52" s="1621"/>
      <c r="AQ52" s="1621"/>
      <c r="AR52" s="1621"/>
      <c r="AS52" s="1621"/>
      <c r="AT52" s="1618"/>
      <c r="AU52" s="2420"/>
      <c r="AW52" s="723"/>
      <c r="AX52" s="723"/>
      <c r="AY52" s="723"/>
      <c r="AZ52" s="723"/>
    </row>
    <row customHeight="1" ht="11.25">
      <c r="A53" s="1591" t="s">
        <v>197</v>
      </c>
      <c r="B53" s="1591"/>
      <c r="C53" s="1591"/>
      <c r="D53" s="1591"/>
      <c r="E53" s="2390"/>
      <c r="F53" s="2390"/>
      <c r="G53" s="2390"/>
      <c r="H53" s="2390"/>
      <c r="I53" s="2392"/>
      <c r="J53" s="2392"/>
      <c r="K53" s="2391"/>
      <c r="L53" s="1592"/>
      <c r="P53" s="2393"/>
      <c r="Q53" s="2393"/>
      <c r="R53" s="580"/>
      <c r="S53" s="2467"/>
      <c r="T53" s="2464"/>
      <c r="U53" s="523"/>
      <c r="V53" s="1621"/>
      <c r="W53" s="1724"/>
      <c r="X53" s="1621"/>
      <c r="Y53" s="1621"/>
      <c r="Z53" s="1621"/>
      <c r="AA53" s="1621"/>
      <c r="AB53" s="2264"/>
      <c r="AC53" s="2462"/>
      <c r="AD53" s="2340"/>
      <c r="AE53" s="2454"/>
      <c r="AF53" s="2264"/>
      <c r="AG53" s="517"/>
      <c r="AH53" s="638"/>
      <c r="AI53" s="638" t="s">
        <v>464</v>
      </c>
      <c r="AJ53" s="1621"/>
      <c r="AK53" s="1621"/>
      <c r="AL53" s="1621"/>
      <c r="AM53" s="1621"/>
      <c r="AN53" s="1621"/>
      <c r="AO53" s="1724"/>
      <c r="AP53" s="1621"/>
      <c r="AQ53" s="1621"/>
      <c r="AR53" s="1621"/>
      <c r="AS53" s="1621"/>
      <c r="AT53" s="1618"/>
      <c r="AU53" s="2420"/>
      <c r="AW53" s="723"/>
      <c r="AX53" s="723"/>
      <c r="AY53" s="723"/>
      <c r="AZ53" s="723"/>
    </row>
    <row customHeight="1" ht="11.25">
      <c r="A54" s="1591" t="s">
        <v>197</v>
      </c>
      <c r="B54" s="1591" t="s">
        <v>198</v>
      </c>
      <c r="C54" s="1591" t="s">
        <v>199</v>
      </c>
      <c r="D54" s="1591" t="s">
        <v>200</v>
      </c>
      <c r="E54" s="2390"/>
      <c r="F54" s="2390"/>
      <c r="G54" s="2390"/>
      <c r="H54" s="2390"/>
      <c r="I54" s="2392"/>
      <c r="J54" s="2392"/>
      <c r="K54" s="2391"/>
      <c r="L54" s="1592"/>
      <c r="P54" s="2393"/>
      <c r="Q54" s="2393"/>
      <c r="R54" s="580"/>
      <c r="S54" s="2468"/>
      <c r="T54" s="2465"/>
      <c r="U54" s="523"/>
      <c r="V54" s="1621"/>
      <c r="W54" s="1622" t="str">
        <f>X51&amp;"-"&amp;Z51</f>
        <v>-</v>
      </c>
      <c r="X54" s="1621"/>
      <c r="Y54" s="1621"/>
      <c r="Z54" s="1621"/>
      <c r="AA54" s="1621"/>
      <c r="AB54" s="2264"/>
      <c r="AC54" s="535"/>
      <c r="AD54" s="537"/>
      <c r="AE54" s="638" t="s">
        <v>465</v>
      </c>
      <c r="AF54" s="1621"/>
      <c r="AG54" s="1621"/>
      <c r="AH54" s="1621"/>
      <c r="AI54" s="1621"/>
      <c r="AJ54" s="1621"/>
      <c r="AK54" s="1621"/>
      <c r="AL54" s="1621"/>
      <c r="AM54" s="1621"/>
      <c r="AN54" s="1621"/>
      <c r="AO54" s="1622" t="str">
        <f>AP51&amp;"-"&amp;AR51</f>
        <v>-</v>
      </c>
      <c r="AP54" s="1621"/>
      <c r="AQ54" s="1621"/>
      <c r="AR54" s="1621"/>
      <c r="AS54" s="1621"/>
      <c r="AT54" s="1577"/>
      <c r="AU54" s="2420"/>
      <c r="AW54" s="723"/>
      <c r="AX54" s="723" t="str">
        <f>IF(T54="","",T54)</f>
        <v/>
      </c>
      <c r="AY54" s="723"/>
      <c r="AZ54" s="723"/>
    </row>
    <row customHeight="1" ht="11.25">
      <c r="A55" s="1591" t="s">
        <v>197</v>
      </c>
      <c r="B55" s="1591" t="s">
        <v>198</v>
      </c>
      <c r="C55" s="1591" t="s">
        <v>199</v>
      </c>
      <c r="D55" s="1591" t="s">
        <v>200</v>
      </c>
      <c r="E55" s="2390"/>
      <c r="F55" s="2390"/>
      <c r="G55" s="2390"/>
      <c r="H55" s="2390"/>
      <c r="I55" s="2392"/>
      <c r="J55" s="2391"/>
      <c r="K55" s="1591"/>
      <c r="L55" s="1592"/>
      <c r="P55" s="2393"/>
      <c r="Q55" s="2393"/>
      <c r="R55" s="579"/>
      <c r="S55" s="1506"/>
      <c r="T55" s="510" t="s">
        <v>466</v>
      </c>
      <c r="U55" s="590"/>
      <c r="V55" s="590"/>
      <c r="W55" s="590"/>
      <c r="X55" s="590"/>
      <c r="Y55" s="590"/>
      <c r="Z55" s="590"/>
      <c r="AA55" s="547"/>
      <c r="AB55" s="1733"/>
      <c r="AC55" s="590"/>
      <c r="AD55" s="590"/>
      <c r="AE55" s="590"/>
      <c r="AF55" s="590"/>
      <c r="AG55" s="590"/>
      <c r="AH55" s="590"/>
      <c r="AI55" s="590"/>
      <c r="AJ55" s="590"/>
      <c r="AK55" s="590"/>
      <c r="AL55" s="590"/>
      <c r="AM55" s="590"/>
      <c r="AN55" s="590"/>
      <c r="AO55" s="590"/>
      <c r="AP55" s="590"/>
      <c r="AQ55" s="590"/>
      <c r="AR55" s="590"/>
      <c r="AS55" s="590"/>
      <c r="AT55" s="547"/>
      <c r="AU55" s="2421"/>
      <c r="AW55" s="723"/>
      <c r="AX55" s="723" t="str">
        <f>IF(T55="","",T55)</f>
        <v>Добавить строку</v>
      </c>
      <c r="AY55" s="723"/>
      <c r="AZ55" s="723"/>
    </row>
    <row s="13606" customFormat="1" customHeight="1" ht="5.25">
      <c r="A56" s="1571" t="s">
        <v>197</v>
      </c>
      <c r="B56" s="1571" t="s">
        <v>198</v>
      </c>
      <c r="C56" s="1571" t="s">
        <v>199</v>
      </c>
      <c r="D56" s="1571" t="s">
        <v>200</v>
      </c>
      <c r="E56" s="2390"/>
      <c r="F56" s="2390"/>
      <c r="G56" s="2390"/>
      <c r="H56" s="2390"/>
      <c r="I56" s="2391"/>
      <c r="J56" s="1571"/>
      <c r="K56" s="1571"/>
      <c r="L56" s="1574"/>
      <c r="M56" s="733"/>
      <c r="N56" s="733"/>
      <c r="O56" s="733"/>
      <c r="P56" s="2393"/>
      <c r="Q56" s="1559"/>
      <c r="R56" s="579"/>
      <c r="S56" s="1614"/>
      <c r="T56" s="1615" t="s">
        <v>413</v>
      </c>
      <c r="U56" s="1616"/>
      <c r="V56" s="1616"/>
      <c r="W56" s="1616"/>
      <c r="X56" s="1616"/>
      <c r="Y56" s="1616"/>
      <c r="Z56" s="1616"/>
      <c r="AA56" s="1616"/>
      <c r="AB56" s="1616"/>
      <c r="AC56" s="1616"/>
      <c r="AD56" s="1616"/>
      <c r="AE56" s="1616"/>
      <c r="AF56" s="1616"/>
      <c r="AG56" s="1616"/>
      <c r="AH56" s="1616"/>
      <c r="AI56" s="1616"/>
      <c r="AJ56" s="1616"/>
      <c r="AK56" s="1616"/>
      <c r="AL56" s="1616"/>
      <c r="AM56" s="1616"/>
      <c r="AN56" s="1616"/>
      <c r="AO56" s="1616"/>
      <c r="AP56" s="1616"/>
      <c r="AQ56" s="1616"/>
      <c r="AR56" s="1616"/>
      <c r="AS56" s="1616"/>
      <c r="AT56" s="1616"/>
      <c r="AU56" s="1617"/>
      <c r="AW56" s="723"/>
      <c r="AX56" s="723" t="str">
        <f>IF(T56="","",T56)</f>
        <v>Добавить группу потребителей</v>
      </c>
      <c r="AY56" s="723"/>
      <c r="AZ56" s="723"/>
    </row>
    <row s="13364" customFormat="1" customHeight="1" ht="5.25">
      <c r="A57" s="1571" t="s">
        <v>197</v>
      </c>
      <c r="B57" s="1571" t="s">
        <v>198</v>
      </c>
      <c r="C57" s="1571" t="s">
        <v>199</v>
      </c>
      <c r="D57" s="1571" t="s">
        <v>200</v>
      </c>
      <c r="E57" s="2390"/>
      <c r="F57" s="2390"/>
      <c r="G57" s="2390"/>
      <c r="H57" s="2389"/>
      <c r="I57" s="1571"/>
      <c r="J57" s="1571"/>
      <c r="K57" s="1571"/>
      <c r="L57" s="1574"/>
      <c r="M57" s="1543"/>
      <c r="N57" s="1543"/>
      <c r="O57" s="741"/>
      <c r="P57" s="603"/>
      <c r="Q57" s="1572"/>
      <c r="R57" s="1628"/>
      <c r="S57" s="1614"/>
      <c r="T57" s="1615"/>
      <c r="U57" s="1616"/>
      <c r="V57" s="1616"/>
      <c r="W57" s="1616"/>
      <c r="X57" s="1616"/>
      <c r="Y57" s="1616"/>
      <c r="Z57" s="1616"/>
      <c r="AA57" s="1616"/>
      <c r="AB57" s="1616"/>
      <c r="AC57" s="1616"/>
      <c r="AD57" s="1616"/>
      <c r="AE57" s="1616"/>
      <c r="AF57" s="1616"/>
      <c r="AG57" s="1616"/>
      <c r="AH57" s="1616"/>
      <c r="AI57" s="1616"/>
      <c r="AJ57" s="1616"/>
      <c r="AK57" s="1616"/>
      <c r="AL57" s="1616"/>
      <c r="AM57" s="1616"/>
      <c r="AN57" s="1616"/>
      <c r="AO57" s="1616"/>
      <c r="AP57" s="1616"/>
      <c r="AQ57" s="1616"/>
      <c r="AR57" s="1616"/>
      <c r="AS57" s="1616"/>
      <c r="AT57" s="1616"/>
      <c r="AU57" s="1617"/>
      <c r="AV57" s="734"/>
      <c r="AW57" s="723"/>
      <c r="AX57" s="723" t="str">
        <f>IF(T57="","",T57)</f>
        <v/>
      </c>
      <c r="AY57" s="723"/>
      <c r="AZ57" s="723"/>
    </row>
    <row s="13514" customFormat="1" customHeight="1" ht="5.25">
      <c r="A58" s="1571" t="s">
        <v>197</v>
      </c>
      <c r="B58" s="1571" t="s">
        <v>198</v>
      </c>
      <c r="C58" s="1571" t="s">
        <v>199</v>
      </c>
      <c r="D58" s="1542"/>
      <c r="E58" s="2390"/>
      <c r="F58" s="2390"/>
      <c r="G58" s="2389"/>
      <c r="H58" s="1542"/>
      <c r="I58" s="1542"/>
      <c r="J58" s="1542"/>
      <c r="K58" s="1542"/>
      <c r="L58" s="1567"/>
      <c r="M58" s="1543"/>
      <c r="N58" s="1543"/>
      <c r="P58" s="1544"/>
      <c r="Q58" s="1545"/>
      <c r="R58" s="1544"/>
      <c r="S58" s="1550"/>
      <c r="T58" s="1553" t="s">
        <v>415</v>
      </c>
      <c r="U58" s="1552"/>
      <c r="V58" s="1552"/>
      <c r="W58" s="1552"/>
      <c r="X58" s="1552"/>
      <c r="Y58" s="1552"/>
      <c r="Z58" s="1552"/>
      <c r="AA58" s="1552"/>
      <c r="AB58" s="1552"/>
      <c r="AC58" s="1552"/>
      <c r="AD58" s="1552"/>
      <c r="AE58" s="1552"/>
      <c r="AF58" s="1552"/>
      <c r="AG58" s="1552"/>
      <c r="AH58" s="1552"/>
      <c r="AI58" s="1552"/>
      <c r="AJ58" s="1552"/>
      <c r="AK58" s="1552"/>
      <c r="AL58" s="1552"/>
      <c r="AM58" s="1552"/>
      <c r="AN58" s="1552"/>
      <c r="AO58" s="1552"/>
      <c r="AP58" s="1552"/>
      <c r="AQ58" s="1552"/>
      <c r="AR58" s="1552"/>
      <c r="AS58" s="1552"/>
      <c r="AT58" s="1552"/>
      <c r="AU58" s="1552"/>
      <c r="AW58" s="1012"/>
      <c r="AX58" s="1012" t="str">
        <f>IF(T58="","",T58)</f>
        <v>Добавить источник для дифференциации</v>
      </c>
      <c r="AY58" s="1012"/>
      <c r="AZ58" s="1012"/>
    </row>
    <row s="13514" customFormat="1" customHeight="1" ht="5.25">
      <c r="A59" s="1571" t="s">
        <v>197</v>
      </c>
      <c r="B59" s="1571" t="s">
        <v>198</v>
      </c>
      <c r="C59" s="1542"/>
      <c r="D59" s="1542"/>
      <c r="E59" s="2390"/>
      <c r="F59" s="2389"/>
      <c r="G59" s="1542"/>
      <c r="H59" s="1542"/>
      <c r="I59" s="1542"/>
      <c r="J59" s="1542"/>
      <c r="K59" s="1542"/>
      <c r="L59" s="1567"/>
      <c r="M59" s="1549"/>
      <c r="N59" s="1549"/>
      <c r="P59" s="1544"/>
      <c r="Q59" s="1545"/>
      <c r="R59" s="1544"/>
      <c r="S59" s="1550"/>
      <c r="T59" s="1553" t="s">
        <v>252</v>
      </c>
      <c r="U59" s="1552"/>
      <c r="V59" s="1552"/>
      <c r="W59" s="1552"/>
      <c r="X59" s="1552"/>
      <c r="Y59" s="1552"/>
      <c r="Z59" s="1552"/>
      <c r="AA59" s="1552"/>
      <c r="AB59" s="1552"/>
      <c r="AC59" s="1552"/>
      <c r="AD59" s="1552"/>
      <c r="AE59" s="1552"/>
      <c r="AF59" s="1552"/>
      <c r="AG59" s="1552"/>
      <c r="AH59" s="1552"/>
      <c r="AI59" s="1552"/>
      <c r="AJ59" s="1552"/>
      <c r="AK59" s="1552"/>
      <c r="AL59" s="1552"/>
      <c r="AM59" s="1552"/>
      <c r="AN59" s="1552"/>
      <c r="AO59" s="1552"/>
      <c r="AP59" s="1552"/>
      <c r="AQ59" s="1552"/>
      <c r="AR59" s="1552"/>
      <c r="AS59" s="1552"/>
      <c r="AT59" s="1552"/>
      <c r="AU59" s="1552"/>
      <c r="AW59" s="1012"/>
      <c r="AX59" s="1012" t="str">
        <f>IF(T59="","",T59)</f>
        <v>Добавить централизованную систему для дифференциации</v>
      </c>
      <c r="AY59" s="1012"/>
      <c r="AZ59" s="1012"/>
    </row>
    <row s="13606" customFormat="1" customHeight="1" ht="5.25">
      <c r="A60" s="1571" t="s">
        <v>197</v>
      </c>
      <c r="B60" s="1571"/>
      <c r="C60" s="1571"/>
      <c r="D60" s="1571"/>
      <c r="E60" s="2390"/>
      <c r="F60" s="1571"/>
      <c r="G60" s="1571"/>
      <c r="H60" s="1571"/>
      <c r="I60" s="1571"/>
      <c r="J60" s="1571"/>
      <c r="K60" s="1571"/>
      <c r="L60" s="1574"/>
      <c r="M60" s="1549"/>
      <c r="N60" s="1549"/>
      <c r="O60" s="741"/>
      <c r="P60" s="603"/>
      <c r="Q60" s="1572"/>
      <c r="R60" s="603"/>
      <c r="S60" s="1550"/>
      <c r="T60" s="1553" t="s">
        <v>253</v>
      </c>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W60" s="723"/>
      <c r="AX60" s="723" t="str">
        <f>IF(T60="","",T60)</f>
        <v>Добавить территорию для дифференциации</v>
      </c>
      <c r="AY60" s="723"/>
      <c r="AZ60" s="723"/>
    </row>
    <row s="13606" customFormat="1" customHeight="1" ht="5.25">
      <c r="A61" s="1571" t="s">
        <v>197</v>
      </c>
      <c r="B61" s="1571"/>
      <c r="C61" s="1571"/>
      <c r="D61" s="1571"/>
      <c r="E61" s="2389"/>
      <c r="F61" s="1571"/>
      <c r="G61" s="1571"/>
      <c r="H61" s="1571"/>
      <c r="I61" s="1571"/>
      <c r="J61" s="1571"/>
      <c r="K61" s="1571"/>
      <c r="L61" s="1574"/>
      <c r="M61" s="1549"/>
      <c r="N61" s="1549"/>
      <c r="O61" s="741"/>
      <c r="P61" s="603"/>
      <c r="Q61" s="1572"/>
      <c r="R61" s="603"/>
      <c r="S61" s="1550"/>
      <c r="T61" s="1553" t="s">
        <v>253</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W61" s="723"/>
      <c r="AX61" s="723" t="str">
        <f>IF(T61="","",T61)</f>
        <v>Добавить территорию для дифференциации</v>
      </c>
      <c r="AY61" s="723"/>
      <c r="AZ61" s="723"/>
    </row>
    <row s="13514" customFormat="1" customHeight="1" ht="5.25">
      <c r="A62" s="1542"/>
      <c r="B62" s="1542"/>
      <c r="C62" s="1542"/>
      <c r="D62" s="1542"/>
      <c r="E62" s="1571"/>
      <c r="F62" s="1542"/>
      <c r="G62" s="1542"/>
      <c r="H62" s="1542"/>
      <c r="I62" s="1542"/>
      <c r="J62" s="1542"/>
      <c r="K62" s="1542"/>
      <c r="L62" s="1567"/>
      <c r="M62" s="1549"/>
      <c r="N62" s="1549"/>
      <c r="P62" s="1544"/>
      <c r="Q62" s="1545"/>
      <c r="R62" s="1544"/>
      <c r="S62" s="1550"/>
      <c r="T62" s="1553" t="s">
        <v>254</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W62" s="1012"/>
      <c r="AX62" s="1012" t="str">
        <f>IF(T62="","",T62)</f>
        <v>Добавить наименование тарифа</v>
      </c>
      <c r="AY62" s="1012"/>
      <c r="AZ62" s="1012"/>
    </row>
    <row customHeight="1" ht="11.25">
      <c r="M63" s="1385"/>
      <c r="N63" s="1385"/>
      <c r="O63" s="760"/>
      <c r="P63" s="1385"/>
      <c r="Q63" s="1385"/>
      <c r="R63" s="1380"/>
      <c r="S63" s="1380"/>
      <c r="AV63" s="1380"/>
      <c r="AW63" s="1380"/>
      <c r="AX63" s="1380"/>
      <c r="AY63" s="1380"/>
      <c r="AZ63" s="1380"/>
    </row>
    <row customHeight="1" ht="18.75">
      <c r="O64" s="760"/>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c r="AN64" s="2388"/>
      <c r="AO64" s="2388"/>
      <c r="AP64" s="2388"/>
      <c r="AQ64" s="2388"/>
      <c r="AR64" s="2388"/>
      <c r="AS64" s="2388"/>
      <c r="AT64" s="2388"/>
      <c r="AU64" s="2388"/>
    </row>
    <row customHeight="1" ht="19.5">
      <c r="O65" s="76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row>
    <row customHeight="1" ht="14.25">
      <c r="O66" s="760"/>
      <c r="T66" s="1561"/>
      <c r="U66" s="1561"/>
      <c r="V66" s="1561"/>
      <c r="W66" s="1561"/>
      <c r="X66" s="1561"/>
      <c r="Y66" s="1561"/>
      <c r="Z66" s="1561"/>
      <c r="AA66" s="1561"/>
      <c r="AB66" s="1561"/>
      <c r="AC66" s="1561"/>
      <c r="AD66" s="1561"/>
      <c r="AE66" s="1561"/>
      <c r="AF66" s="1561"/>
      <c r="AG66" s="1561"/>
      <c r="AH66" s="1561"/>
      <c r="AI66" s="1561"/>
      <c r="AJ66" s="1561"/>
      <c r="AK66" s="1561"/>
      <c r="AL66" s="1561"/>
      <c r="AM66" s="1561"/>
      <c r="AN66" s="1561"/>
      <c r="AO66" s="1561"/>
      <c r="AP66" s="1561"/>
      <c r="AQ66" s="1561"/>
      <c r="AR66" s="1561"/>
      <c r="AS66" s="1561"/>
      <c r="AT66" s="1561"/>
      <c r="AU66" s="1561"/>
    </row>
    <row customHeight="1" ht="18.75">
      <c r="O67" s="76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row>
    <row customHeight="1" ht="15.75">
      <c r="O68" s="760"/>
      <c r="T68" s="2388"/>
      <c r="U68" s="2388"/>
      <c r="V68" s="2388"/>
      <c r="W68" s="2388"/>
      <c r="X68" s="2388"/>
      <c r="Y68" s="2388"/>
      <c r="Z68" s="2388"/>
      <c r="AA68" s="2388"/>
      <c r="AB68" s="2388"/>
      <c r="AC68" s="2388"/>
      <c r="AD68" s="2388"/>
      <c r="AE68" s="2388"/>
      <c r="AF68" s="2388"/>
      <c r="AG68" s="2388"/>
      <c r="AH68" s="2388"/>
      <c r="AI68" s="2388"/>
      <c r="AJ68" s="2388"/>
      <c r="AK68" s="2388"/>
      <c r="AL68" s="2388"/>
      <c r="AM68" s="2388"/>
      <c r="AN68" s="2388"/>
      <c r="AO68" s="2388"/>
      <c r="AP68" s="2388"/>
      <c r="AQ68" s="2388"/>
      <c r="AR68" s="2388"/>
      <c r="AS68" s="2388"/>
      <c r="AT68" s="2388"/>
      <c r="AU68" s="2388"/>
    </row>
    <row customHeight="1" ht="14.25">
      <c r="O69" s="760"/>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FE484-8BA2-28C5-0AA2-A14F0157DF3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533" width="10.57421875" hidden="1"/>
    <col min="2" max="2" style="13533" width="11.00390625" hidden="1" customWidth="1"/>
    <col min="3" max="3" style="13533" width="10.57421875" hidden="1"/>
    <col min="4" max="4" style="13533" width="11.8515625" hidden="1" customWidth="1"/>
    <col min="5" max="5" style="13533" width="10.00390625" hidden="1" customWidth="1"/>
    <col min="6" max="6" style="13533" width="8.7109375" hidden="1" customWidth="1"/>
    <col min="7" max="7" style="13533" width="7.57421875" hidden="1" customWidth="1"/>
    <col min="8" max="8" style="13533" width="11.421875" hidden="1" customWidth="1"/>
    <col min="9" max="9" style="13533" width="14.140625" hidden="1" customWidth="1"/>
    <col min="10" max="10" style="13533" width="9.8515625" hidden="1" customWidth="1"/>
    <col min="11" max="11" style="13533" width="14.7109375" hidden="1" customWidth="1"/>
    <col min="12" max="12" style="13816" width="19.140625" hidden="1" customWidth="1"/>
    <col min="13" max="14" style="13615" width="12.28125" hidden="1" customWidth="1"/>
    <col min="15" max="15" style="13615" width="23.421875" hidden="1" customWidth="1"/>
    <col min="16" max="16" style="13817" width="3.7109375" customWidth="1"/>
    <col min="17" max="18" style="13617" width="3.7109375" customWidth="1"/>
    <col min="19" max="19" style="13618" width="12.7109375" customWidth="1"/>
    <col min="20" max="20" style="13619" width="35.7109375" customWidth="1"/>
    <col min="21" max="21" style="13619" width="0.140625" customWidth="1"/>
    <col min="22" max="24" style="13619" width="24.7109375" hidden="1" customWidth="1"/>
    <col min="25" max="25" style="13619" width="11.7109375" hidden="1" customWidth="1"/>
    <col min="26" max="26" style="13619" width="3.7109375" hidden="1" customWidth="1"/>
    <col min="27" max="27" style="13619" width="11.7109375" hidden="1" customWidth="1"/>
    <col min="28" max="28" style="13619" width="8.57421875" hidden="1" customWidth="1"/>
    <col min="29" max="31" style="13619" width="24.7109375" customWidth="1"/>
    <col min="32" max="32" style="13619" width="11.7109375" customWidth="1"/>
    <col min="33" max="33" style="13619" width="3.7109375" customWidth="1"/>
    <col min="34" max="34" style="13619" width="11.7109375" customWidth="1"/>
    <col min="35" max="35" style="13619" width="8.57421875" hidden="1" customWidth="1"/>
    <col min="36" max="36" style="13619" width="4.7109375" customWidth="1"/>
    <col min="37" max="37" style="13619" width="115.7109375" customWidth="1"/>
    <col min="38" max="39" style="13606" width="10.57421875"/>
    <col min="40" max="40" style="13606" width="11.140625" customWidth="1"/>
    <col min="41" max="42" style="13606"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53">
        <f>INDEX(PT_DIFFERENTIATION_NUM_NTAR,MATCH(A2,PT_DIFFERENTIATION_NTAR_ID,0))</f>
      </c>
      <c r="T2" s="521" t="s">
        <v>122</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51"/>
      <c r="Q3" s="575"/>
      <c r="R3" s="576"/>
      <c r="S3" s="1653">
        <f>INDEX(PT_DIFFERENTIATION_NUM_TER,MATCH(B3,PT_DIFFERENTIATION_TER_ID,0))</f>
      </c>
      <c r="T3" s="531" t="s">
        <v>398</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399</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53">
        <f>INDEX(PT_DIFFERENTIATION_NUM_CS,MATCH(C4,PT_DIFFERENTIATION_CS_ID,0))</f>
      </c>
      <c r="T4" s="532" t="s">
        <v>480</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481</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50"/>
      <c r="R5" s="579"/>
      <c r="S5" s="1653">
        <f>$I5</f>
      </c>
      <c r="T5" s="508" t="s">
        <v>482</v>
      </c>
      <c r="U5" s="523"/>
      <c r="V5" s="2476"/>
      <c r="W5" s="2477"/>
      <c r="X5" s="2477"/>
      <c r="Y5" s="2477"/>
      <c r="Z5" s="2477"/>
      <c r="AA5" s="2477"/>
      <c r="AB5" s="2478"/>
      <c r="AC5" s="2479"/>
      <c r="AD5" s="2480"/>
      <c r="AE5" s="2480"/>
      <c r="AF5" s="2480"/>
      <c r="AG5" s="2480"/>
      <c r="AH5" s="2480"/>
      <c r="AI5" s="2480"/>
      <c r="AJ5" s="2481"/>
      <c r="AK5" s="1485" t="s">
        <v>483</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407</v>
      </c>
      <c r="P6" s="2393"/>
      <c r="Q6" s="2393">
        <v>1</v>
      </c>
      <c r="R6" s="580"/>
      <c r="S6" s="1653">
        <f>$J6</f>
      </c>
      <c r="T6" s="509" t="s">
        <v>408</v>
      </c>
      <c r="U6" s="523"/>
      <c r="V6" s="2377"/>
      <c r="W6" s="2378"/>
      <c r="X6" s="2378"/>
      <c r="Y6" s="2378"/>
      <c r="Z6" s="2378"/>
      <c r="AA6" s="2378"/>
      <c r="AB6" s="2379"/>
      <c r="AC6" s="2377"/>
      <c r="AD6" s="2378"/>
      <c r="AE6" s="2378"/>
      <c r="AF6" s="2378"/>
      <c r="AG6" s="2378"/>
      <c r="AH6" s="2378"/>
      <c r="AI6" s="2378"/>
      <c r="AJ6" s="2379"/>
      <c r="AK6" s="1535" t="s">
        <v>484</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53">
        <f>$K7</f>
      </c>
      <c r="T7" s="1665"/>
      <c r="U7" s="523"/>
      <c r="V7" s="974"/>
      <c r="W7" s="974"/>
      <c r="X7" s="1484"/>
      <c r="Y7" s="2394"/>
      <c r="Z7" s="2264" t="s">
        <v>66</v>
      </c>
      <c r="AA7" s="2394"/>
      <c r="AB7" s="2264" t="s">
        <v>66</v>
      </c>
      <c r="AC7" s="974"/>
      <c r="AD7" s="974"/>
      <c r="AE7" s="1484"/>
      <c r="AF7" s="2394"/>
      <c r="AG7" s="2264" t="s">
        <v>66</v>
      </c>
      <c r="AH7" s="2396"/>
      <c r="AI7" s="2264" t="s">
        <v>66</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52"/>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485</v>
      </c>
      <c r="U9" s="590"/>
      <c r="V9" s="590"/>
      <c r="W9" s="590"/>
      <c r="X9" s="590"/>
      <c r="Y9" s="590"/>
      <c r="Z9" s="590"/>
      <c r="AA9" s="590"/>
      <c r="AB9" s="590"/>
      <c r="AC9" s="590"/>
      <c r="AD9" s="590"/>
      <c r="AE9" s="590"/>
      <c r="AF9" s="590"/>
      <c r="AG9" s="590"/>
      <c r="AH9" s="590"/>
      <c r="AI9" s="590"/>
      <c r="AJ9" s="590"/>
      <c r="AK9" s="1485" t="s">
        <v>486</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50"/>
      <c r="R10" s="579"/>
      <c r="S10" s="1506"/>
      <c r="T10" s="588" t="s">
        <v>413</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14.25" hidden="1">
      <c r="A11" s="1591"/>
      <c r="B11" s="1591"/>
      <c r="C11" s="1591"/>
      <c r="D11" s="1591"/>
      <c r="E11" s="2390"/>
      <c r="F11" s="2390"/>
      <c r="G11" s="2390"/>
      <c r="H11" s="2389"/>
      <c r="I11" s="1591"/>
      <c r="J11" s="1591"/>
      <c r="K11" s="1591"/>
      <c r="L11" s="1592"/>
      <c r="M11" s="1593"/>
      <c r="N11" s="1593"/>
      <c r="O11" s="760"/>
      <c r="P11" s="583"/>
      <c r="Q11" s="598"/>
      <c r="R11" s="578"/>
      <c r="S11" s="1506"/>
      <c r="T11" s="595" t="s">
        <v>487</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3514" customFormat="1" customHeight="1" ht="14.25" hidden="1">
      <c r="A12" s="1571"/>
      <c r="B12" s="1571"/>
      <c r="C12" s="1542"/>
      <c r="D12" s="1542"/>
      <c r="E12" s="2390"/>
      <c r="F12" s="2389"/>
      <c r="G12" s="1542"/>
      <c r="H12" s="1542"/>
      <c r="I12" s="1542"/>
      <c r="J12" s="1542"/>
      <c r="K12" s="1542"/>
      <c r="L12" s="1654"/>
      <c r="M12" s="1549"/>
      <c r="N12" s="1549"/>
      <c r="P12" s="1544"/>
      <c r="Q12" s="1545"/>
      <c r="R12" s="1544"/>
      <c r="S12" s="1550"/>
      <c r="T12" s="1553" t="s">
        <v>252</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3606"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253</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66</v>
      </c>
      <c r="AH15" s="2387"/>
      <c r="AI15" s="2386" t="s">
        <v>66</v>
      </c>
    </row>
    <row customHeight="1" ht="14.25" hidden="1">
      <c r="AC16" s="1588"/>
      <c r="AD16" s="1588"/>
      <c r="AE16" s="551" t="str">
        <f>AF15&amp;"-"&amp;AH15</f>
        <v>-</v>
      </c>
      <c r="AF16" s="2386"/>
      <c r="AG16" s="2386"/>
      <c r="AH16" s="2386"/>
      <c r="AI16" s="2386"/>
    </row>
    <row customHeight="1" ht="14.25" hidden="1">
      <c r="AI17" s="550"/>
    </row>
    <row s="13533" customFormat="1" customHeight="1" ht="22.5" hidden="1">
      <c r="L18" s="1649"/>
      <c r="M18" s="1590"/>
      <c r="N18" s="1590"/>
      <c r="O18" s="1595" t="s">
        <v>416</v>
      </c>
      <c r="P18" s="1590"/>
      <c r="Q18" s="1599"/>
      <c r="R18" s="1599"/>
      <c r="S18" s="952"/>
      <c r="Y18" s="1595"/>
      <c r="AA18" s="1595"/>
      <c r="AB18" s="1594"/>
      <c r="AF18" s="1595"/>
      <c r="AH18" s="1595"/>
      <c r="AI18" s="1594"/>
      <c r="AL18" s="734"/>
      <c r="AM18" s="734"/>
      <c r="AN18" s="734"/>
      <c r="AO18" s="734"/>
      <c r="AP18" s="734"/>
    </row>
    <row s="13533" customFormat="1" customHeight="1" ht="14.25" hidden="1">
      <c r="L19" s="1649"/>
      <c r="M19" s="1590"/>
      <c r="N19" s="1590"/>
      <c r="O19" s="1590"/>
      <c r="P19" s="1590"/>
      <c r="Q19" s="1599"/>
      <c r="R19" s="1599"/>
      <c r="S19" s="952"/>
      <c r="AB19" s="1594"/>
      <c r="AI19" s="1594"/>
      <c r="AL19" s="734"/>
      <c r="AM19" s="734"/>
      <c r="AN19" s="734"/>
      <c r="AO19" s="734"/>
      <c r="AP19" s="734"/>
    </row>
    <row s="13533" customFormat="1" customHeight="1" ht="12" hidden="1">
      <c r="L20" s="1649"/>
      <c r="M20" s="1590"/>
      <c r="N20" s="1590"/>
      <c r="O20" s="1592" t="s">
        <v>417</v>
      </c>
      <c r="P20" s="1590"/>
      <c r="Q20" s="1670"/>
      <c r="R20" s="1670"/>
      <c r="S20" s="952"/>
      <c r="T20" s="1385" t="s">
        <v>418</v>
      </c>
      <c r="Z20" s="409" t="s">
        <v>419</v>
      </c>
      <c r="AB20" s="409" t="s">
        <v>420</v>
      </c>
      <c r="AC20" s="1385" t="s">
        <v>418</v>
      </c>
      <c r="AG20" s="409" t="s">
        <v>421</v>
      </c>
      <c r="AI20" s="409" t="s">
        <v>420</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ООО "Новая Энергетика"</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3547"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Агенство по тарифам Приморского края</v>
      </c>
      <c r="W27" s="2382"/>
      <c r="X27" s="2382"/>
      <c r="Y27" s="2382"/>
      <c r="Z27" s="2382"/>
      <c r="AA27" s="2382"/>
      <c r="AB27" s="549"/>
      <c r="AC27" s="2382" t="str">
        <f>IF(TITLE_NAME_OR_PR_CHANGE="",IF(TITLE_NAME_OR_PR="","",TITLE_NAME_OR_PR),TITLE_NAME_OR_PR_CHANGE)</f>
        <v>Агенство по тарифам Приморского края</v>
      </c>
      <c r="AD27" s="2382"/>
      <c r="AE27" s="2382"/>
      <c r="AF27" s="2382"/>
      <c r="AG27" s="2382"/>
      <c r="AH27" s="2382"/>
      <c r="AI27" s="549"/>
      <c r="AJ27" s="549"/>
      <c r="AK27" s="503"/>
      <c r="AL27" s="591"/>
      <c r="AM27" s="591"/>
      <c r="AN27" s="591"/>
      <c r="AO27" s="591"/>
      <c r="AP27" s="591"/>
    </row>
    <row s="13547" customFormat="1" customHeight="1" ht="18.75">
      <c r="A28" s="1596"/>
      <c r="B28" s="1596"/>
      <c r="C28" s="1596"/>
      <c r="D28" s="1596"/>
      <c r="E28" s="1596"/>
      <c r="F28" s="1596"/>
      <c r="G28" s="1596"/>
      <c r="H28" s="1596"/>
      <c r="I28" s="1596"/>
      <c r="J28" s="1596"/>
      <c r="K28" s="1596"/>
      <c r="L28" s="1597"/>
      <c r="M28" s="1596"/>
      <c r="N28" s="1596"/>
      <c r="O28" s="1596"/>
      <c r="S28" s="2380" t="s">
        <v>422</v>
      </c>
      <c r="T28" s="2380"/>
      <c r="U28" s="1600"/>
      <c r="V28" s="2381" t="str">
        <f>IF(TITLE_DATE_PR_CHANGE="",IF(TITLE_DATE_PR="","",TITLE_DATE_PR),TITLE_DATE_PR_CHANGE)</f>
        <v>45281.66994212963</v>
      </c>
      <c r="W28" s="2381"/>
      <c r="X28" s="2381"/>
      <c r="Y28" s="2381"/>
      <c r="Z28" s="2381"/>
      <c r="AA28" s="2381"/>
      <c r="AB28" s="549"/>
      <c r="AC28" s="2381" t="str">
        <f>IF(TITLE_DATE_PR_CHANGE="",IF(TITLE_DATE_PR="","",TITLE_DATE_PR),TITLE_DATE_PR_CHANGE)</f>
        <v>45281.66994212963</v>
      </c>
      <c r="AD28" s="2381"/>
      <c r="AE28" s="2381"/>
      <c r="AF28" s="2381"/>
      <c r="AG28" s="2381"/>
      <c r="AH28" s="2381"/>
      <c r="AI28" s="549"/>
      <c r="AJ28" s="549"/>
      <c r="AK28" s="503"/>
      <c r="AL28" s="591"/>
      <c r="AM28" s="591"/>
      <c r="AN28" s="591"/>
      <c r="AO28" s="591"/>
      <c r="AP28" s="591"/>
    </row>
    <row s="13547" customFormat="1" customHeight="1" ht="18.75">
      <c r="A29" s="1596"/>
      <c r="B29" s="1596"/>
      <c r="C29" s="1596"/>
      <c r="D29" s="1596"/>
      <c r="E29" s="1596"/>
      <c r="F29" s="1596"/>
      <c r="G29" s="1596"/>
      <c r="H29" s="1596"/>
      <c r="I29" s="1596"/>
      <c r="J29" s="1596"/>
      <c r="K29" s="1596"/>
      <c r="L29" s="1597"/>
      <c r="M29" s="1596"/>
      <c r="N29" s="1596"/>
      <c r="O29" s="1596"/>
      <c r="S29" s="2380" t="s">
        <v>423</v>
      </c>
      <c r="T29" s="2380"/>
      <c r="U29" s="1600"/>
      <c r="V29" s="2382" t="str">
        <f>IF(TITLE_NUMBER_PR_CHANGE="",IF(TITLE_NUMBER_PR="","",TITLE_NUMBER_PR),TITLE_NUMBER_PR_CHANGE)</f>
        <v>72/1</v>
      </c>
      <c r="W29" s="2382"/>
      <c r="X29" s="2382"/>
      <c r="Y29" s="2382"/>
      <c r="Z29" s="2382"/>
      <c r="AA29" s="2382"/>
      <c r="AB29" s="549"/>
      <c r="AC29" s="2382" t="str">
        <f>IF(TITLE_NUMBER_PR_CHANGE="",IF(TITLE_NUMBER_PR="","",TITLE_NUMBER_PR),TITLE_NUMBER_PR_CHANGE)</f>
        <v>72/1</v>
      </c>
      <c r="AD29" s="2382"/>
      <c r="AE29" s="2382"/>
      <c r="AF29" s="2382"/>
      <c r="AG29" s="2382"/>
      <c r="AH29" s="2382"/>
      <c r="AI29" s="549"/>
      <c r="AJ29" s="549"/>
      <c r="AK29" s="503"/>
      <c r="AL29" s="591"/>
      <c r="AM29" s="591"/>
      <c r="AN29" s="591"/>
      <c r="AO29" s="591"/>
      <c r="AP29" s="591"/>
    </row>
    <row s="13547"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http://pravo.gov.ru Номер опубликования: 2501202312270032 Дата опубликования: 27.12.2023</v>
      </c>
      <c r="W30" s="2382"/>
      <c r="X30" s="2382"/>
      <c r="Y30" s="2382"/>
      <c r="Z30" s="2382"/>
      <c r="AA30" s="2382"/>
      <c r="AB30" s="549"/>
      <c r="AC30" s="2382" t="str">
        <f>IF(TITLE_IST_PUB_CHANGE="",IF(TITLE_IST_PUB="","",TITLE_IST_PUB),TITLE_IST_PUB_CHANGE)</f>
        <v>http://pravo.gov.ru Номер опубликования: 2501202312270032 Дата опубликования: 27.12.2023</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3547" customFormat="1" customHeight="1" ht="18.75" hidden="1">
      <c r="A32" s="1596"/>
      <c r="B32" s="1596"/>
      <c r="C32" s="1596"/>
      <c r="D32" s="1596"/>
      <c r="E32" s="1596"/>
      <c r="F32" s="1596"/>
      <c r="G32" s="1596"/>
      <c r="H32" s="1596"/>
      <c r="I32" s="1596"/>
      <c r="J32" s="1596"/>
      <c r="K32" s="1596"/>
      <c r="L32" s="1597"/>
      <c r="M32" s="1596"/>
      <c r="N32" s="1596"/>
      <c r="O32" s="1596"/>
      <c r="S32" s="2380" t="s">
        <v>424</v>
      </c>
      <c r="T32" s="2380"/>
      <c r="U32" s="1600"/>
      <c r="V32" s="2381" t="str">
        <f>IF(TITLE_DATE_PR_CHANGE="",IF(TITLE_DATE_PR="","",TITLE_DATE_PR),TITLE_DATE_PR_CHANGE)</f>
        <v>45281.66994212963</v>
      </c>
      <c r="W32" s="2381"/>
      <c r="X32" s="2381"/>
      <c r="Y32" s="2381"/>
      <c r="Z32" s="2381"/>
      <c r="AA32" s="2381"/>
      <c r="AB32" s="549"/>
      <c r="AC32" s="2381" t="str">
        <f>IF(TITLE_DATE_PR_CHANGE="",IF(TITLE_DATE_PR="","",TITLE_DATE_PR),TITLE_DATE_PR_CHANGE)</f>
        <v>45281.66994212963</v>
      </c>
      <c r="AD32" s="2381"/>
      <c r="AE32" s="2381"/>
      <c r="AF32" s="2381"/>
      <c r="AG32" s="2381"/>
      <c r="AH32" s="2381"/>
      <c r="AI32" s="549"/>
      <c r="AJ32" s="549"/>
      <c r="AK32" s="503"/>
      <c r="AL32" s="591"/>
      <c r="AM32" s="591"/>
      <c r="AN32" s="591"/>
      <c r="AO32" s="591"/>
      <c r="AP32" s="591"/>
    </row>
    <row s="13547" customFormat="1" customHeight="1" ht="18.75" hidden="1">
      <c r="A33" s="1596"/>
      <c r="B33" s="1596"/>
      <c r="C33" s="1596"/>
      <c r="D33" s="1596"/>
      <c r="E33" s="1596"/>
      <c r="F33" s="1596"/>
      <c r="G33" s="1596"/>
      <c r="H33" s="1596"/>
      <c r="I33" s="1596"/>
      <c r="J33" s="1596"/>
      <c r="K33" s="1596"/>
      <c r="L33" s="1597"/>
      <c r="M33" s="1596"/>
      <c r="N33" s="1596"/>
      <c r="O33" s="1596"/>
      <c r="S33" s="2380" t="s">
        <v>425</v>
      </c>
      <c r="T33" s="2380"/>
      <c r="U33" s="1600"/>
      <c r="V33" s="2382" t="str">
        <f>IF(TITLE_NUMBER_PR_CHANGE="",IF(TITLE_NUMBER_PR="","",TITLE_NUMBER_PR),TITLE_NUMBER_PR_CHANGE)</f>
        <v>72/1</v>
      </c>
      <c r="W33" s="2382"/>
      <c r="X33" s="2382"/>
      <c r="Y33" s="2382"/>
      <c r="Z33" s="2382"/>
      <c r="AA33" s="2382"/>
      <c r="AB33" s="549"/>
      <c r="AC33" s="2382" t="str">
        <f>IF(TITLE_NUMBER_PR_CHANGE="",IF(TITLE_NUMBER_PR="","",TITLE_NUMBER_PR),TITLE_NUMBER_PR_CHANGE)</f>
        <v>72/1</v>
      </c>
      <c r="AD33" s="2382"/>
      <c r="AE33" s="2382"/>
      <c r="AF33" s="2382"/>
      <c r="AG33" s="2382"/>
      <c r="AH33" s="2382"/>
      <c r="AI33" s="549"/>
      <c r="AJ33" s="549"/>
      <c r="AK33" s="503"/>
      <c r="AL33" s="591"/>
      <c r="AM33" s="591"/>
      <c r="AN33" s="591"/>
      <c r="AO33" s="591"/>
      <c r="AP33" s="591"/>
    </row>
    <row s="13547" customFormat="1" customHeight="1" ht="0.75">
      <c r="A34" s="1596"/>
      <c r="B34" s="1596"/>
      <c r="C34" s="1596"/>
      <c r="D34" s="1596"/>
      <c r="E34" s="1596"/>
      <c r="F34" s="1596"/>
      <c r="G34" s="1596"/>
      <c r="H34" s="1596"/>
      <c r="I34" s="1596"/>
      <c r="J34" s="1596"/>
      <c r="K34" s="1596"/>
      <c r="L34" s="1597"/>
      <c r="M34" s="1596"/>
      <c r="N34" s="1596"/>
      <c r="O34" s="1596"/>
      <c r="S34" s="546"/>
      <c r="T34" s="546"/>
      <c r="U34" s="1583"/>
      <c r="V34" s="549"/>
      <c r="W34" s="549"/>
      <c r="X34" s="549"/>
      <c r="Y34" s="549"/>
      <c r="Z34" s="549"/>
      <c r="AA34" s="549"/>
      <c r="AB34" s="501" t="s">
        <v>426</v>
      </c>
      <c r="AC34" s="549"/>
      <c r="AD34" s="549"/>
      <c r="AE34" s="549"/>
      <c r="AF34" s="549"/>
      <c r="AG34" s="549"/>
      <c r="AH34" s="549"/>
      <c r="AI34" s="501" t="s">
        <v>426</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301</v>
      </c>
      <c r="T36" s="2254"/>
      <c r="U36" s="2254"/>
      <c r="V36" s="2254"/>
      <c r="W36" s="2254"/>
      <c r="X36" s="2254"/>
      <c r="Y36" s="2254"/>
      <c r="Z36" s="2254"/>
      <c r="AA36" s="2254"/>
      <c r="AB36" s="2254"/>
      <c r="AC36" s="2254"/>
      <c r="AD36" s="2254"/>
      <c r="AE36" s="2254"/>
      <c r="AF36" s="2254"/>
      <c r="AG36" s="2254"/>
      <c r="AH36" s="2254"/>
      <c r="AI36" s="2254"/>
      <c r="AJ36" s="2254"/>
      <c r="AK36" s="2254" t="s">
        <v>302</v>
      </c>
    </row>
    <row customHeight="1" ht="14.25">
      <c r="Q37" s="599"/>
      <c r="R37" s="599"/>
      <c r="S37" s="2407" t="s">
        <v>87</v>
      </c>
      <c r="T37" s="2344" t="s">
        <v>427</v>
      </c>
      <c r="U37" s="524"/>
      <c r="V37" s="2408" t="s">
        <v>428</v>
      </c>
      <c r="W37" s="2409"/>
      <c r="X37" s="2409"/>
      <c r="Y37" s="2409"/>
      <c r="Z37" s="2409"/>
      <c r="AA37" s="2410"/>
      <c r="AB37" s="2411" t="s">
        <v>429</v>
      </c>
      <c r="AC37" s="2408" t="s">
        <v>428</v>
      </c>
      <c r="AD37" s="2409"/>
      <c r="AE37" s="2409"/>
      <c r="AF37" s="2409"/>
      <c r="AG37" s="2409"/>
      <c r="AH37" s="2410"/>
      <c r="AI37" s="2411" t="s">
        <v>430</v>
      </c>
      <c r="AJ37" s="2414" t="s">
        <v>431</v>
      </c>
      <c r="AK37" s="2254"/>
    </row>
    <row customHeight="1" ht="33.75">
      <c r="Q38" s="599"/>
      <c r="R38" s="599"/>
      <c r="S38" s="2407"/>
      <c r="T38" s="2344"/>
      <c r="U38" s="1255"/>
      <c r="V38" s="1580" t="s">
        <v>488</v>
      </c>
      <c r="W38" s="2400" t="s">
        <v>434</v>
      </c>
      <c r="X38" s="2402"/>
      <c r="Y38" s="2400" t="s">
        <v>435</v>
      </c>
      <c r="Z38" s="2401"/>
      <c r="AA38" s="2402"/>
      <c r="AB38" s="2412"/>
      <c r="AC38" s="1580" t="s">
        <v>488</v>
      </c>
      <c r="AD38" s="2400" t="s">
        <v>434</v>
      </c>
      <c r="AE38" s="2402"/>
      <c r="AF38" s="2400" t="s">
        <v>435</v>
      </c>
      <c r="AG38" s="2401"/>
      <c r="AH38" s="2402"/>
      <c r="AI38" s="2412"/>
      <c r="AJ38" s="2415"/>
      <c r="AK38" s="2254"/>
    </row>
    <row customHeight="1" ht="33.75">
      <c r="A39" s="1598"/>
      <c r="B39" s="1598" t="s">
        <v>134</v>
      </c>
      <c r="C39" s="1598" t="s">
        <v>135</v>
      </c>
      <c r="D39" s="1598" t="s">
        <v>136</v>
      </c>
      <c r="E39" s="1592" t="s">
        <v>436</v>
      </c>
      <c r="F39" s="1592" t="s">
        <v>437</v>
      </c>
      <c r="G39" s="1592" t="s">
        <v>438</v>
      </c>
      <c r="H39" s="1592"/>
      <c r="I39" s="1592" t="s">
        <v>489</v>
      </c>
      <c r="J39" s="1592" t="s">
        <v>441</v>
      </c>
      <c r="K39" s="1592" t="s">
        <v>490</v>
      </c>
      <c r="L39" s="1592" t="s">
        <v>417</v>
      </c>
      <c r="Q39" s="599"/>
      <c r="R39" s="599"/>
      <c r="S39" s="2407"/>
      <c r="T39" s="2344"/>
      <c r="U39" s="525"/>
      <c r="V39" s="1580" t="s">
        <v>491</v>
      </c>
      <c r="W39" s="1449" t="s">
        <v>492</v>
      </c>
      <c r="X39" s="1449" t="s">
        <v>493</v>
      </c>
      <c r="Y39" s="1585" t="s">
        <v>445</v>
      </c>
      <c r="Z39" s="2403" t="s">
        <v>446</v>
      </c>
      <c r="AA39" s="2404"/>
      <c r="AB39" s="2413"/>
      <c r="AC39" s="1580" t="s">
        <v>491</v>
      </c>
      <c r="AD39" s="1449" t="s">
        <v>492</v>
      </c>
      <c r="AE39" s="1449" t="s">
        <v>493</v>
      </c>
      <c r="AF39" s="1585" t="s">
        <v>445</v>
      </c>
      <c r="AG39" s="2403" t="s">
        <v>446</v>
      </c>
      <c r="AH39" s="2404"/>
      <c r="AI39" s="2413"/>
      <c r="AJ39" s="2416"/>
      <c r="AK39" s="2254"/>
    </row>
    <row s="13364" customFormat="1" customHeight="1" ht="11.25" hidden="1">
      <c r="A40" s="1598"/>
      <c r="B40" s="1598"/>
      <c r="C40" s="1598"/>
      <c r="D40" s="1598"/>
      <c r="E40" s="1598"/>
      <c r="F40" s="1598"/>
      <c r="G40" s="1598"/>
      <c r="H40" s="1598"/>
      <c r="I40" s="1598"/>
      <c r="J40" s="1598"/>
      <c r="K40" s="1598"/>
      <c r="L40" s="1592"/>
      <c r="M40" s="1590"/>
      <c r="N40" s="1590"/>
      <c r="O40" s="1590"/>
      <c r="P40" s="1473"/>
      <c r="Q40" s="1474"/>
      <c r="R40" s="1481">
        <v>1</v>
      </c>
      <c r="S40" s="1505" t="s">
        <v>108</v>
      </c>
      <c r="T40" s="1482" t="s">
        <v>109</v>
      </c>
      <c r="U40" s="1472" t="str">
        <f>OFFSET(U40,0,-1)</f>
        <v>2</v>
      </c>
      <c r="V40" s="1581">
        <f>OFFSET(V40,0,-1)+1</f>
        <v>3</v>
      </c>
      <c r="W40" s="1581">
        <f>OFFSET(W40,0,-1)+1</f>
        <v>4</v>
      </c>
      <c r="X40" s="1581">
        <f>OFFSET(X40,0,-1)+1</f>
        <v>5</v>
      </c>
      <c r="Y40" s="1581">
        <f>OFFSET(Y40,0,-1)+1</f>
        <v>6</v>
      </c>
      <c r="Z40" s="2405">
        <f>OFFSET(Z40,0,-1)+1</f>
        <v>7</v>
      </c>
      <c r="AA40" s="2405"/>
      <c r="AB40" s="1581">
        <f>OFFSET(AB40,0,-2)+1</f>
        <v>8</v>
      </c>
      <c r="AC40" s="1581">
        <f>OFFSET(AC40,0,-1)+1</f>
        <v>9</v>
      </c>
      <c r="AD40" s="1581">
        <f>OFFSET(AD40,0,-1)+1</f>
        <v>10</v>
      </c>
      <c r="AE40" s="1581">
        <f>OFFSET(AE40,0,-1)+1</f>
        <v>11</v>
      </c>
      <c r="AF40" s="1581">
        <f>OFFSET(AF40,0,-1)+1</f>
        <v>12</v>
      </c>
      <c r="AG40" s="2405">
        <f>OFFSET(AG40,0,-1)+1</f>
        <v>13</v>
      </c>
      <c r="AH40" s="2405"/>
      <c r="AI40" s="1581">
        <f>OFFSET(AI40,0,-2)+1</f>
        <v>14</v>
      </c>
      <c r="AJ40" s="1472">
        <f>OFFSET(AJ40,0,-1)</f>
        <v>14</v>
      </c>
      <c r="AK40" s="1581">
        <f>OFFSET(AK40,0,-1)+1</f>
        <v>15</v>
      </c>
      <c r="AL40" s="734"/>
      <c r="AM40" s="734"/>
      <c r="AN40" s="734"/>
      <c r="AO40" s="734"/>
      <c r="AP40" s="734"/>
    </row>
    <row customHeight="1" ht="23.25">
      <c r="A41" s="1591" t="s">
        <v>223</v>
      </c>
      <c r="B41" s="1591"/>
      <c r="C41" s="1591"/>
      <c r="D41" s="1591"/>
      <c r="E41" s="2389">
        <v>1</v>
      </c>
      <c r="F41" s="1591"/>
      <c r="G41" s="1591"/>
      <c r="H41" s="1591"/>
      <c r="I41" s="1591"/>
      <c r="J41" s="1591"/>
      <c r="K41" s="1591"/>
      <c r="L41" s="1592"/>
      <c r="M41" s="1593"/>
      <c r="N41" s="1593"/>
      <c r="O41" s="1593"/>
      <c r="P41" s="584"/>
      <c r="Q41" s="583"/>
      <c r="R41" s="578"/>
      <c r="S41" s="1586">
        <f>INDEX(PT_DIFFERENTIATION_NUM_NTAR,MATCH(A41,PT_DIFFERENTIATION_NTAR_ID,0))</f>
        <v>0</v>
      </c>
      <c r="T41" s="521" t="s">
        <v>122</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223</v>
      </c>
      <c r="B42" s="1591" t="s">
        <v>224</v>
      </c>
      <c r="C42" s="1591"/>
      <c r="D42" s="1591"/>
      <c r="E42" s="2390"/>
      <c r="F42" s="2389">
        <v>1</v>
      </c>
      <c r="G42" s="1591"/>
      <c r="H42" s="1591"/>
      <c r="I42" s="1591"/>
      <c r="J42" s="1591"/>
      <c r="K42" s="1591"/>
      <c r="L42" s="1592"/>
      <c r="M42" s="1593"/>
      <c r="N42" s="1593"/>
      <c r="O42" s="1593"/>
      <c r="P42" s="1584"/>
      <c r="Q42" s="575"/>
      <c r="R42" s="576"/>
      <c r="S42" s="1586" t="str">
        <f>INDEX(PT_DIFFERENTIATION_NUM_TER,MATCH(B42,PT_DIFFERENTIATION_TER_ID,0))</f>
        <v>.</v>
      </c>
      <c r="T42" s="531" t="s">
        <v>398</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399</v>
      </c>
      <c r="AM42" s="723"/>
      <c r="AN42" s="723" t="str">
        <f>IF(T42="","",T42)</f>
        <v>Территория действия тарифа</v>
      </c>
      <c r="AO42" s="723"/>
      <c r="AP42" s="723"/>
    </row>
    <row customHeight="1" ht="23.25">
      <c r="A43" s="1591" t="s">
        <v>223</v>
      </c>
      <c r="B43" s="1591" t="s">
        <v>224</v>
      </c>
      <c r="C43" s="1591" t="s">
        <v>225</v>
      </c>
      <c r="D43" s="1591"/>
      <c r="E43" s="2390"/>
      <c r="F43" s="2390"/>
      <c r="G43" s="2389">
        <v>1</v>
      </c>
      <c r="H43" s="1591"/>
      <c r="I43" s="1591"/>
      <c r="J43" s="1591"/>
      <c r="K43" s="1591"/>
      <c r="L43" s="1592"/>
      <c r="M43" s="1593"/>
      <c r="N43" s="1593"/>
      <c r="O43" s="1593"/>
      <c r="P43" s="577"/>
      <c r="Q43" s="575"/>
      <c r="R43" s="576"/>
      <c r="S43" s="1586" t="str">
        <f>INDEX(PT_DIFFERENTIATION_NUM_CS,MATCH(C43,PT_DIFFERENTIATION_CS_ID,0))</f>
        <v>..</v>
      </c>
      <c r="T43" s="532" t="s">
        <v>480</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481</v>
      </c>
      <c r="AM43" s="723"/>
      <c r="AN43" s="723" t="str">
        <f>IF(T43="","",T43)</f>
        <v>Наименование централизованной системы холодного водоснабжения</v>
      </c>
      <c r="AO43" s="723"/>
      <c r="AP43" s="723"/>
    </row>
    <row customHeight="1" ht="23.25">
      <c r="A44" s="1591" t="s">
        <v>223</v>
      </c>
      <c r="B44" s="1591" t="s">
        <v>224</v>
      </c>
      <c r="C44" s="1591" t="s">
        <v>225</v>
      </c>
      <c r="D44" s="1591" t="s">
        <v>494</v>
      </c>
      <c r="E44" s="2390"/>
      <c r="F44" s="2390"/>
      <c r="G44" s="2390"/>
      <c r="H44" s="2390"/>
      <c r="I44" s="2391" t="str">
        <f>S43&amp;".1"</f>
        <v>...1</v>
      </c>
      <c r="J44" s="1591"/>
      <c r="K44" s="1591"/>
      <c r="L44" s="1592"/>
      <c r="P44" s="2393">
        <v>1</v>
      </c>
      <c r="Q44" s="1582"/>
      <c r="R44" s="579"/>
      <c r="S44" s="1586" t="str">
        <f>$I44</f>
        <v>...1</v>
      </c>
      <c r="T44" s="508" t="s">
        <v>482</v>
      </c>
      <c r="U44" s="523"/>
      <c r="V44" s="2476"/>
      <c r="W44" s="2477"/>
      <c r="X44" s="2477"/>
      <c r="Y44" s="2477"/>
      <c r="Z44" s="2477"/>
      <c r="AA44" s="2477"/>
      <c r="AB44" s="2478"/>
      <c r="AC44" s="2479"/>
      <c r="AD44" s="2480"/>
      <c r="AE44" s="2480"/>
      <c r="AF44" s="2480"/>
      <c r="AG44" s="2480"/>
      <c r="AH44" s="2480"/>
      <c r="AI44" s="2480"/>
      <c r="AJ44" s="2481"/>
      <c r="AK44" s="1485" t="s">
        <v>483</v>
      </c>
      <c r="AM44" s="723"/>
      <c r="AN44" s="723" t="str">
        <f>IF(T44="","",T44)</f>
        <v>Наименование признака дифференциации</v>
      </c>
      <c r="AO44" s="723"/>
      <c r="AP44" s="723"/>
    </row>
    <row customHeight="1" ht="23.25">
      <c r="A45" s="1591" t="s">
        <v>223</v>
      </c>
      <c r="B45" s="1591" t="s">
        <v>224</v>
      </c>
      <c r="C45" s="1591" t="s">
        <v>225</v>
      </c>
      <c r="D45" s="1591" t="s">
        <v>494</v>
      </c>
      <c r="E45" s="2390"/>
      <c r="F45" s="2390"/>
      <c r="G45" s="2390"/>
      <c r="H45" s="2390"/>
      <c r="I45" s="2392"/>
      <c r="J45" s="2391" t="str">
        <f>I44&amp;".1"</f>
        <v>...1.1</v>
      </c>
      <c r="K45" s="1591"/>
      <c r="L45" s="1592" t="s">
        <v>407</v>
      </c>
      <c r="P45" s="2393"/>
      <c r="Q45" s="2393">
        <v>1</v>
      </c>
      <c r="R45" s="580"/>
      <c r="S45" s="1586" t="str">
        <f>$J45</f>
        <v>...1.1</v>
      </c>
      <c r="T45" s="509" t="s">
        <v>408</v>
      </c>
      <c r="U45" s="523"/>
      <c r="V45" s="2377"/>
      <c r="W45" s="2378"/>
      <c r="X45" s="2378"/>
      <c r="Y45" s="2378"/>
      <c r="Z45" s="2378"/>
      <c r="AA45" s="2378"/>
      <c r="AB45" s="2379"/>
      <c r="AC45" s="2377"/>
      <c r="AD45" s="2378"/>
      <c r="AE45" s="2378"/>
      <c r="AF45" s="2378"/>
      <c r="AG45" s="2378"/>
      <c r="AH45" s="2378"/>
      <c r="AI45" s="2378"/>
      <c r="AJ45" s="2379"/>
      <c r="AK45" s="1535" t="s">
        <v>484</v>
      </c>
      <c r="AM45" s="723"/>
      <c r="AN45" s="723" t="str">
        <f>IF(T45="","",T45)</f>
        <v>Группа потребителей</v>
      </c>
      <c r="AO45" s="723"/>
      <c r="AP45" s="723"/>
    </row>
    <row customHeight="1" ht="23.25">
      <c r="A46" s="1591" t="s">
        <v>223</v>
      </c>
      <c r="B46" s="1591" t="s">
        <v>224</v>
      </c>
      <c r="C46" s="1591" t="s">
        <v>225</v>
      </c>
      <c r="D46" s="1591" t="s">
        <v>494</v>
      </c>
      <c r="E46" s="2390"/>
      <c r="F46" s="2390"/>
      <c r="G46" s="2390"/>
      <c r="H46" s="2390"/>
      <c r="I46" s="2392"/>
      <c r="J46" s="2392"/>
      <c r="K46" s="2391" t="str">
        <f>J45&amp;".1"</f>
        <v>...1.1.1</v>
      </c>
      <c r="L46" s="1592"/>
      <c r="P46" s="2393"/>
      <c r="Q46" s="2393"/>
      <c r="R46" s="580">
        <v>1</v>
      </c>
      <c r="S46" s="1586" t="str">
        <f>$K46</f>
        <v>...1.1.1</v>
      </c>
      <c r="T46" s="1665"/>
      <c r="U46" s="523"/>
      <c r="V46" s="1588"/>
      <c r="W46" s="1588"/>
      <c r="X46" s="1589"/>
      <c r="Y46" s="2387"/>
      <c r="Z46" s="2386" t="s">
        <v>66</v>
      </c>
      <c r="AA46" s="2387"/>
      <c r="AB46" s="2386" t="s">
        <v>66</v>
      </c>
      <c r="AC46" s="974"/>
      <c r="AD46" s="974"/>
      <c r="AE46" s="1484"/>
      <c r="AF46" s="2394"/>
      <c r="AG46" s="2264" t="s">
        <v>66</v>
      </c>
      <c r="AH46" s="2396"/>
      <c r="AI46" s="2264" t="s">
        <v>56</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223</v>
      </c>
      <c r="B47" s="1591" t="s">
        <v>224</v>
      </c>
      <c r="C47" s="1591" t="s">
        <v>225</v>
      </c>
      <c r="D47" s="1591" t="s">
        <v>494</v>
      </c>
      <c r="E47" s="2390"/>
      <c r="F47" s="2390"/>
      <c r="G47" s="2390"/>
      <c r="H47" s="2390"/>
      <c r="I47" s="2392"/>
      <c r="J47" s="2392"/>
      <c r="K47" s="2391"/>
      <c r="L47" s="1592"/>
      <c r="P47" s="2393"/>
      <c r="Q47" s="2393"/>
      <c r="R47" s="580"/>
      <c r="S47" s="1587"/>
      <c r="T47" s="523"/>
      <c r="U47" s="523"/>
      <c r="V47" s="1588"/>
      <c r="W47" s="1588"/>
      <c r="X47" s="551" t="str">
        <f>Y46&amp;"-"&amp;AA46</f>
        <v>-</v>
      </c>
      <c r="Y47" s="2386"/>
      <c r="Z47" s="2386"/>
      <c r="AA47" s="2386"/>
      <c r="AB47" s="2386"/>
      <c r="AC47" s="548"/>
      <c r="AD47" s="548"/>
      <c r="AE47" s="551" t="str">
        <f>AF46&amp;"-"&amp;AH46</f>
        <v>-</v>
      </c>
      <c r="AF47" s="2395"/>
      <c r="AG47" s="2264"/>
      <c r="AH47" s="2397"/>
      <c r="AI47" s="2264"/>
      <c r="AJ47" s="1667"/>
      <c r="AK47" s="2482"/>
      <c r="AM47" s="723"/>
      <c r="AN47" s="723" t="str">
        <f>IF(T47="","",T47)</f>
        <v/>
      </c>
      <c r="AO47" s="723"/>
      <c r="AP47" s="723"/>
    </row>
    <row customHeight="1" ht="21">
      <c r="A48" s="1591" t="s">
        <v>223</v>
      </c>
      <c r="B48" s="1591" t="s">
        <v>224</v>
      </c>
      <c r="C48" s="1591" t="s">
        <v>225</v>
      </c>
      <c r="D48" s="1591" t="s">
        <v>494</v>
      </c>
      <c r="E48" s="2390"/>
      <c r="F48" s="2390"/>
      <c r="G48" s="2390"/>
      <c r="H48" s="2390"/>
      <c r="I48" s="2392"/>
      <c r="J48" s="2391"/>
      <c r="K48" s="1591"/>
      <c r="L48" s="1592"/>
      <c r="P48" s="2393"/>
      <c r="Q48" s="2393"/>
      <c r="R48" s="579"/>
      <c r="S48" s="1506"/>
      <c r="T48" s="510" t="s">
        <v>485</v>
      </c>
      <c r="U48" s="590"/>
      <c r="V48" s="590"/>
      <c r="W48" s="590"/>
      <c r="X48" s="590"/>
      <c r="Y48" s="590"/>
      <c r="Z48" s="590"/>
      <c r="AA48" s="590"/>
      <c r="AB48" s="590"/>
      <c r="AC48" s="590"/>
      <c r="AD48" s="590"/>
      <c r="AE48" s="590"/>
      <c r="AF48" s="590"/>
      <c r="AG48" s="590"/>
      <c r="AH48" s="590"/>
      <c r="AI48" s="590"/>
      <c r="AJ48" s="590"/>
      <c r="AK48" s="1485" t="s">
        <v>486</v>
      </c>
      <c r="AM48" s="723"/>
      <c r="AN48" s="723" t="str">
        <f>IF(T48="","",T48)</f>
        <v>Добавить значение признака дифференциации</v>
      </c>
      <c r="AO48" s="723"/>
      <c r="AP48" s="723"/>
    </row>
    <row customHeight="1" ht="21">
      <c r="A49" s="1591" t="s">
        <v>223</v>
      </c>
      <c r="B49" s="1591" t="s">
        <v>224</v>
      </c>
      <c r="C49" s="1591" t="s">
        <v>225</v>
      </c>
      <c r="D49" s="1591" t="s">
        <v>494</v>
      </c>
      <c r="E49" s="2390"/>
      <c r="F49" s="2390"/>
      <c r="G49" s="2390"/>
      <c r="H49" s="2390"/>
      <c r="I49" s="2391"/>
      <c r="J49" s="1591"/>
      <c r="K49" s="1591"/>
      <c r="L49" s="1592"/>
      <c r="P49" s="2393"/>
      <c r="Q49" s="1582"/>
      <c r="R49" s="579"/>
      <c r="S49" s="1506"/>
      <c r="T49" s="588" t="s">
        <v>413</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223</v>
      </c>
      <c r="B50" s="1591" t="s">
        <v>224</v>
      </c>
      <c r="C50" s="1591" t="s">
        <v>225</v>
      </c>
      <c r="D50" s="1591" t="s">
        <v>494</v>
      </c>
      <c r="E50" s="2390"/>
      <c r="F50" s="2390"/>
      <c r="G50" s="2390"/>
      <c r="H50" s="2389"/>
      <c r="I50" s="1591"/>
      <c r="J50" s="1591"/>
      <c r="K50" s="1591"/>
      <c r="L50" s="1592"/>
      <c r="M50" s="1593"/>
      <c r="N50" s="1593"/>
      <c r="O50" s="760"/>
      <c r="P50" s="583"/>
      <c r="Q50" s="598"/>
      <c r="R50" s="578"/>
      <c r="S50" s="1506"/>
      <c r="T50" s="595" t="s">
        <v>487</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3514" customFormat="1" customHeight="1" ht="0">
      <c r="A51" s="1571" t="s">
        <v>223</v>
      </c>
      <c r="B51" s="1571" t="s">
        <v>224</v>
      </c>
      <c r="C51" s="1542"/>
      <c r="D51" s="1542"/>
      <c r="E51" s="2390"/>
      <c r="F51" s="2389"/>
      <c r="G51" s="1542"/>
      <c r="H51" s="1542"/>
      <c r="I51" s="1542"/>
      <c r="J51" s="1542"/>
      <c r="K51" s="1542"/>
      <c r="L51" s="1654"/>
      <c r="M51" s="1549"/>
      <c r="N51" s="1549"/>
      <c r="P51" s="1544"/>
      <c r="Q51" s="1545"/>
      <c r="R51" s="1544"/>
      <c r="S51" s="1550"/>
      <c r="T51" s="1553" t="s">
        <v>252</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3606" customFormat="1" customHeight="1" ht="0">
      <c r="A52" s="1571" t="s">
        <v>223</v>
      </c>
      <c r="B52" s="1571"/>
      <c r="C52" s="1571"/>
      <c r="D52" s="1571"/>
      <c r="E52" s="2389"/>
      <c r="F52" s="1571"/>
      <c r="G52" s="1571"/>
      <c r="H52" s="1571"/>
      <c r="I52" s="1571"/>
      <c r="J52" s="1571"/>
      <c r="K52" s="1571"/>
      <c r="L52" s="1574"/>
      <c r="M52" s="1549"/>
      <c r="N52" s="1549"/>
      <c r="O52" s="741"/>
      <c r="P52" s="603"/>
      <c r="Q52" s="1572"/>
      <c r="R52" s="603"/>
      <c r="S52" s="1550"/>
      <c r="T52" s="1553" t="s">
        <v>253</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3514" customFormat="1" customHeight="1" ht="0">
      <c r="A53" s="1542"/>
      <c r="B53" s="1542"/>
      <c r="C53" s="1542"/>
      <c r="D53" s="1542"/>
      <c r="E53" s="1571"/>
      <c r="F53" s="1542"/>
      <c r="G53" s="1542"/>
      <c r="H53" s="1542"/>
      <c r="I53" s="1542"/>
      <c r="J53" s="1542"/>
      <c r="K53" s="1542"/>
      <c r="L53" s="1654"/>
      <c r="M53" s="1549"/>
      <c r="N53" s="1549"/>
      <c r="P53" s="1544"/>
      <c r="Q53" s="1545"/>
      <c r="R53" s="1544"/>
      <c r="S53" s="1550"/>
      <c r="T53" s="1553" t="s">
        <v>254</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99C36-D409-4D4F-984D-9BCDB3021C2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533" width="10.57421875" hidden="1"/>
    <col min="2" max="2" style="13533" width="11.00390625" hidden="1" customWidth="1"/>
    <col min="3" max="3" style="13533" width="10.57421875" hidden="1"/>
    <col min="4" max="4" style="13533" width="11.8515625" hidden="1" customWidth="1"/>
    <col min="5" max="5" style="13533" width="10.00390625" hidden="1" customWidth="1"/>
    <col min="6" max="6" style="13533" width="8.7109375" hidden="1" customWidth="1"/>
    <col min="7" max="7" style="13533" width="7.57421875" hidden="1" customWidth="1"/>
    <col min="8" max="8" style="13533" width="11.421875" hidden="1" customWidth="1"/>
    <col min="9" max="9" style="13533" width="14.140625" hidden="1" customWidth="1"/>
    <col min="10" max="10" style="13533" width="9.8515625" hidden="1" customWidth="1"/>
    <col min="11" max="11" style="13533" width="14.7109375" hidden="1" customWidth="1"/>
    <col min="12" max="12" style="13828" width="19.140625" hidden="1" customWidth="1"/>
    <col min="13" max="14" style="13615" width="12.28125" hidden="1" customWidth="1"/>
    <col min="15" max="15" style="13615" width="23.421875" hidden="1" customWidth="1"/>
    <col min="16" max="16" style="13829" width="3.7109375" customWidth="1"/>
    <col min="17" max="18" style="13617" width="3.7109375" customWidth="1"/>
    <col min="19" max="19" style="13618" width="12.7109375" customWidth="1"/>
    <col min="20" max="20" style="13619" width="35.7109375" customWidth="1"/>
    <col min="21" max="21" style="13619" width="0.140625" customWidth="1"/>
    <col min="22" max="24" style="13619" width="24.7109375" hidden="1" customWidth="1"/>
    <col min="25" max="25" style="13619" width="11.7109375" hidden="1" customWidth="1"/>
    <col min="26" max="26" style="13619" width="3.7109375" hidden="1" customWidth="1"/>
    <col min="27" max="27" style="13619" width="11.7109375" hidden="1" customWidth="1"/>
    <col min="28" max="28" style="13619" width="8.57421875" hidden="1" customWidth="1"/>
    <col min="29" max="31" style="13619" width="24.7109375" customWidth="1"/>
    <col min="32" max="32" style="13619" width="11.7109375" customWidth="1"/>
    <col min="33" max="33" style="13619" width="3.7109375" customWidth="1"/>
    <col min="34" max="34" style="13619" width="11.7109375" customWidth="1"/>
    <col min="35" max="35" style="13619" width="8.57421875" hidden="1" customWidth="1"/>
    <col min="36" max="36" style="13619" width="4.7109375" customWidth="1"/>
    <col min="37" max="37" style="13619" width="115.7109375" customWidth="1"/>
    <col min="38" max="39" style="13606" width="10.57421875"/>
    <col min="40" max="40" style="13606" width="11.140625" customWidth="1"/>
    <col min="41" max="42" style="13606"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85">
        <f>INDEX(PT_DIFFERENTIATION_NUM_NTAR,MATCH(A2,PT_DIFFERENTIATION_NTAR_ID,0))</f>
      </c>
      <c r="T2" s="521" t="s">
        <v>122</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81"/>
      <c r="Q3" s="575"/>
      <c r="R3" s="576"/>
      <c r="S3" s="1685">
        <f>INDEX(PT_DIFFERENTIATION_NUM_TER,MATCH(B3,PT_DIFFERENTIATION_TER_ID,0))</f>
      </c>
      <c r="T3" s="531" t="s">
        <v>398</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399</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85">
        <f>INDEX(PT_DIFFERENTIATION_NUM_CS,MATCH(C4,PT_DIFFERENTIATION_CS_ID,0))</f>
      </c>
      <c r="T4" s="532" t="s">
        <v>480</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481</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78"/>
      <c r="R5" s="579"/>
      <c r="S5" s="1685">
        <f>$I5</f>
      </c>
      <c r="T5" s="508" t="s">
        <v>482</v>
      </c>
      <c r="U5" s="523"/>
      <c r="V5" s="2476"/>
      <c r="W5" s="2477"/>
      <c r="X5" s="2477"/>
      <c r="Y5" s="2477"/>
      <c r="Z5" s="2477"/>
      <c r="AA5" s="2477"/>
      <c r="AB5" s="2478"/>
      <c r="AC5" s="2479"/>
      <c r="AD5" s="2480"/>
      <c r="AE5" s="2480"/>
      <c r="AF5" s="2480"/>
      <c r="AG5" s="2480"/>
      <c r="AH5" s="2480"/>
      <c r="AI5" s="2480"/>
      <c r="AJ5" s="2481"/>
      <c r="AK5" s="1485" t="s">
        <v>483</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407</v>
      </c>
      <c r="P6" s="2393"/>
      <c r="Q6" s="2393">
        <v>1</v>
      </c>
      <c r="R6" s="580"/>
      <c r="S6" s="1685">
        <f>$J6</f>
      </c>
      <c r="T6" s="509" t="s">
        <v>408</v>
      </c>
      <c r="U6" s="523"/>
      <c r="V6" s="2377"/>
      <c r="W6" s="2378"/>
      <c r="X6" s="2378"/>
      <c r="Y6" s="2378"/>
      <c r="Z6" s="2378"/>
      <c r="AA6" s="2378"/>
      <c r="AB6" s="2379"/>
      <c r="AC6" s="2377"/>
      <c r="AD6" s="2378"/>
      <c r="AE6" s="2378"/>
      <c r="AF6" s="2378"/>
      <c r="AG6" s="2378"/>
      <c r="AH6" s="2378"/>
      <c r="AI6" s="2378"/>
      <c r="AJ6" s="2379"/>
      <c r="AK6" s="1535" t="s">
        <v>484</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85">
        <f>$K7</f>
      </c>
      <c r="T7" s="1665"/>
      <c r="U7" s="523"/>
      <c r="V7" s="974"/>
      <c r="W7" s="974"/>
      <c r="X7" s="1484"/>
      <c r="Y7" s="2394"/>
      <c r="Z7" s="2264" t="s">
        <v>66</v>
      </c>
      <c r="AA7" s="2394"/>
      <c r="AB7" s="2264" t="s">
        <v>66</v>
      </c>
      <c r="AC7" s="974"/>
      <c r="AD7" s="974"/>
      <c r="AE7" s="1484"/>
      <c r="AF7" s="2394"/>
      <c r="AG7" s="2264" t="s">
        <v>66</v>
      </c>
      <c r="AH7" s="2396"/>
      <c r="AI7" s="2264" t="s">
        <v>66</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84"/>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485</v>
      </c>
      <c r="U9" s="590"/>
      <c r="V9" s="590"/>
      <c r="W9" s="590"/>
      <c r="X9" s="590"/>
      <c r="Y9" s="590"/>
      <c r="Z9" s="590"/>
      <c r="AA9" s="590"/>
      <c r="AB9" s="590"/>
      <c r="AC9" s="590"/>
      <c r="AD9" s="590"/>
      <c r="AE9" s="590"/>
      <c r="AF9" s="590"/>
      <c r="AG9" s="590"/>
      <c r="AH9" s="590"/>
      <c r="AI9" s="590"/>
      <c r="AJ9" s="590"/>
      <c r="AK9" s="1485" t="s">
        <v>486</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78"/>
      <c r="R10" s="579"/>
      <c r="S10" s="1506"/>
      <c r="T10" s="588" t="s">
        <v>413</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487</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3514" customFormat="1" customHeight="1" ht="14.25" hidden="1">
      <c r="A12" s="1571"/>
      <c r="B12" s="1571"/>
      <c r="C12" s="1542"/>
      <c r="D12" s="1542"/>
      <c r="E12" s="2390"/>
      <c r="F12" s="2389"/>
      <c r="G12" s="1542"/>
      <c r="H12" s="1542"/>
      <c r="I12" s="1542"/>
      <c r="J12" s="1542"/>
      <c r="K12" s="1542"/>
      <c r="L12" s="1686"/>
      <c r="M12" s="1549"/>
      <c r="N12" s="1549"/>
      <c r="P12" s="1544"/>
      <c r="Q12" s="1545"/>
      <c r="R12" s="1544"/>
      <c r="S12" s="1550"/>
      <c r="T12" s="1553" t="s">
        <v>252</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3606"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253</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66</v>
      </c>
      <c r="AH15" s="2387"/>
      <c r="AI15" s="2386" t="s">
        <v>66</v>
      </c>
    </row>
    <row customHeight="1" ht="14.25" hidden="1">
      <c r="AC16" s="1588"/>
      <c r="AD16" s="1588"/>
      <c r="AE16" s="551" t="str">
        <f>AF15&amp;"-"&amp;AH15</f>
        <v>-</v>
      </c>
      <c r="AF16" s="2386"/>
      <c r="AG16" s="2386"/>
      <c r="AH16" s="2386"/>
      <c r="AI16" s="2386"/>
    </row>
    <row customHeight="1" ht="14.25" hidden="1">
      <c r="AI17" s="550"/>
    </row>
    <row s="13533" customFormat="1" customHeight="1" ht="22.5" hidden="1">
      <c r="L18" s="1675"/>
      <c r="M18" s="1590"/>
      <c r="N18" s="1590"/>
      <c r="O18" s="1595" t="s">
        <v>416</v>
      </c>
      <c r="P18" s="1590"/>
      <c r="Q18" s="1599"/>
      <c r="R18" s="1599"/>
      <c r="S18" s="952"/>
      <c r="Y18" s="1595"/>
      <c r="AA18" s="1595"/>
      <c r="AB18" s="1594"/>
      <c r="AF18" s="1595"/>
      <c r="AH18" s="1595"/>
      <c r="AI18" s="1594"/>
      <c r="AL18" s="734"/>
      <c r="AM18" s="734"/>
      <c r="AN18" s="734"/>
      <c r="AO18" s="734"/>
      <c r="AP18" s="734"/>
    </row>
    <row s="13533" customFormat="1" customHeight="1" ht="14.25" hidden="1">
      <c r="L19" s="1675"/>
      <c r="M19" s="1590"/>
      <c r="N19" s="1590"/>
      <c r="O19" s="1590"/>
      <c r="P19" s="1590"/>
      <c r="Q19" s="1599"/>
      <c r="R19" s="1599"/>
      <c r="S19" s="952"/>
      <c r="AB19" s="1594"/>
      <c r="AI19" s="1594"/>
      <c r="AL19" s="734"/>
      <c r="AM19" s="734"/>
      <c r="AN19" s="734"/>
      <c r="AO19" s="734"/>
      <c r="AP19" s="734"/>
    </row>
    <row s="13533" customFormat="1" customHeight="1" ht="12" hidden="1">
      <c r="L20" s="1675"/>
      <c r="M20" s="1590"/>
      <c r="N20" s="1590"/>
      <c r="O20" s="1592" t="s">
        <v>417</v>
      </c>
      <c r="P20" s="1590"/>
      <c r="Q20" s="1670"/>
      <c r="R20" s="1670"/>
      <c r="S20" s="952"/>
      <c r="T20" s="1385" t="s">
        <v>418</v>
      </c>
      <c r="Z20" s="409" t="s">
        <v>419</v>
      </c>
      <c r="AB20" s="409" t="s">
        <v>420</v>
      </c>
      <c r="AC20" s="1385" t="s">
        <v>418</v>
      </c>
      <c r="AG20" s="409" t="s">
        <v>421</v>
      </c>
      <c r="AI20" s="409" t="s">
        <v>420</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ООО "Новая Энергетика"</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3547"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Агенство по тарифам Приморского края</v>
      </c>
      <c r="W27" s="2382"/>
      <c r="X27" s="2382"/>
      <c r="Y27" s="2382"/>
      <c r="Z27" s="2382"/>
      <c r="AA27" s="2382"/>
      <c r="AB27" s="549"/>
      <c r="AC27" s="2382" t="str">
        <f>IF(TITLE_NAME_OR_PR_CHANGE="",IF(TITLE_NAME_OR_PR="","",TITLE_NAME_OR_PR),TITLE_NAME_OR_PR_CHANGE)</f>
        <v>Агенство по тарифам Приморского края</v>
      </c>
      <c r="AD27" s="2382"/>
      <c r="AE27" s="2382"/>
      <c r="AF27" s="2382"/>
      <c r="AG27" s="2382"/>
      <c r="AH27" s="2382"/>
      <c r="AI27" s="549"/>
      <c r="AJ27" s="549"/>
      <c r="AK27" s="503"/>
      <c r="AL27" s="591"/>
      <c r="AM27" s="591"/>
      <c r="AN27" s="591"/>
      <c r="AO27" s="591"/>
      <c r="AP27" s="591"/>
    </row>
    <row s="13547" customFormat="1" customHeight="1" ht="18.75">
      <c r="A28" s="1596"/>
      <c r="B28" s="1596"/>
      <c r="C28" s="1596"/>
      <c r="D28" s="1596"/>
      <c r="E28" s="1596"/>
      <c r="F28" s="1596"/>
      <c r="G28" s="1596"/>
      <c r="H28" s="1596"/>
      <c r="I28" s="1596"/>
      <c r="J28" s="1596"/>
      <c r="K28" s="1596"/>
      <c r="L28" s="1597"/>
      <c r="M28" s="1596"/>
      <c r="N28" s="1596"/>
      <c r="O28" s="1596"/>
      <c r="S28" s="2380" t="s">
        <v>422</v>
      </c>
      <c r="T28" s="2380"/>
      <c r="U28" s="1600"/>
      <c r="V28" s="2381" t="str">
        <f>IF(TITLE_DATE_PR_CHANGE="",IF(TITLE_DATE_PR="","",TITLE_DATE_PR),TITLE_DATE_PR_CHANGE)</f>
        <v>45281.66994212963</v>
      </c>
      <c r="W28" s="2381"/>
      <c r="X28" s="2381"/>
      <c r="Y28" s="2381"/>
      <c r="Z28" s="2381"/>
      <c r="AA28" s="2381"/>
      <c r="AB28" s="549"/>
      <c r="AC28" s="2381" t="str">
        <f>IF(TITLE_DATE_PR_CHANGE="",IF(TITLE_DATE_PR="","",TITLE_DATE_PR),TITLE_DATE_PR_CHANGE)</f>
        <v>45281.66994212963</v>
      </c>
      <c r="AD28" s="2381"/>
      <c r="AE28" s="2381"/>
      <c r="AF28" s="2381"/>
      <c r="AG28" s="2381"/>
      <c r="AH28" s="2381"/>
      <c r="AI28" s="549"/>
      <c r="AJ28" s="549"/>
      <c r="AK28" s="503"/>
      <c r="AL28" s="591"/>
      <c r="AM28" s="591"/>
      <c r="AN28" s="591"/>
      <c r="AO28" s="591"/>
      <c r="AP28" s="591"/>
    </row>
    <row s="13547" customFormat="1" customHeight="1" ht="18.75">
      <c r="A29" s="1596"/>
      <c r="B29" s="1596"/>
      <c r="C29" s="1596"/>
      <c r="D29" s="1596"/>
      <c r="E29" s="1596"/>
      <c r="F29" s="1596"/>
      <c r="G29" s="1596"/>
      <c r="H29" s="1596"/>
      <c r="I29" s="1596"/>
      <c r="J29" s="1596"/>
      <c r="K29" s="1596"/>
      <c r="L29" s="1597"/>
      <c r="M29" s="1596"/>
      <c r="N29" s="1596"/>
      <c r="O29" s="1596"/>
      <c r="S29" s="2380" t="s">
        <v>423</v>
      </c>
      <c r="T29" s="2380"/>
      <c r="U29" s="1600"/>
      <c r="V29" s="2382" t="str">
        <f>IF(TITLE_NUMBER_PR_CHANGE="",IF(TITLE_NUMBER_PR="","",TITLE_NUMBER_PR),TITLE_NUMBER_PR_CHANGE)</f>
        <v>72/1</v>
      </c>
      <c r="W29" s="2382"/>
      <c r="X29" s="2382"/>
      <c r="Y29" s="2382"/>
      <c r="Z29" s="2382"/>
      <c r="AA29" s="2382"/>
      <c r="AB29" s="549"/>
      <c r="AC29" s="2382" t="str">
        <f>IF(TITLE_NUMBER_PR_CHANGE="",IF(TITLE_NUMBER_PR="","",TITLE_NUMBER_PR),TITLE_NUMBER_PR_CHANGE)</f>
        <v>72/1</v>
      </c>
      <c r="AD29" s="2382"/>
      <c r="AE29" s="2382"/>
      <c r="AF29" s="2382"/>
      <c r="AG29" s="2382"/>
      <c r="AH29" s="2382"/>
      <c r="AI29" s="549"/>
      <c r="AJ29" s="549"/>
      <c r="AK29" s="503"/>
      <c r="AL29" s="591"/>
      <c r="AM29" s="591"/>
      <c r="AN29" s="591"/>
      <c r="AO29" s="591"/>
      <c r="AP29" s="591"/>
    </row>
    <row s="13547"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http://pravo.gov.ru Номер опубликования: 2501202312270032 Дата опубликования: 27.12.2023</v>
      </c>
      <c r="W30" s="2382"/>
      <c r="X30" s="2382"/>
      <c r="Y30" s="2382"/>
      <c r="Z30" s="2382"/>
      <c r="AA30" s="2382"/>
      <c r="AB30" s="549"/>
      <c r="AC30" s="2382" t="str">
        <f>IF(TITLE_IST_PUB_CHANGE="",IF(TITLE_IST_PUB="","",TITLE_IST_PUB),TITLE_IST_PUB_CHANGE)</f>
        <v>http://pravo.gov.ru Номер опубликования: 2501202312270032 Дата опубликования: 27.12.2023</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3547" customFormat="1" customHeight="1" ht="18.75" hidden="1">
      <c r="A32" s="1596"/>
      <c r="B32" s="1596"/>
      <c r="C32" s="1596"/>
      <c r="D32" s="1596"/>
      <c r="E32" s="1596"/>
      <c r="F32" s="1596"/>
      <c r="G32" s="1596"/>
      <c r="H32" s="1596"/>
      <c r="I32" s="1596"/>
      <c r="J32" s="1596"/>
      <c r="K32" s="1596"/>
      <c r="L32" s="1597"/>
      <c r="M32" s="1596"/>
      <c r="N32" s="1596"/>
      <c r="O32" s="1596"/>
      <c r="S32" s="2380" t="s">
        <v>424</v>
      </c>
      <c r="T32" s="2380"/>
      <c r="U32" s="1600"/>
      <c r="V32" s="2381" t="str">
        <f>IF(TITLE_DATE_PR_CHANGE="",IF(TITLE_DATE_PR="","",TITLE_DATE_PR),TITLE_DATE_PR_CHANGE)</f>
        <v>45281.66994212963</v>
      </c>
      <c r="W32" s="2381"/>
      <c r="X32" s="2381"/>
      <c r="Y32" s="2381"/>
      <c r="Z32" s="2381"/>
      <c r="AA32" s="2381"/>
      <c r="AB32" s="549"/>
      <c r="AC32" s="2381" t="str">
        <f>IF(TITLE_DATE_PR_CHANGE="",IF(TITLE_DATE_PR="","",TITLE_DATE_PR),TITLE_DATE_PR_CHANGE)</f>
        <v>45281.66994212963</v>
      </c>
      <c r="AD32" s="2381"/>
      <c r="AE32" s="2381"/>
      <c r="AF32" s="2381"/>
      <c r="AG32" s="2381"/>
      <c r="AH32" s="2381"/>
      <c r="AI32" s="549"/>
      <c r="AJ32" s="549"/>
      <c r="AK32" s="503"/>
      <c r="AL32" s="591"/>
      <c r="AM32" s="591"/>
      <c r="AN32" s="591"/>
      <c r="AO32" s="591"/>
      <c r="AP32" s="591"/>
    </row>
    <row s="13547" customFormat="1" customHeight="1" ht="18.75" hidden="1">
      <c r="A33" s="1596"/>
      <c r="B33" s="1596"/>
      <c r="C33" s="1596"/>
      <c r="D33" s="1596"/>
      <c r="E33" s="1596"/>
      <c r="F33" s="1596"/>
      <c r="G33" s="1596"/>
      <c r="H33" s="1596"/>
      <c r="I33" s="1596"/>
      <c r="J33" s="1596"/>
      <c r="K33" s="1596"/>
      <c r="L33" s="1597"/>
      <c r="M33" s="1596"/>
      <c r="N33" s="1596"/>
      <c r="O33" s="1596"/>
      <c r="S33" s="2380" t="s">
        <v>425</v>
      </c>
      <c r="T33" s="2380"/>
      <c r="U33" s="1600"/>
      <c r="V33" s="2382" t="str">
        <f>IF(TITLE_NUMBER_PR_CHANGE="",IF(TITLE_NUMBER_PR="","",TITLE_NUMBER_PR),TITLE_NUMBER_PR_CHANGE)</f>
        <v>72/1</v>
      </c>
      <c r="W33" s="2382"/>
      <c r="X33" s="2382"/>
      <c r="Y33" s="2382"/>
      <c r="Z33" s="2382"/>
      <c r="AA33" s="2382"/>
      <c r="AB33" s="549"/>
      <c r="AC33" s="2382" t="str">
        <f>IF(TITLE_NUMBER_PR_CHANGE="",IF(TITLE_NUMBER_PR="","",TITLE_NUMBER_PR),TITLE_NUMBER_PR_CHANGE)</f>
        <v>72/1</v>
      </c>
      <c r="AD33" s="2382"/>
      <c r="AE33" s="2382"/>
      <c r="AF33" s="2382"/>
      <c r="AG33" s="2382"/>
      <c r="AH33" s="2382"/>
      <c r="AI33" s="549"/>
      <c r="AJ33" s="549"/>
      <c r="AK33" s="503"/>
      <c r="AL33" s="591"/>
      <c r="AM33" s="591"/>
      <c r="AN33" s="591"/>
      <c r="AO33" s="591"/>
      <c r="AP33" s="591"/>
    </row>
    <row s="13547" customFormat="1" customHeight="1" ht="0.75">
      <c r="A34" s="1596"/>
      <c r="B34" s="1596"/>
      <c r="C34" s="1596"/>
      <c r="D34" s="1596"/>
      <c r="E34" s="1596"/>
      <c r="F34" s="1596"/>
      <c r="G34" s="1596"/>
      <c r="H34" s="1596"/>
      <c r="I34" s="1596"/>
      <c r="J34" s="1596"/>
      <c r="K34" s="1596"/>
      <c r="L34" s="1597"/>
      <c r="M34" s="1596"/>
      <c r="N34" s="1596"/>
      <c r="O34" s="1596"/>
      <c r="S34" s="546"/>
      <c r="T34" s="546"/>
      <c r="U34" s="1682"/>
      <c r="V34" s="549"/>
      <c r="W34" s="549"/>
      <c r="X34" s="549"/>
      <c r="Y34" s="549"/>
      <c r="Z34" s="549"/>
      <c r="AA34" s="549"/>
      <c r="AB34" s="501" t="s">
        <v>426</v>
      </c>
      <c r="AC34" s="549"/>
      <c r="AD34" s="549"/>
      <c r="AE34" s="549"/>
      <c r="AF34" s="549"/>
      <c r="AG34" s="549"/>
      <c r="AH34" s="549"/>
      <c r="AI34" s="501" t="s">
        <v>426</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301</v>
      </c>
      <c r="T36" s="2254"/>
      <c r="U36" s="2254"/>
      <c r="V36" s="2254"/>
      <c r="W36" s="2254"/>
      <c r="X36" s="2254"/>
      <c r="Y36" s="2254"/>
      <c r="Z36" s="2254"/>
      <c r="AA36" s="2254"/>
      <c r="AB36" s="2254"/>
      <c r="AC36" s="2254"/>
      <c r="AD36" s="2254"/>
      <c r="AE36" s="2254"/>
      <c r="AF36" s="2254"/>
      <c r="AG36" s="2254"/>
      <c r="AH36" s="2254"/>
      <c r="AI36" s="2254"/>
      <c r="AJ36" s="2254"/>
      <c r="AK36" s="2254" t="s">
        <v>302</v>
      </c>
    </row>
    <row customHeight="1" ht="14.25">
      <c r="Q37" s="599"/>
      <c r="R37" s="599"/>
      <c r="S37" s="2407" t="s">
        <v>87</v>
      </c>
      <c r="T37" s="2344" t="s">
        <v>427</v>
      </c>
      <c r="U37" s="524"/>
      <c r="V37" s="2408" t="s">
        <v>428</v>
      </c>
      <c r="W37" s="2409"/>
      <c r="X37" s="2409"/>
      <c r="Y37" s="2409"/>
      <c r="Z37" s="2409"/>
      <c r="AA37" s="2410"/>
      <c r="AB37" s="2411" t="s">
        <v>429</v>
      </c>
      <c r="AC37" s="2408" t="s">
        <v>428</v>
      </c>
      <c r="AD37" s="2409"/>
      <c r="AE37" s="2409"/>
      <c r="AF37" s="2409"/>
      <c r="AG37" s="2409"/>
      <c r="AH37" s="2410"/>
      <c r="AI37" s="2411" t="s">
        <v>430</v>
      </c>
      <c r="AJ37" s="2414" t="s">
        <v>431</v>
      </c>
      <c r="AK37" s="2254"/>
    </row>
    <row customHeight="1" ht="33.75">
      <c r="Q38" s="599"/>
      <c r="R38" s="599"/>
      <c r="S38" s="2407"/>
      <c r="T38" s="2344"/>
      <c r="U38" s="1255"/>
      <c r="V38" s="1680" t="s">
        <v>488</v>
      </c>
      <c r="W38" s="2400" t="s">
        <v>434</v>
      </c>
      <c r="X38" s="2402"/>
      <c r="Y38" s="2400" t="s">
        <v>435</v>
      </c>
      <c r="Z38" s="2401"/>
      <c r="AA38" s="2402"/>
      <c r="AB38" s="2412"/>
      <c r="AC38" s="1680" t="s">
        <v>488</v>
      </c>
      <c r="AD38" s="2400" t="s">
        <v>434</v>
      </c>
      <c r="AE38" s="2402"/>
      <c r="AF38" s="2400" t="s">
        <v>435</v>
      </c>
      <c r="AG38" s="2401"/>
      <c r="AH38" s="2402"/>
      <c r="AI38" s="2412"/>
      <c r="AJ38" s="2415"/>
      <c r="AK38" s="2254"/>
    </row>
    <row customHeight="1" ht="33.75">
      <c r="A39" s="1598"/>
      <c r="B39" s="1598" t="s">
        <v>134</v>
      </c>
      <c r="C39" s="1598" t="s">
        <v>135</v>
      </c>
      <c r="D39" s="1598" t="s">
        <v>136</v>
      </c>
      <c r="E39" s="1592" t="s">
        <v>436</v>
      </c>
      <c r="F39" s="1592" t="s">
        <v>437</v>
      </c>
      <c r="G39" s="1592" t="s">
        <v>438</v>
      </c>
      <c r="H39" s="1592"/>
      <c r="I39" s="1592" t="s">
        <v>489</v>
      </c>
      <c r="J39" s="1592" t="s">
        <v>441</v>
      </c>
      <c r="K39" s="1592" t="s">
        <v>490</v>
      </c>
      <c r="L39" s="1592" t="s">
        <v>417</v>
      </c>
      <c r="Q39" s="599"/>
      <c r="R39" s="599"/>
      <c r="S39" s="2407"/>
      <c r="T39" s="2344"/>
      <c r="U39" s="525"/>
      <c r="V39" s="1680" t="s">
        <v>491</v>
      </c>
      <c r="W39" s="1449" t="s">
        <v>492</v>
      </c>
      <c r="X39" s="1449" t="s">
        <v>493</v>
      </c>
      <c r="Y39" s="1683" t="s">
        <v>445</v>
      </c>
      <c r="Z39" s="2403" t="s">
        <v>446</v>
      </c>
      <c r="AA39" s="2404"/>
      <c r="AB39" s="2413"/>
      <c r="AC39" s="1680" t="s">
        <v>491</v>
      </c>
      <c r="AD39" s="1449" t="s">
        <v>492</v>
      </c>
      <c r="AE39" s="1449" t="s">
        <v>493</v>
      </c>
      <c r="AF39" s="1683" t="s">
        <v>445</v>
      </c>
      <c r="AG39" s="2403" t="s">
        <v>446</v>
      </c>
      <c r="AH39" s="2404"/>
      <c r="AI39" s="2413"/>
      <c r="AJ39" s="2416"/>
      <c r="AK39" s="2254"/>
    </row>
    <row s="13364"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108</v>
      </c>
      <c r="T40" s="1482" t="s">
        <v>109</v>
      </c>
      <c r="U40" s="1472" t="str">
        <f>OFFSET(U40,0,-1)</f>
        <v>2</v>
      </c>
      <c r="V40" s="1679">
        <f>OFFSET(V40,0,-1)+1</f>
        <v>3</v>
      </c>
      <c r="W40" s="1679">
        <f>OFFSET(W40,0,-1)+1</f>
        <v>4</v>
      </c>
      <c r="X40" s="1679">
        <f>OFFSET(X40,0,-1)+1</f>
        <v>5</v>
      </c>
      <c r="Y40" s="1679">
        <f>OFFSET(Y40,0,-1)+1</f>
        <v>6</v>
      </c>
      <c r="Z40" s="2405">
        <f>OFFSET(Z40,0,-1)+1</f>
        <v>7</v>
      </c>
      <c r="AA40" s="2405"/>
      <c r="AB40" s="1679">
        <f>OFFSET(AB40,0,-2)+1</f>
        <v>8</v>
      </c>
      <c r="AC40" s="1679">
        <f>OFFSET(AC40,0,-1)+1</f>
        <v>9</v>
      </c>
      <c r="AD40" s="1679">
        <f>OFFSET(AD40,0,-1)+1</f>
        <v>10</v>
      </c>
      <c r="AE40" s="1679">
        <f>OFFSET(AE40,0,-1)+1</f>
        <v>11</v>
      </c>
      <c r="AF40" s="1679">
        <f>OFFSET(AF40,0,-1)+1</f>
        <v>12</v>
      </c>
      <c r="AG40" s="2405">
        <f>OFFSET(AG40,0,-1)+1</f>
        <v>13</v>
      </c>
      <c r="AH40" s="2405"/>
      <c r="AI40" s="1679">
        <f>OFFSET(AI40,0,-2)+1</f>
        <v>14</v>
      </c>
      <c r="AJ40" s="1472">
        <f>OFFSET(AJ40,0,-1)</f>
        <v>14</v>
      </c>
      <c r="AK40" s="1679">
        <f>OFFSET(AK40,0,-1)+1</f>
        <v>15</v>
      </c>
      <c r="AL40" s="734"/>
      <c r="AM40" s="734"/>
      <c r="AN40" s="734"/>
      <c r="AO40" s="734"/>
      <c r="AP40" s="734"/>
    </row>
    <row customHeight="1" ht="23.25">
      <c r="A41" s="1591" t="s">
        <v>228</v>
      </c>
      <c r="B41" s="1591"/>
      <c r="C41" s="1591"/>
      <c r="D41" s="1591"/>
      <c r="E41" s="2389">
        <v>1</v>
      </c>
      <c r="F41" s="1591"/>
      <c r="G41" s="1591"/>
      <c r="H41" s="1591"/>
      <c r="I41" s="1591"/>
      <c r="J41" s="1591"/>
      <c r="K41" s="1591"/>
      <c r="L41" s="1592"/>
      <c r="M41" s="1593"/>
      <c r="N41" s="1593"/>
      <c r="O41" s="1593"/>
      <c r="P41" s="584"/>
      <c r="Q41" s="583"/>
      <c r="R41" s="578"/>
      <c r="S41" s="1685">
        <f>INDEX(PT_DIFFERENTIATION_NUM_NTAR,MATCH(A41,PT_DIFFERENTIATION_NTAR_ID,0))</f>
        <v>0</v>
      </c>
      <c r="T41" s="521" t="s">
        <v>122</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228</v>
      </c>
      <c r="B42" s="1591" t="s">
        <v>229</v>
      </c>
      <c r="C42" s="1591"/>
      <c r="D42" s="1591"/>
      <c r="E42" s="2390"/>
      <c r="F42" s="2389">
        <v>1</v>
      </c>
      <c r="G42" s="1591"/>
      <c r="H42" s="1591"/>
      <c r="I42" s="1591"/>
      <c r="J42" s="1591"/>
      <c r="K42" s="1591"/>
      <c r="L42" s="1592"/>
      <c r="M42" s="1593"/>
      <c r="N42" s="1593"/>
      <c r="O42" s="1593"/>
      <c r="P42" s="1681"/>
      <c r="Q42" s="575"/>
      <c r="R42" s="576"/>
      <c r="S42" s="1685" t="str">
        <f>INDEX(PT_DIFFERENTIATION_NUM_TER,MATCH(B42,PT_DIFFERENTIATION_TER_ID,0))</f>
        <v>.</v>
      </c>
      <c r="T42" s="531" t="s">
        <v>398</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399</v>
      </c>
      <c r="AM42" s="723"/>
      <c r="AN42" s="723" t="str">
        <f>IF(T42="","",T42)</f>
        <v>Территория действия тарифа</v>
      </c>
      <c r="AO42" s="723"/>
      <c r="AP42" s="723"/>
    </row>
    <row customHeight="1" ht="23.25">
      <c r="A43" s="1591" t="s">
        <v>228</v>
      </c>
      <c r="B43" s="1591" t="s">
        <v>229</v>
      </c>
      <c r="C43" s="1591" t="s">
        <v>230</v>
      </c>
      <c r="D43" s="1591"/>
      <c r="E43" s="2390"/>
      <c r="F43" s="2390"/>
      <c r="G43" s="2389">
        <v>1</v>
      </c>
      <c r="H43" s="1591"/>
      <c r="I43" s="1591"/>
      <c r="J43" s="1591"/>
      <c r="K43" s="1591"/>
      <c r="L43" s="1592"/>
      <c r="M43" s="1593"/>
      <c r="N43" s="1593"/>
      <c r="O43" s="1593"/>
      <c r="P43" s="577"/>
      <c r="Q43" s="575"/>
      <c r="R43" s="576"/>
      <c r="S43" s="1685" t="str">
        <f>INDEX(PT_DIFFERENTIATION_NUM_CS,MATCH(C43,PT_DIFFERENTIATION_CS_ID,0))</f>
        <v>..</v>
      </c>
      <c r="T43" s="532" t="s">
        <v>480</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481</v>
      </c>
      <c r="AM43" s="723"/>
      <c r="AN43" s="723" t="str">
        <f>IF(T43="","",T43)</f>
        <v>Наименование централизованной системы холодного водоснабжения</v>
      </c>
      <c r="AO43" s="723"/>
      <c r="AP43" s="723"/>
    </row>
    <row customHeight="1" ht="23.25">
      <c r="A44" s="1591" t="s">
        <v>228</v>
      </c>
      <c r="B44" s="1591" t="s">
        <v>229</v>
      </c>
      <c r="C44" s="1591" t="s">
        <v>230</v>
      </c>
      <c r="D44" s="1591" t="s">
        <v>495</v>
      </c>
      <c r="E44" s="2390"/>
      <c r="F44" s="2390"/>
      <c r="G44" s="2390"/>
      <c r="H44" s="2390"/>
      <c r="I44" s="2391" t="str">
        <f>S43&amp;".1"</f>
        <v>...1</v>
      </c>
      <c r="J44" s="1591"/>
      <c r="K44" s="1591"/>
      <c r="L44" s="1592"/>
      <c r="P44" s="2393">
        <v>1</v>
      </c>
      <c r="Q44" s="1678"/>
      <c r="R44" s="579"/>
      <c r="S44" s="1685" t="str">
        <f>$I44</f>
        <v>...1</v>
      </c>
      <c r="T44" s="508" t="s">
        <v>482</v>
      </c>
      <c r="U44" s="523"/>
      <c r="V44" s="2476"/>
      <c r="W44" s="2477"/>
      <c r="X44" s="2477"/>
      <c r="Y44" s="2477"/>
      <c r="Z44" s="2477"/>
      <c r="AA44" s="2477"/>
      <c r="AB44" s="2478"/>
      <c r="AC44" s="2479"/>
      <c r="AD44" s="2480"/>
      <c r="AE44" s="2480"/>
      <c r="AF44" s="2480"/>
      <c r="AG44" s="2480"/>
      <c r="AH44" s="2480"/>
      <c r="AI44" s="2480"/>
      <c r="AJ44" s="2481"/>
      <c r="AK44" s="1485" t="s">
        <v>483</v>
      </c>
      <c r="AM44" s="723"/>
      <c r="AN44" s="723" t="str">
        <f>IF(T44="","",T44)</f>
        <v>Наименование признака дифференциации</v>
      </c>
      <c r="AO44" s="723"/>
      <c r="AP44" s="723"/>
    </row>
    <row customHeight="1" ht="23.25">
      <c r="A45" s="1591" t="s">
        <v>228</v>
      </c>
      <c r="B45" s="1591" t="s">
        <v>229</v>
      </c>
      <c r="C45" s="1591" t="s">
        <v>230</v>
      </c>
      <c r="D45" s="1591" t="s">
        <v>495</v>
      </c>
      <c r="E45" s="2390"/>
      <c r="F45" s="2390"/>
      <c r="G45" s="2390"/>
      <c r="H45" s="2390"/>
      <c r="I45" s="2392"/>
      <c r="J45" s="2391" t="str">
        <f>I44&amp;".1"</f>
        <v>...1.1</v>
      </c>
      <c r="K45" s="1591"/>
      <c r="L45" s="1592" t="s">
        <v>407</v>
      </c>
      <c r="P45" s="2393"/>
      <c r="Q45" s="2393">
        <v>1</v>
      </c>
      <c r="R45" s="580"/>
      <c r="S45" s="1685" t="str">
        <f>$J45</f>
        <v>...1.1</v>
      </c>
      <c r="T45" s="509" t="s">
        <v>408</v>
      </c>
      <c r="U45" s="523"/>
      <c r="V45" s="2377"/>
      <c r="W45" s="2378"/>
      <c r="X45" s="2378"/>
      <c r="Y45" s="2378"/>
      <c r="Z45" s="2378"/>
      <c r="AA45" s="2378"/>
      <c r="AB45" s="2379"/>
      <c r="AC45" s="2377"/>
      <c r="AD45" s="2378"/>
      <c r="AE45" s="2378"/>
      <c r="AF45" s="2378"/>
      <c r="AG45" s="2378"/>
      <c r="AH45" s="2378"/>
      <c r="AI45" s="2378"/>
      <c r="AJ45" s="2379"/>
      <c r="AK45" s="1535" t="s">
        <v>484</v>
      </c>
      <c r="AM45" s="723"/>
      <c r="AN45" s="723" t="str">
        <f>IF(T45="","",T45)</f>
        <v>Группа потребителей</v>
      </c>
      <c r="AO45" s="723"/>
      <c r="AP45" s="723"/>
    </row>
    <row customHeight="1" ht="23.25">
      <c r="A46" s="1591" t="s">
        <v>228</v>
      </c>
      <c r="B46" s="1591" t="s">
        <v>229</v>
      </c>
      <c r="C46" s="1591" t="s">
        <v>230</v>
      </c>
      <c r="D46" s="1591" t="s">
        <v>495</v>
      </c>
      <c r="E46" s="2390"/>
      <c r="F46" s="2390"/>
      <c r="G46" s="2390"/>
      <c r="H46" s="2390"/>
      <c r="I46" s="2392"/>
      <c r="J46" s="2392"/>
      <c r="K46" s="2391" t="str">
        <f>J45&amp;".1"</f>
        <v>...1.1.1</v>
      </c>
      <c r="L46" s="1592"/>
      <c r="P46" s="2393"/>
      <c r="Q46" s="2393"/>
      <c r="R46" s="580">
        <v>1</v>
      </c>
      <c r="S46" s="1685" t="str">
        <f>$K46</f>
        <v>...1.1.1</v>
      </c>
      <c r="T46" s="1665"/>
      <c r="U46" s="523"/>
      <c r="V46" s="974"/>
      <c r="W46" s="974"/>
      <c r="X46" s="1484"/>
      <c r="Y46" s="2394"/>
      <c r="Z46" s="2264" t="s">
        <v>66</v>
      </c>
      <c r="AA46" s="2394"/>
      <c r="AB46" s="2264" t="s">
        <v>66</v>
      </c>
      <c r="AC46" s="974"/>
      <c r="AD46" s="974"/>
      <c r="AE46" s="1484"/>
      <c r="AF46" s="2394"/>
      <c r="AG46" s="2264" t="s">
        <v>66</v>
      </c>
      <c r="AH46" s="2396"/>
      <c r="AI46" s="2264" t="s">
        <v>66</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228</v>
      </c>
      <c r="B47" s="1591" t="s">
        <v>229</v>
      </c>
      <c r="C47" s="1591" t="s">
        <v>230</v>
      </c>
      <c r="D47" s="1591" t="s">
        <v>495</v>
      </c>
      <c r="E47" s="2390"/>
      <c r="F47" s="2390"/>
      <c r="G47" s="2390"/>
      <c r="H47" s="2390"/>
      <c r="I47" s="2392"/>
      <c r="J47" s="2392"/>
      <c r="K47" s="2391"/>
      <c r="L47" s="1592"/>
      <c r="P47" s="2393"/>
      <c r="Q47" s="2393"/>
      <c r="R47" s="580"/>
      <c r="S47" s="1684"/>
      <c r="T47" s="523"/>
      <c r="U47" s="523"/>
      <c r="V47" s="548"/>
      <c r="W47" s="548"/>
      <c r="X47" s="551" t="str">
        <f>Y46&amp;"-"&amp;AA46</f>
        <v>-</v>
      </c>
      <c r="Y47" s="2395"/>
      <c r="Z47" s="2264"/>
      <c r="AA47" s="2395"/>
      <c r="AB47" s="2264"/>
      <c r="AC47" s="548"/>
      <c r="AD47" s="548"/>
      <c r="AE47" s="551" t="str">
        <f>AF46&amp;"-"&amp;AH46</f>
        <v>-</v>
      </c>
      <c r="AF47" s="2395"/>
      <c r="AG47" s="2264"/>
      <c r="AH47" s="2397"/>
      <c r="AI47" s="2264"/>
      <c r="AJ47" s="1667"/>
      <c r="AK47" s="2482"/>
      <c r="AM47" s="723"/>
      <c r="AN47" s="723" t="str">
        <f>IF(T47="","",T47)</f>
        <v/>
      </c>
      <c r="AO47" s="723"/>
      <c r="AP47" s="723"/>
    </row>
    <row customHeight="1" ht="21">
      <c r="A48" s="1591" t="s">
        <v>228</v>
      </c>
      <c r="B48" s="1591" t="s">
        <v>229</v>
      </c>
      <c r="C48" s="1591" t="s">
        <v>230</v>
      </c>
      <c r="D48" s="1591" t="s">
        <v>495</v>
      </c>
      <c r="E48" s="2390"/>
      <c r="F48" s="2390"/>
      <c r="G48" s="2390"/>
      <c r="H48" s="2390"/>
      <c r="I48" s="2392"/>
      <c r="J48" s="2391"/>
      <c r="K48" s="1591"/>
      <c r="L48" s="1592"/>
      <c r="P48" s="2393"/>
      <c r="Q48" s="2393"/>
      <c r="R48" s="579"/>
      <c r="S48" s="1506"/>
      <c r="T48" s="510" t="s">
        <v>485</v>
      </c>
      <c r="U48" s="590"/>
      <c r="V48" s="590"/>
      <c r="W48" s="590"/>
      <c r="X48" s="590"/>
      <c r="Y48" s="590"/>
      <c r="Z48" s="590"/>
      <c r="AA48" s="590"/>
      <c r="AB48" s="590"/>
      <c r="AC48" s="590"/>
      <c r="AD48" s="590"/>
      <c r="AE48" s="590"/>
      <c r="AF48" s="590"/>
      <c r="AG48" s="590"/>
      <c r="AH48" s="590"/>
      <c r="AI48" s="590"/>
      <c r="AJ48" s="590"/>
      <c r="AK48" s="1485" t="s">
        <v>486</v>
      </c>
      <c r="AM48" s="723"/>
      <c r="AN48" s="723" t="str">
        <f>IF(T48="","",T48)</f>
        <v>Добавить значение признака дифференциации</v>
      </c>
      <c r="AO48" s="723"/>
      <c r="AP48" s="723"/>
    </row>
    <row customHeight="1" ht="21">
      <c r="A49" s="1591" t="s">
        <v>228</v>
      </c>
      <c r="B49" s="1591" t="s">
        <v>229</v>
      </c>
      <c r="C49" s="1591" t="s">
        <v>230</v>
      </c>
      <c r="D49" s="1591" t="s">
        <v>495</v>
      </c>
      <c r="E49" s="2390"/>
      <c r="F49" s="2390"/>
      <c r="G49" s="2390"/>
      <c r="H49" s="2390"/>
      <c r="I49" s="2391"/>
      <c r="J49" s="1591"/>
      <c r="K49" s="1591"/>
      <c r="L49" s="1592"/>
      <c r="P49" s="2393"/>
      <c r="Q49" s="1678"/>
      <c r="R49" s="579"/>
      <c r="S49" s="1506"/>
      <c r="T49" s="588" t="s">
        <v>413</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228</v>
      </c>
      <c r="B50" s="1591" t="s">
        <v>229</v>
      </c>
      <c r="C50" s="1591" t="s">
        <v>230</v>
      </c>
      <c r="D50" s="1591" t="s">
        <v>495</v>
      </c>
      <c r="E50" s="2390"/>
      <c r="F50" s="2390"/>
      <c r="G50" s="2390"/>
      <c r="H50" s="2389"/>
      <c r="I50" s="1591"/>
      <c r="J50" s="1591"/>
      <c r="K50" s="1591"/>
      <c r="L50" s="1592"/>
      <c r="M50" s="1593"/>
      <c r="N50" s="1593"/>
      <c r="O50" s="760"/>
      <c r="P50" s="583"/>
      <c r="Q50" s="598"/>
      <c r="R50" s="578"/>
      <c r="S50" s="1506"/>
      <c r="T50" s="595" t="s">
        <v>487</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3514" customFormat="1" customHeight="1" ht="0">
      <c r="A51" s="1571" t="s">
        <v>228</v>
      </c>
      <c r="B51" s="1571" t="s">
        <v>229</v>
      </c>
      <c r="C51" s="1542"/>
      <c r="D51" s="1542"/>
      <c r="E51" s="2390"/>
      <c r="F51" s="2389"/>
      <c r="G51" s="1542"/>
      <c r="H51" s="1542"/>
      <c r="I51" s="1542"/>
      <c r="J51" s="1542"/>
      <c r="K51" s="1542"/>
      <c r="L51" s="1686"/>
      <c r="M51" s="1549"/>
      <c r="N51" s="1549"/>
      <c r="P51" s="1544"/>
      <c r="Q51" s="1545"/>
      <c r="R51" s="1544"/>
      <c r="S51" s="1550"/>
      <c r="T51" s="1553" t="s">
        <v>252</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3606" customFormat="1" customHeight="1" ht="0">
      <c r="A52" s="1571" t="s">
        <v>228</v>
      </c>
      <c r="B52" s="1571"/>
      <c r="C52" s="1571"/>
      <c r="D52" s="1571"/>
      <c r="E52" s="2389"/>
      <c r="F52" s="1571"/>
      <c r="G52" s="1571"/>
      <c r="H52" s="1571"/>
      <c r="I52" s="1571"/>
      <c r="J52" s="1571"/>
      <c r="K52" s="1571"/>
      <c r="L52" s="1574"/>
      <c r="M52" s="1549"/>
      <c r="N52" s="1549"/>
      <c r="O52" s="741"/>
      <c r="P52" s="603"/>
      <c r="Q52" s="1572"/>
      <c r="R52" s="603"/>
      <c r="S52" s="1550"/>
      <c r="T52" s="1553" t="s">
        <v>253</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3514" customFormat="1" customHeight="1" ht="0">
      <c r="A53" s="1542"/>
      <c r="B53" s="1542"/>
      <c r="C53" s="1542"/>
      <c r="D53" s="1542"/>
      <c r="E53" s="1571"/>
      <c r="F53" s="1542"/>
      <c r="G53" s="1542"/>
      <c r="H53" s="1542"/>
      <c r="I53" s="1542"/>
      <c r="J53" s="1542"/>
      <c r="K53" s="1542"/>
      <c r="L53" s="1686"/>
      <c r="M53" s="1549"/>
      <c r="N53" s="1549"/>
      <c r="P53" s="1544"/>
      <c r="Q53" s="1545"/>
      <c r="R53" s="1544"/>
      <c r="S53" s="1550"/>
      <c r="T53" s="1553" t="s">
        <v>254</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D623B-6C5A-04CB-E6A7-7C98EDA9521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533" width="10.57421875" hidden="1"/>
    <col min="2" max="2" style="13533" width="11.00390625" hidden="1" customWidth="1"/>
    <col min="3" max="3" style="13533" width="10.57421875" hidden="1"/>
    <col min="4" max="4" style="13533" width="11.8515625" hidden="1" customWidth="1"/>
    <col min="5" max="5" style="13533" width="10.00390625" hidden="1" customWidth="1"/>
    <col min="6" max="6" style="13533" width="8.7109375" hidden="1" customWidth="1"/>
    <col min="7" max="7" style="13533" width="7.57421875" hidden="1" customWidth="1"/>
    <col min="8" max="8" style="13533" width="11.421875" hidden="1" customWidth="1"/>
    <col min="9" max="9" style="13533" width="14.140625" hidden="1" customWidth="1"/>
    <col min="10" max="10" style="13533" width="9.8515625" hidden="1" customWidth="1"/>
    <col min="11" max="11" style="13533" width="14.7109375" hidden="1" customWidth="1"/>
    <col min="12" max="12" style="13828" width="19.140625" hidden="1" customWidth="1"/>
    <col min="13" max="14" style="13615" width="12.28125" hidden="1" customWidth="1"/>
    <col min="15" max="15" style="13615" width="23.421875" hidden="1" customWidth="1"/>
    <col min="16" max="16" style="13829" width="3.7109375" customWidth="1"/>
    <col min="17" max="18" style="13617" width="3.7109375" customWidth="1"/>
    <col min="19" max="19" style="13618" width="12.7109375" customWidth="1"/>
    <col min="20" max="20" style="13619" width="35.7109375" customWidth="1"/>
    <col min="21" max="21" style="13619" width="0.140625" customWidth="1"/>
    <col min="22" max="24" style="13619" width="24.7109375" hidden="1" customWidth="1"/>
    <col min="25" max="25" style="13619" width="11.7109375" hidden="1" customWidth="1"/>
    <col min="26" max="26" style="13619" width="3.7109375" hidden="1" customWidth="1"/>
    <col min="27" max="27" style="13619" width="11.7109375" hidden="1" customWidth="1"/>
    <col min="28" max="28" style="13619" width="8.57421875" hidden="1" customWidth="1"/>
    <col min="29" max="31" style="13619" width="24.7109375" customWidth="1"/>
    <col min="32" max="32" style="13619" width="11.7109375" customWidth="1"/>
    <col min="33" max="33" style="13619" width="3.7109375" customWidth="1"/>
    <col min="34" max="34" style="13619" width="11.7109375" customWidth="1"/>
    <col min="35" max="35" style="13619" width="8.57421875" hidden="1" customWidth="1"/>
    <col min="36" max="36" style="13619" width="4.7109375" customWidth="1"/>
    <col min="37" max="37" style="13619" width="115.7109375" customWidth="1"/>
    <col min="38" max="39" style="13606" width="10.57421875"/>
    <col min="40" max="40" style="13606" width="11.140625" customWidth="1"/>
    <col min="41" max="42" style="13606"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85">
        <f>INDEX(PT_DIFFERENTIATION_NUM_NTAR,MATCH(A2,PT_DIFFERENTIATION_NTAR_ID,0))</f>
      </c>
      <c r="T2" s="521" t="s">
        <v>122</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81"/>
      <c r="Q3" s="575"/>
      <c r="R3" s="576"/>
      <c r="S3" s="1685">
        <f>INDEX(PT_DIFFERENTIATION_NUM_TER,MATCH(B3,PT_DIFFERENTIATION_TER_ID,0))</f>
      </c>
      <c r="T3" s="531" t="s">
        <v>398</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399</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85">
        <f>INDEX(PT_DIFFERENTIATION_NUM_CS,MATCH(C4,PT_DIFFERENTIATION_CS_ID,0))</f>
      </c>
      <c r="T4" s="532" t="s">
        <v>480</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481</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78"/>
      <c r="R5" s="579"/>
      <c r="S5" s="1685">
        <f>$I5</f>
      </c>
      <c r="T5" s="508" t="s">
        <v>482</v>
      </c>
      <c r="U5" s="523"/>
      <c r="V5" s="2476"/>
      <c r="W5" s="2477"/>
      <c r="X5" s="2477"/>
      <c r="Y5" s="2477"/>
      <c r="Z5" s="2477"/>
      <c r="AA5" s="2477"/>
      <c r="AB5" s="2478"/>
      <c r="AC5" s="2479"/>
      <c r="AD5" s="2480"/>
      <c r="AE5" s="2480"/>
      <c r="AF5" s="2480"/>
      <c r="AG5" s="2480"/>
      <c r="AH5" s="2480"/>
      <c r="AI5" s="2480"/>
      <c r="AJ5" s="2481"/>
      <c r="AK5" s="1485" t="s">
        <v>483</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407</v>
      </c>
      <c r="P6" s="2393"/>
      <c r="Q6" s="2393">
        <v>1</v>
      </c>
      <c r="R6" s="580"/>
      <c r="S6" s="1685">
        <f>$J6</f>
      </c>
      <c r="T6" s="509" t="s">
        <v>408</v>
      </c>
      <c r="U6" s="523"/>
      <c r="V6" s="2377"/>
      <c r="W6" s="2378"/>
      <c r="X6" s="2378"/>
      <c r="Y6" s="2378"/>
      <c r="Z6" s="2378"/>
      <c r="AA6" s="2378"/>
      <c r="AB6" s="2379"/>
      <c r="AC6" s="2377"/>
      <c r="AD6" s="2378"/>
      <c r="AE6" s="2378"/>
      <c r="AF6" s="2378"/>
      <c r="AG6" s="2378"/>
      <c r="AH6" s="2378"/>
      <c r="AI6" s="2378"/>
      <c r="AJ6" s="2379"/>
      <c r="AK6" s="1535" t="s">
        <v>484</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85">
        <f>$K7</f>
      </c>
      <c r="T7" s="1665"/>
      <c r="U7" s="523"/>
      <c r="V7" s="974"/>
      <c r="W7" s="974"/>
      <c r="X7" s="1484"/>
      <c r="Y7" s="2394"/>
      <c r="Z7" s="2264" t="s">
        <v>66</v>
      </c>
      <c r="AA7" s="2394"/>
      <c r="AB7" s="2264" t="s">
        <v>66</v>
      </c>
      <c r="AC7" s="974"/>
      <c r="AD7" s="974"/>
      <c r="AE7" s="1484"/>
      <c r="AF7" s="2394"/>
      <c r="AG7" s="2264" t="s">
        <v>66</v>
      </c>
      <c r="AH7" s="2396"/>
      <c r="AI7" s="2264" t="s">
        <v>66</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84"/>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485</v>
      </c>
      <c r="U9" s="590"/>
      <c r="V9" s="590"/>
      <c r="W9" s="590"/>
      <c r="X9" s="590"/>
      <c r="Y9" s="590"/>
      <c r="Z9" s="590"/>
      <c r="AA9" s="590"/>
      <c r="AB9" s="590"/>
      <c r="AC9" s="590"/>
      <c r="AD9" s="590"/>
      <c r="AE9" s="590"/>
      <c r="AF9" s="590"/>
      <c r="AG9" s="590"/>
      <c r="AH9" s="590"/>
      <c r="AI9" s="590"/>
      <c r="AJ9" s="590"/>
      <c r="AK9" s="1485" t="s">
        <v>486</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78"/>
      <c r="R10" s="579"/>
      <c r="S10" s="1506"/>
      <c r="T10" s="588" t="s">
        <v>413</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487</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3514" customFormat="1" customHeight="1" ht="14.25" hidden="1">
      <c r="A12" s="1571"/>
      <c r="B12" s="1571"/>
      <c r="C12" s="1542"/>
      <c r="D12" s="1542"/>
      <c r="E12" s="2390"/>
      <c r="F12" s="2389"/>
      <c r="G12" s="1542"/>
      <c r="H12" s="1542"/>
      <c r="I12" s="1542"/>
      <c r="J12" s="1542"/>
      <c r="K12" s="1542"/>
      <c r="L12" s="1686"/>
      <c r="M12" s="1549"/>
      <c r="N12" s="1549"/>
      <c r="P12" s="1544"/>
      <c r="Q12" s="1545"/>
      <c r="R12" s="1544"/>
      <c r="S12" s="1550"/>
      <c r="T12" s="1553" t="s">
        <v>252</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3606"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253</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66</v>
      </c>
      <c r="AH15" s="2387"/>
      <c r="AI15" s="2386" t="s">
        <v>66</v>
      </c>
    </row>
    <row customHeight="1" ht="14.25" hidden="1">
      <c r="AC16" s="1588"/>
      <c r="AD16" s="1588"/>
      <c r="AE16" s="551" t="str">
        <f>AF15&amp;"-"&amp;AH15</f>
        <v>-</v>
      </c>
      <c r="AF16" s="2386"/>
      <c r="AG16" s="2386"/>
      <c r="AH16" s="2386"/>
      <c r="AI16" s="2386"/>
    </row>
    <row customHeight="1" ht="14.25" hidden="1">
      <c r="AI17" s="550"/>
    </row>
    <row s="13533" customFormat="1" customHeight="1" ht="22.5" hidden="1">
      <c r="L18" s="1675"/>
      <c r="M18" s="1590"/>
      <c r="N18" s="1590"/>
      <c r="O18" s="1595" t="s">
        <v>416</v>
      </c>
      <c r="P18" s="1590"/>
      <c r="Q18" s="1599"/>
      <c r="R18" s="1599"/>
      <c r="S18" s="952"/>
      <c r="Y18" s="1595"/>
      <c r="AA18" s="1595"/>
      <c r="AB18" s="1594"/>
      <c r="AF18" s="1595"/>
      <c r="AH18" s="1595"/>
      <c r="AI18" s="1594"/>
      <c r="AL18" s="734"/>
      <c r="AM18" s="734"/>
      <c r="AN18" s="734"/>
      <c r="AO18" s="734"/>
      <c r="AP18" s="734"/>
    </row>
    <row s="13533" customFormat="1" customHeight="1" ht="14.25" hidden="1">
      <c r="L19" s="1675"/>
      <c r="M19" s="1590"/>
      <c r="N19" s="1590"/>
      <c r="O19" s="1590"/>
      <c r="P19" s="1590"/>
      <c r="Q19" s="1599"/>
      <c r="R19" s="1599"/>
      <c r="S19" s="952"/>
      <c r="AB19" s="1594"/>
      <c r="AI19" s="1594"/>
      <c r="AL19" s="734"/>
      <c r="AM19" s="734"/>
      <c r="AN19" s="734"/>
      <c r="AO19" s="734"/>
      <c r="AP19" s="734"/>
    </row>
    <row s="13533" customFormat="1" customHeight="1" ht="12" hidden="1">
      <c r="L20" s="1675"/>
      <c r="M20" s="1590"/>
      <c r="N20" s="1590"/>
      <c r="O20" s="1592" t="s">
        <v>417</v>
      </c>
      <c r="P20" s="1590"/>
      <c r="Q20" s="1670"/>
      <c r="R20" s="1670"/>
      <c r="S20" s="952"/>
      <c r="T20" s="1385" t="s">
        <v>418</v>
      </c>
      <c r="Z20" s="409" t="s">
        <v>419</v>
      </c>
      <c r="AB20" s="409" t="s">
        <v>420</v>
      </c>
      <c r="AC20" s="1385" t="s">
        <v>418</v>
      </c>
      <c r="AG20" s="409" t="s">
        <v>421</v>
      </c>
      <c r="AI20" s="409" t="s">
        <v>420</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ООО "Новая Энергетика"</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3547"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Агенство по тарифам Приморского края</v>
      </c>
      <c r="W27" s="2382"/>
      <c r="X27" s="2382"/>
      <c r="Y27" s="2382"/>
      <c r="Z27" s="2382"/>
      <c r="AA27" s="2382"/>
      <c r="AB27" s="549"/>
      <c r="AC27" s="2382" t="str">
        <f>IF(TITLE_NAME_OR_PR_CHANGE="",IF(TITLE_NAME_OR_PR="","",TITLE_NAME_OR_PR),TITLE_NAME_OR_PR_CHANGE)</f>
        <v>Агенство по тарифам Приморского края</v>
      </c>
      <c r="AD27" s="2382"/>
      <c r="AE27" s="2382"/>
      <c r="AF27" s="2382"/>
      <c r="AG27" s="2382"/>
      <c r="AH27" s="2382"/>
      <c r="AI27" s="549"/>
      <c r="AJ27" s="549"/>
      <c r="AK27" s="503"/>
      <c r="AL27" s="591"/>
      <c r="AM27" s="591"/>
      <c r="AN27" s="591"/>
      <c r="AO27" s="591"/>
      <c r="AP27" s="591"/>
    </row>
    <row s="13547" customFormat="1" customHeight="1" ht="18.75">
      <c r="A28" s="1596"/>
      <c r="B28" s="1596"/>
      <c r="C28" s="1596"/>
      <c r="D28" s="1596"/>
      <c r="E28" s="1596"/>
      <c r="F28" s="1596"/>
      <c r="G28" s="1596"/>
      <c r="H28" s="1596"/>
      <c r="I28" s="1596"/>
      <c r="J28" s="1596"/>
      <c r="K28" s="1596"/>
      <c r="L28" s="1597"/>
      <c r="M28" s="1596"/>
      <c r="N28" s="1596"/>
      <c r="O28" s="1596"/>
      <c r="S28" s="2380" t="s">
        <v>422</v>
      </c>
      <c r="T28" s="2380"/>
      <c r="U28" s="1600"/>
      <c r="V28" s="2381" t="str">
        <f>IF(TITLE_DATE_PR_CHANGE="",IF(TITLE_DATE_PR="","",TITLE_DATE_PR),TITLE_DATE_PR_CHANGE)</f>
        <v>45281.66994212963</v>
      </c>
      <c r="W28" s="2381"/>
      <c r="X28" s="2381"/>
      <c r="Y28" s="2381"/>
      <c r="Z28" s="2381"/>
      <c r="AA28" s="2381"/>
      <c r="AB28" s="549"/>
      <c r="AC28" s="2381" t="str">
        <f>IF(TITLE_DATE_PR_CHANGE="",IF(TITLE_DATE_PR="","",TITLE_DATE_PR),TITLE_DATE_PR_CHANGE)</f>
        <v>45281.66994212963</v>
      </c>
      <c r="AD28" s="2381"/>
      <c r="AE28" s="2381"/>
      <c r="AF28" s="2381"/>
      <c r="AG28" s="2381"/>
      <c r="AH28" s="2381"/>
      <c r="AI28" s="549"/>
      <c r="AJ28" s="549"/>
      <c r="AK28" s="503"/>
      <c r="AL28" s="591"/>
      <c r="AM28" s="591"/>
      <c r="AN28" s="591"/>
      <c r="AO28" s="591"/>
      <c r="AP28" s="591"/>
    </row>
    <row s="13547" customFormat="1" customHeight="1" ht="18.75">
      <c r="A29" s="1596"/>
      <c r="B29" s="1596"/>
      <c r="C29" s="1596"/>
      <c r="D29" s="1596"/>
      <c r="E29" s="1596"/>
      <c r="F29" s="1596"/>
      <c r="G29" s="1596"/>
      <c r="H29" s="1596"/>
      <c r="I29" s="1596"/>
      <c r="J29" s="1596"/>
      <c r="K29" s="1596"/>
      <c r="L29" s="1597"/>
      <c r="M29" s="1596"/>
      <c r="N29" s="1596"/>
      <c r="O29" s="1596"/>
      <c r="S29" s="2380" t="s">
        <v>423</v>
      </c>
      <c r="T29" s="2380"/>
      <c r="U29" s="1600"/>
      <c r="V29" s="2382" t="str">
        <f>IF(TITLE_NUMBER_PR_CHANGE="",IF(TITLE_NUMBER_PR="","",TITLE_NUMBER_PR),TITLE_NUMBER_PR_CHANGE)</f>
        <v>72/1</v>
      </c>
      <c r="W29" s="2382"/>
      <c r="X29" s="2382"/>
      <c r="Y29" s="2382"/>
      <c r="Z29" s="2382"/>
      <c r="AA29" s="2382"/>
      <c r="AB29" s="549"/>
      <c r="AC29" s="2382" t="str">
        <f>IF(TITLE_NUMBER_PR_CHANGE="",IF(TITLE_NUMBER_PR="","",TITLE_NUMBER_PR),TITLE_NUMBER_PR_CHANGE)</f>
        <v>72/1</v>
      </c>
      <c r="AD29" s="2382"/>
      <c r="AE29" s="2382"/>
      <c r="AF29" s="2382"/>
      <c r="AG29" s="2382"/>
      <c r="AH29" s="2382"/>
      <c r="AI29" s="549"/>
      <c r="AJ29" s="549"/>
      <c r="AK29" s="503"/>
      <c r="AL29" s="591"/>
      <c r="AM29" s="591"/>
      <c r="AN29" s="591"/>
      <c r="AO29" s="591"/>
      <c r="AP29" s="591"/>
    </row>
    <row s="13547"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http://pravo.gov.ru Номер опубликования: 2501202312270032 Дата опубликования: 27.12.2023</v>
      </c>
      <c r="W30" s="2382"/>
      <c r="X30" s="2382"/>
      <c r="Y30" s="2382"/>
      <c r="Z30" s="2382"/>
      <c r="AA30" s="2382"/>
      <c r="AB30" s="549"/>
      <c r="AC30" s="2382" t="str">
        <f>IF(TITLE_IST_PUB_CHANGE="",IF(TITLE_IST_PUB="","",TITLE_IST_PUB),TITLE_IST_PUB_CHANGE)</f>
        <v>http://pravo.gov.ru Номер опубликования: 2501202312270032 Дата опубликования: 27.12.2023</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3547" customFormat="1" customHeight="1" ht="18.75" hidden="1">
      <c r="A32" s="1596"/>
      <c r="B32" s="1596"/>
      <c r="C32" s="1596"/>
      <c r="D32" s="1596"/>
      <c r="E32" s="1596"/>
      <c r="F32" s="1596"/>
      <c r="G32" s="1596"/>
      <c r="H32" s="1596"/>
      <c r="I32" s="1596"/>
      <c r="J32" s="1596"/>
      <c r="K32" s="1596"/>
      <c r="L32" s="1597"/>
      <c r="M32" s="1596"/>
      <c r="N32" s="1596"/>
      <c r="O32" s="1596"/>
      <c r="S32" s="2380" t="s">
        <v>424</v>
      </c>
      <c r="T32" s="2380"/>
      <c r="U32" s="1600"/>
      <c r="V32" s="2381" t="str">
        <f>IF(TITLE_DATE_PR_CHANGE="",IF(TITLE_DATE_PR="","",TITLE_DATE_PR),TITLE_DATE_PR_CHANGE)</f>
        <v>45281.66994212963</v>
      </c>
      <c r="W32" s="2381"/>
      <c r="X32" s="2381"/>
      <c r="Y32" s="2381"/>
      <c r="Z32" s="2381"/>
      <c r="AA32" s="2381"/>
      <c r="AB32" s="549"/>
      <c r="AC32" s="2381" t="str">
        <f>IF(TITLE_DATE_PR_CHANGE="",IF(TITLE_DATE_PR="","",TITLE_DATE_PR),TITLE_DATE_PR_CHANGE)</f>
        <v>45281.66994212963</v>
      </c>
      <c r="AD32" s="2381"/>
      <c r="AE32" s="2381"/>
      <c r="AF32" s="2381"/>
      <c r="AG32" s="2381"/>
      <c r="AH32" s="2381"/>
      <c r="AI32" s="549"/>
      <c r="AJ32" s="549"/>
      <c r="AK32" s="503"/>
      <c r="AL32" s="591"/>
      <c r="AM32" s="591"/>
      <c r="AN32" s="591"/>
      <c r="AO32" s="591"/>
      <c r="AP32" s="591"/>
    </row>
    <row s="13547" customFormat="1" customHeight="1" ht="18.75" hidden="1">
      <c r="A33" s="1596"/>
      <c r="B33" s="1596"/>
      <c r="C33" s="1596"/>
      <c r="D33" s="1596"/>
      <c r="E33" s="1596"/>
      <c r="F33" s="1596"/>
      <c r="G33" s="1596"/>
      <c r="H33" s="1596"/>
      <c r="I33" s="1596"/>
      <c r="J33" s="1596"/>
      <c r="K33" s="1596"/>
      <c r="L33" s="1597"/>
      <c r="M33" s="1596"/>
      <c r="N33" s="1596"/>
      <c r="O33" s="1596"/>
      <c r="S33" s="2380" t="s">
        <v>425</v>
      </c>
      <c r="T33" s="2380"/>
      <c r="U33" s="1600"/>
      <c r="V33" s="2382" t="str">
        <f>IF(TITLE_NUMBER_PR_CHANGE="",IF(TITLE_NUMBER_PR="","",TITLE_NUMBER_PR),TITLE_NUMBER_PR_CHANGE)</f>
        <v>72/1</v>
      </c>
      <c r="W33" s="2382"/>
      <c r="X33" s="2382"/>
      <c r="Y33" s="2382"/>
      <c r="Z33" s="2382"/>
      <c r="AA33" s="2382"/>
      <c r="AB33" s="549"/>
      <c r="AC33" s="2382" t="str">
        <f>IF(TITLE_NUMBER_PR_CHANGE="",IF(TITLE_NUMBER_PR="","",TITLE_NUMBER_PR),TITLE_NUMBER_PR_CHANGE)</f>
        <v>72/1</v>
      </c>
      <c r="AD33" s="2382"/>
      <c r="AE33" s="2382"/>
      <c r="AF33" s="2382"/>
      <c r="AG33" s="2382"/>
      <c r="AH33" s="2382"/>
      <c r="AI33" s="549"/>
      <c r="AJ33" s="549"/>
      <c r="AK33" s="503"/>
      <c r="AL33" s="591"/>
      <c r="AM33" s="591"/>
      <c r="AN33" s="591"/>
      <c r="AO33" s="591"/>
      <c r="AP33" s="591"/>
    </row>
    <row s="13547" customFormat="1" customHeight="1" ht="0.75">
      <c r="A34" s="1596"/>
      <c r="B34" s="1596"/>
      <c r="C34" s="1596"/>
      <c r="D34" s="1596"/>
      <c r="E34" s="1596"/>
      <c r="F34" s="1596"/>
      <c r="G34" s="1596"/>
      <c r="H34" s="1596"/>
      <c r="I34" s="1596"/>
      <c r="J34" s="1596"/>
      <c r="K34" s="1596"/>
      <c r="L34" s="1597"/>
      <c r="M34" s="1596"/>
      <c r="N34" s="1596"/>
      <c r="O34" s="1596"/>
      <c r="S34" s="546"/>
      <c r="T34" s="546"/>
      <c r="U34" s="1682"/>
      <c r="V34" s="549"/>
      <c r="W34" s="549"/>
      <c r="X34" s="549"/>
      <c r="Y34" s="549"/>
      <c r="Z34" s="549"/>
      <c r="AA34" s="549"/>
      <c r="AB34" s="501" t="s">
        <v>426</v>
      </c>
      <c r="AC34" s="549"/>
      <c r="AD34" s="549"/>
      <c r="AE34" s="549"/>
      <c r="AF34" s="549"/>
      <c r="AG34" s="549"/>
      <c r="AH34" s="549"/>
      <c r="AI34" s="501" t="s">
        <v>426</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301</v>
      </c>
      <c r="T36" s="2254"/>
      <c r="U36" s="2254"/>
      <c r="V36" s="2254"/>
      <c r="W36" s="2254"/>
      <c r="X36" s="2254"/>
      <c r="Y36" s="2254"/>
      <c r="Z36" s="2254"/>
      <c r="AA36" s="2254"/>
      <c r="AB36" s="2254"/>
      <c r="AC36" s="2254"/>
      <c r="AD36" s="2254"/>
      <c r="AE36" s="2254"/>
      <c r="AF36" s="2254"/>
      <c r="AG36" s="2254"/>
      <c r="AH36" s="2254"/>
      <c r="AI36" s="2254"/>
      <c r="AJ36" s="2254"/>
      <c r="AK36" s="2254" t="s">
        <v>302</v>
      </c>
    </row>
    <row customHeight="1" ht="14.25">
      <c r="Q37" s="599"/>
      <c r="R37" s="599"/>
      <c r="S37" s="2407" t="s">
        <v>87</v>
      </c>
      <c r="T37" s="2344" t="s">
        <v>427</v>
      </c>
      <c r="U37" s="524"/>
      <c r="V37" s="2408" t="s">
        <v>428</v>
      </c>
      <c r="W37" s="2409"/>
      <c r="X37" s="2409"/>
      <c r="Y37" s="2409"/>
      <c r="Z37" s="2409"/>
      <c r="AA37" s="2410"/>
      <c r="AB37" s="2411" t="s">
        <v>429</v>
      </c>
      <c r="AC37" s="2408" t="s">
        <v>428</v>
      </c>
      <c r="AD37" s="2409"/>
      <c r="AE37" s="2409"/>
      <c r="AF37" s="2409"/>
      <c r="AG37" s="2409"/>
      <c r="AH37" s="2410"/>
      <c r="AI37" s="2411" t="s">
        <v>430</v>
      </c>
      <c r="AJ37" s="2414" t="s">
        <v>431</v>
      </c>
      <c r="AK37" s="2254"/>
    </row>
    <row customHeight="1" ht="33.75">
      <c r="Q38" s="599"/>
      <c r="R38" s="599"/>
      <c r="S38" s="2407"/>
      <c r="T38" s="2344"/>
      <c r="U38" s="1255"/>
      <c r="V38" s="1680" t="s">
        <v>488</v>
      </c>
      <c r="W38" s="2400" t="s">
        <v>434</v>
      </c>
      <c r="X38" s="2402"/>
      <c r="Y38" s="2400" t="s">
        <v>435</v>
      </c>
      <c r="Z38" s="2401"/>
      <c r="AA38" s="2402"/>
      <c r="AB38" s="2412"/>
      <c r="AC38" s="1680" t="s">
        <v>488</v>
      </c>
      <c r="AD38" s="2400" t="s">
        <v>434</v>
      </c>
      <c r="AE38" s="2402"/>
      <c r="AF38" s="2400" t="s">
        <v>435</v>
      </c>
      <c r="AG38" s="2401"/>
      <c r="AH38" s="2402"/>
      <c r="AI38" s="2412"/>
      <c r="AJ38" s="2415"/>
      <c r="AK38" s="2254"/>
    </row>
    <row customHeight="1" ht="33.75">
      <c r="A39" s="1598"/>
      <c r="B39" s="1598" t="s">
        <v>134</v>
      </c>
      <c r="C39" s="1598" t="s">
        <v>135</v>
      </c>
      <c r="D39" s="1598" t="s">
        <v>136</v>
      </c>
      <c r="E39" s="1592" t="s">
        <v>436</v>
      </c>
      <c r="F39" s="1592" t="s">
        <v>437</v>
      </c>
      <c r="G39" s="1592" t="s">
        <v>438</v>
      </c>
      <c r="H39" s="1592"/>
      <c r="I39" s="1592" t="s">
        <v>489</v>
      </c>
      <c r="J39" s="1592" t="s">
        <v>441</v>
      </c>
      <c r="K39" s="1592" t="s">
        <v>490</v>
      </c>
      <c r="L39" s="1592" t="s">
        <v>417</v>
      </c>
      <c r="Q39" s="599"/>
      <c r="R39" s="599"/>
      <c r="S39" s="2407"/>
      <c r="T39" s="2344"/>
      <c r="U39" s="525"/>
      <c r="V39" s="1680" t="s">
        <v>491</v>
      </c>
      <c r="W39" s="1449" t="s">
        <v>492</v>
      </c>
      <c r="X39" s="1449" t="s">
        <v>493</v>
      </c>
      <c r="Y39" s="1683" t="s">
        <v>445</v>
      </c>
      <c r="Z39" s="2403" t="s">
        <v>446</v>
      </c>
      <c r="AA39" s="2404"/>
      <c r="AB39" s="2413"/>
      <c r="AC39" s="1680" t="s">
        <v>491</v>
      </c>
      <c r="AD39" s="1449" t="s">
        <v>492</v>
      </c>
      <c r="AE39" s="1449" t="s">
        <v>493</v>
      </c>
      <c r="AF39" s="1683" t="s">
        <v>445</v>
      </c>
      <c r="AG39" s="2403" t="s">
        <v>446</v>
      </c>
      <c r="AH39" s="2404"/>
      <c r="AI39" s="2413"/>
      <c r="AJ39" s="2416"/>
      <c r="AK39" s="2254"/>
    </row>
    <row s="13364"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108</v>
      </c>
      <c r="T40" s="1482" t="s">
        <v>109</v>
      </c>
      <c r="U40" s="1472" t="str">
        <f>OFFSET(U40,0,-1)</f>
        <v>2</v>
      </c>
      <c r="V40" s="1679">
        <f>OFFSET(V40,0,-1)+1</f>
        <v>3</v>
      </c>
      <c r="W40" s="1679">
        <f>OFFSET(W40,0,-1)+1</f>
        <v>4</v>
      </c>
      <c r="X40" s="1679">
        <f>OFFSET(X40,0,-1)+1</f>
        <v>5</v>
      </c>
      <c r="Y40" s="1679">
        <f>OFFSET(Y40,0,-1)+1</f>
        <v>6</v>
      </c>
      <c r="Z40" s="2405">
        <f>OFFSET(Z40,0,-1)+1</f>
        <v>7</v>
      </c>
      <c r="AA40" s="2405"/>
      <c r="AB40" s="1679">
        <f>OFFSET(AB40,0,-2)+1</f>
        <v>8</v>
      </c>
      <c r="AC40" s="1679">
        <f>OFFSET(AC40,0,-1)+1</f>
        <v>9</v>
      </c>
      <c r="AD40" s="1679">
        <f>OFFSET(AD40,0,-1)+1</f>
        <v>10</v>
      </c>
      <c r="AE40" s="1679">
        <f>OFFSET(AE40,0,-1)+1</f>
        <v>11</v>
      </c>
      <c r="AF40" s="1679">
        <f>OFFSET(AF40,0,-1)+1</f>
        <v>12</v>
      </c>
      <c r="AG40" s="2405">
        <f>OFFSET(AG40,0,-1)+1</f>
        <v>13</v>
      </c>
      <c r="AH40" s="2405"/>
      <c r="AI40" s="1679">
        <f>OFFSET(AI40,0,-2)+1</f>
        <v>14</v>
      </c>
      <c r="AJ40" s="1472">
        <f>OFFSET(AJ40,0,-1)</f>
        <v>14</v>
      </c>
      <c r="AK40" s="1679">
        <f>OFFSET(AK40,0,-1)+1</f>
        <v>15</v>
      </c>
      <c r="AL40" s="734"/>
      <c r="AM40" s="734"/>
      <c r="AN40" s="734"/>
      <c r="AO40" s="734"/>
      <c r="AP40" s="734"/>
    </row>
    <row customHeight="1" ht="23.25">
      <c r="A41" s="1591" t="s">
        <v>233</v>
      </c>
      <c r="B41" s="1591"/>
      <c r="C41" s="1591"/>
      <c r="D41" s="1591"/>
      <c r="E41" s="2389">
        <v>1</v>
      </c>
      <c r="F41" s="1591"/>
      <c r="G41" s="1591"/>
      <c r="H41" s="1591"/>
      <c r="I41" s="1591"/>
      <c r="J41" s="1591"/>
      <c r="K41" s="1591"/>
      <c r="L41" s="1592"/>
      <c r="M41" s="1593"/>
      <c r="N41" s="1593"/>
      <c r="O41" s="1593"/>
      <c r="P41" s="584"/>
      <c r="Q41" s="583"/>
      <c r="R41" s="578"/>
      <c r="S41" s="1685">
        <f>INDEX(PT_DIFFERENTIATION_NUM_NTAR,MATCH(A41,PT_DIFFERENTIATION_NTAR_ID,0))</f>
        <v>0</v>
      </c>
      <c r="T41" s="521" t="s">
        <v>122</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233</v>
      </c>
      <c r="B42" s="1591" t="s">
        <v>234</v>
      </c>
      <c r="C42" s="1591"/>
      <c r="D42" s="1591"/>
      <c r="E42" s="2390"/>
      <c r="F42" s="2389">
        <v>1</v>
      </c>
      <c r="G42" s="1591"/>
      <c r="H42" s="1591"/>
      <c r="I42" s="1591"/>
      <c r="J42" s="1591"/>
      <c r="K42" s="1591"/>
      <c r="L42" s="1592"/>
      <c r="M42" s="1593"/>
      <c r="N42" s="1593"/>
      <c r="O42" s="1593"/>
      <c r="P42" s="1681"/>
      <c r="Q42" s="575"/>
      <c r="R42" s="576"/>
      <c r="S42" s="1685" t="str">
        <f>INDEX(PT_DIFFERENTIATION_NUM_TER,MATCH(B42,PT_DIFFERENTIATION_TER_ID,0))</f>
        <v>.</v>
      </c>
      <c r="T42" s="531" t="s">
        <v>398</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399</v>
      </c>
      <c r="AM42" s="723"/>
      <c r="AN42" s="723" t="str">
        <f>IF(T42="","",T42)</f>
        <v>Территория действия тарифа</v>
      </c>
      <c r="AO42" s="723"/>
      <c r="AP42" s="723"/>
    </row>
    <row customHeight="1" ht="23.25">
      <c r="A43" s="1591" t="s">
        <v>233</v>
      </c>
      <c r="B43" s="1591" t="s">
        <v>234</v>
      </c>
      <c r="C43" s="1591" t="s">
        <v>235</v>
      </c>
      <c r="D43" s="1591"/>
      <c r="E43" s="2390"/>
      <c r="F43" s="2390"/>
      <c r="G43" s="2389">
        <v>1</v>
      </c>
      <c r="H43" s="1591"/>
      <c r="I43" s="1591"/>
      <c r="J43" s="1591"/>
      <c r="K43" s="1591"/>
      <c r="L43" s="1592"/>
      <c r="M43" s="1593"/>
      <c r="N43" s="1593"/>
      <c r="O43" s="1593"/>
      <c r="P43" s="577"/>
      <c r="Q43" s="575"/>
      <c r="R43" s="576"/>
      <c r="S43" s="1685" t="str">
        <f>INDEX(PT_DIFFERENTIATION_NUM_CS,MATCH(C43,PT_DIFFERENTIATION_CS_ID,0))</f>
        <v>..</v>
      </c>
      <c r="T43" s="532" t="s">
        <v>480</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481</v>
      </c>
      <c r="AM43" s="723"/>
      <c r="AN43" s="723" t="str">
        <f>IF(T43="","",T43)</f>
        <v>Наименование централизованной системы холодного водоснабжения</v>
      </c>
      <c r="AO43" s="723"/>
      <c r="AP43" s="723"/>
    </row>
    <row customHeight="1" ht="23.25">
      <c r="A44" s="1591" t="s">
        <v>233</v>
      </c>
      <c r="B44" s="1591" t="s">
        <v>234</v>
      </c>
      <c r="C44" s="1591" t="s">
        <v>235</v>
      </c>
      <c r="D44" s="1591" t="s">
        <v>496</v>
      </c>
      <c r="E44" s="2390"/>
      <c r="F44" s="2390"/>
      <c r="G44" s="2390"/>
      <c r="H44" s="2390"/>
      <c r="I44" s="2391" t="str">
        <f>S43&amp;".1"</f>
        <v>...1</v>
      </c>
      <c r="J44" s="1591"/>
      <c r="K44" s="1591"/>
      <c r="L44" s="1592"/>
      <c r="P44" s="2393">
        <v>1</v>
      </c>
      <c r="Q44" s="1678"/>
      <c r="R44" s="579"/>
      <c r="S44" s="1685" t="str">
        <f>$I44</f>
        <v>...1</v>
      </c>
      <c r="T44" s="508" t="s">
        <v>482</v>
      </c>
      <c r="U44" s="523"/>
      <c r="V44" s="2476"/>
      <c r="W44" s="2477"/>
      <c r="X44" s="2477"/>
      <c r="Y44" s="2477"/>
      <c r="Z44" s="2477"/>
      <c r="AA44" s="2477"/>
      <c r="AB44" s="2478"/>
      <c r="AC44" s="2479"/>
      <c r="AD44" s="2480"/>
      <c r="AE44" s="2480"/>
      <c r="AF44" s="2480"/>
      <c r="AG44" s="2480"/>
      <c r="AH44" s="2480"/>
      <c r="AI44" s="2480"/>
      <c r="AJ44" s="2481"/>
      <c r="AK44" s="1485" t="s">
        <v>483</v>
      </c>
      <c r="AM44" s="723"/>
      <c r="AN44" s="723" t="str">
        <f>IF(T44="","",T44)</f>
        <v>Наименование признака дифференциации</v>
      </c>
      <c r="AO44" s="723"/>
      <c r="AP44" s="723"/>
    </row>
    <row customHeight="1" ht="23.25">
      <c r="A45" s="1591" t="s">
        <v>233</v>
      </c>
      <c r="B45" s="1591" t="s">
        <v>234</v>
      </c>
      <c r="C45" s="1591" t="s">
        <v>235</v>
      </c>
      <c r="D45" s="1591" t="s">
        <v>496</v>
      </c>
      <c r="E45" s="2390"/>
      <c r="F45" s="2390"/>
      <c r="G45" s="2390"/>
      <c r="H45" s="2390"/>
      <c r="I45" s="2392"/>
      <c r="J45" s="2391" t="str">
        <f>I44&amp;".1"</f>
        <v>...1.1</v>
      </c>
      <c r="K45" s="1591"/>
      <c r="L45" s="1592" t="s">
        <v>407</v>
      </c>
      <c r="P45" s="2393"/>
      <c r="Q45" s="2393">
        <v>1</v>
      </c>
      <c r="R45" s="580"/>
      <c r="S45" s="1685" t="str">
        <f>$J45</f>
        <v>...1.1</v>
      </c>
      <c r="T45" s="509" t="s">
        <v>408</v>
      </c>
      <c r="U45" s="523"/>
      <c r="V45" s="2377"/>
      <c r="W45" s="2378"/>
      <c r="X45" s="2378"/>
      <c r="Y45" s="2378"/>
      <c r="Z45" s="2378"/>
      <c r="AA45" s="2378"/>
      <c r="AB45" s="2379"/>
      <c r="AC45" s="2377"/>
      <c r="AD45" s="2378"/>
      <c r="AE45" s="2378"/>
      <c r="AF45" s="2378"/>
      <c r="AG45" s="2378"/>
      <c r="AH45" s="2378"/>
      <c r="AI45" s="2378"/>
      <c r="AJ45" s="2379"/>
      <c r="AK45" s="1535" t="s">
        <v>484</v>
      </c>
      <c r="AM45" s="723"/>
      <c r="AN45" s="723" t="str">
        <f>IF(T45="","",T45)</f>
        <v>Группа потребителей</v>
      </c>
      <c r="AO45" s="723"/>
      <c r="AP45" s="723"/>
    </row>
    <row customHeight="1" ht="23.25">
      <c r="A46" s="1591" t="s">
        <v>233</v>
      </c>
      <c r="B46" s="1591" t="s">
        <v>234</v>
      </c>
      <c r="C46" s="1591" t="s">
        <v>235</v>
      </c>
      <c r="D46" s="1591" t="s">
        <v>496</v>
      </c>
      <c r="E46" s="2390"/>
      <c r="F46" s="2390"/>
      <c r="G46" s="2390"/>
      <c r="H46" s="2390"/>
      <c r="I46" s="2392"/>
      <c r="J46" s="2392"/>
      <c r="K46" s="2391" t="str">
        <f>J45&amp;".1"</f>
        <v>...1.1.1</v>
      </c>
      <c r="L46" s="1592"/>
      <c r="P46" s="2393"/>
      <c r="Q46" s="2393"/>
      <c r="R46" s="580">
        <v>1</v>
      </c>
      <c r="S46" s="1685" t="str">
        <f>$K46</f>
        <v>...1.1.1</v>
      </c>
      <c r="T46" s="1665"/>
      <c r="U46" s="523"/>
      <c r="V46" s="974"/>
      <c r="W46" s="974"/>
      <c r="X46" s="1484"/>
      <c r="Y46" s="2394"/>
      <c r="Z46" s="2264" t="s">
        <v>66</v>
      </c>
      <c r="AA46" s="2394"/>
      <c r="AB46" s="2264" t="s">
        <v>66</v>
      </c>
      <c r="AC46" s="974"/>
      <c r="AD46" s="974"/>
      <c r="AE46" s="1484"/>
      <c r="AF46" s="2394"/>
      <c r="AG46" s="2264" t="s">
        <v>66</v>
      </c>
      <c r="AH46" s="2396"/>
      <c r="AI46" s="2264" t="s">
        <v>66</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233</v>
      </c>
      <c r="B47" s="1591" t="s">
        <v>234</v>
      </c>
      <c r="C47" s="1591" t="s">
        <v>235</v>
      </c>
      <c r="D47" s="1591" t="s">
        <v>496</v>
      </c>
      <c r="E47" s="2390"/>
      <c r="F47" s="2390"/>
      <c r="G47" s="2390"/>
      <c r="H47" s="2390"/>
      <c r="I47" s="2392"/>
      <c r="J47" s="2392"/>
      <c r="K47" s="2391"/>
      <c r="L47" s="1592"/>
      <c r="P47" s="2393"/>
      <c r="Q47" s="2393"/>
      <c r="R47" s="580"/>
      <c r="S47" s="1684"/>
      <c r="T47" s="523"/>
      <c r="U47" s="523"/>
      <c r="V47" s="548"/>
      <c r="W47" s="548"/>
      <c r="X47" s="551" t="str">
        <f>Y46&amp;"-"&amp;AA46</f>
        <v>-</v>
      </c>
      <c r="Y47" s="2395"/>
      <c r="Z47" s="2264"/>
      <c r="AA47" s="2395"/>
      <c r="AB47" s="2264"/>
      <c r="AC47" s="548"/>
      <c r="AD47" s="548"/>
      <c r="AE47" s="551" t="str">
        <f>AF46&amp;"-"&amp;AH46</f>
        <v>-</v>
      </c>
      <c r="AF47" s="2395"/>
      <c r="AG47" s="2264"/>
      <c r="AH47" s="2397"/>
      <c r="AI47" s="2264"/>
      <c r="AJ47" s="1667"/>
      <c r="AK47" s="2482"/>
      <c r="AM47" s="723"/>
      <c r="AN47" s="723" t="str">
        <f>IF(T47="","",T47)</f>
        <v/>
      </c>
      <c r="AO47" s="723"/>
      <c r="AP47" s="723"/>
    </row>
    <row customHeight="1" ht="21">
      <c r="A48" s="1591" t="s">
        <v>233</v>
      </c>
      <c r="B48" s="1591" t="s">
        <v>234</v>
      </c>
      <c r="C48" s="1591" t="s">
        <v>235</v>
      </c>
      <c r="D48" s="1591" t="s">
        <v>496</v>
      </c>
      <c r="E48" s="2390"/>
      <c r="F48" s="2390"/>
      <c r="G48" s="2390"/>
      <c r="H48" s="2390"/>
      <c r="I48" s="2392"/>
      <c r="J48" s="2391"/>
      <c r="K48" s="1591"/>
      <c r="L48" s="1592"/>
      <c r="P48" s="2393"/>
      <c r="Q48" s="2393"/>
      <c r="R48" s="579"/>
      <c r="S48" s="1506"/>
      <c r="T48" s="510" t="s">
        <v>485</v>
      </c>
      <c r="U48" s="590"/>
      <c r="V48" s="590"/>
      <c r="W48" s="590"/>
      <c r="X48" s="590"/>
      <c r="Y48" s="590"/>
      <c r="Z48" s="590"/>
      <c r="AA48" s="590"/>
      <c r="AB48" s="590"/>
      <c r="AC48" s="590"/>
      <c r="AD48" s="590"/>
      <c r="AE48" s="590"/>
      <c r="AF48" s="590"/>
      <c r="AG48" s="590"/>
      <c r="AH48" s="590"/>
      <c r="AI48" s="590"/>
      <c r="AJ48" s="590"/>
      <c r="AK48" s="1485" t="s">
        <v>486</v>
      </c>
      <c r="AM48" s="723"/>
      <c r="AN48" s="723" t="str">
        <f>IF(T48="","",T48)</f>
        <v>Добавить значение признака дифференциации</v>
      </c>
      <c r="AO48" s="723"/>
      <c r="AP48" s="723"/>
    </row>
    <row customHeight="1" ht="21">
      <c r="A49" s="1591" t="s">
        <v>233</v>
      </c>
      <c r="B49" s="1591" t="s">
        <v>234</v>
      </c>
      <c r="C49" s="1591" t="s">
        <v>235</v>
      </c>
      <c r="D49" s="1591" t="s">
        <v>496</v>
      </c>
      <c r="E49" s="2390"/>
      <c r="F49" s="2390"/>
      <c r="G49" s="2390"/>
      <c r="H49" s="2390"/>
      <c r="I49" s="2391"/>
      <c r="J49" s="1591"/>
      <c r="K49" s="1591"/>
      <c r="L49" s="1592"/>
      <c r="P49" s="2393"/>
      <c r="Q49" s="1678"/>
      <c r="R49" s="579"/>
      <c r="S49" s="1506"/>
      <c r="T49" s="588" t="s">
        <v>413</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233</v>
      </c>
      <c r="B50" s="1591" t="s">
        <v>234</v>
      </c>
      <c r="C50" s="1591" t="s">
        <v>235</v>
      </c>
      <c r="D50" s="1591" t="s">
        <v>496</v>
      </c>
      <c r="E50" s="2390"/>
      <c r="F50" s="2390"/>
      <c r="G50" s="2390"/>
      <c r="H50" s="2389"/>
      <c r="I50" s="1591"/>
      <c r="J50" s="1591"/>
      <c r="K50" s="1591"/>
      <c r="L50" s="1592"/>
      <c r="M50" s="1593"/>
      <c r="N50" s="1593"/>
      <c r="O50" s="760"/>
      <c r="P50" s="583"/>
      <c r="Q50" s="598"/>
      <c r="R50" s="578"/>
      <c r="S50" s="1506"/>
      <c r="T50" s="595" t="s">
        <v>487</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3514" customFormat="1" customHeight="1" ht="0">
      <c r="A51" s="1571" t="s">
        <v>233</v>
      </c>
      <c r="B51" s="1571" t="s">
        <v>234</v>
      </c>
      <c r="C51" s="1542"/>
      <c r="D51" s="1542"/>
      <c r="E51" s="2390"/>
      <c r="F51" s="2389"/>
      <c r="G51" s="1542"/>
      <c r="H51" s="1542"/>
      <c r="I51" s="1542"/>
      <c r="J51" s="1542"/>
      <c r="K51" s="1542"/>
      <c r="L51" s="1686"/>
      <c r="M51" s="1549"/>
      <c r="N51" s="1549"/>
      <c r="P51" s="1544"/>
      <c r="Q51" s="1545"/>
      <c r="R51" s="1544"/>
      <c r="S51" s="1550"/>
      <c r="T51" s="1553" t="s">
        <v>252</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3606" customFormat="1" customHeight="1" ht="0">
      <c r="A52" s="1571" t="s">
        <v>233</v>
      </c>
      <c r="B52" s="1571"/>
      <c r="C52" s="1571"/>
      <c r="D52" s="1571"/>
      <c r="E52" s="2389"/>
      <c r="F52" s="1571"/>
      <c r="G52" s="1571"/>
      <c r="H52" s="1571"/>
      <c r="I52" s="1571"/>
      <c r="J52" s="1571"/>
      <c r="K52" s="1571"/>
      <c r="L52" s="1574"/>
      <c r="M52" s="1549"/>
      <c r="N52" s="1549"/>
      <c r="O52" s="741"/>
      <c r="P52" s="603"/>
      <c r="Q52" s="1572"/>
      <c r="R52" s="603"/>
      <c r="S52" s="1550"/>
      <c r="T52" s="1553" t="s">
        <v>253</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3514" customFormat="1" customHeight="1" ht="0">
      <c r="A53" s="1542"/>
      <c r="B53" s="1542"/>
      <c r="C53" s="1542"/>
      <c r="D53" s="1542"/>
      <c r="E53" s="1571"/>
      <c r="F53" s="1542"/>
      <c r="G53" s="1542"/>
      <c r="H53" s="1542"/>
      <c r="I53" s="1542"/>
      <c r="J53" s="1542"/>
      <c r="K53" s="1542"/>
      <c r="L53" s="1686"/>
      <c r="M53" s="1549"/>
      <c r="N53" s="1549"/>
      <c r="P53" s="1544"/>
      <c r="Q53" s="1545"/>
      <c r="R53" s="1544"/>
      <c r="S53" s="1550"/>
      <c r="T53" s="1553" t="s">
        <v>254</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E1001-E6AE-7F56-3B98-D0F490BDB90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533" width="10.57421875" hidden="1"/>
    <col min="2" max="2" style="13533" width="11.00390625" hidden="1" customWidth="1"/>
    <col min="3" max="3" style="13533" width="10.57421875" hidden="1"/>
    <col min="4" max="4" style="13533" width="11.8515625" hidden="1" customWidth="1"/>
    <col min="5" max="5" style="13533" width="10.00390625" hidden="1" customWidth="1"/>
    <col min="6" max="6" style="13533" width="8.7109375" hidden="1" customWidth="1"/>
    <col min="7" max="7" style="13533" width="7.57421875" hidden="1" customWidth="1"/>
    <col min="8" max="8" style="13533" width="11.421875" hidden="1" customWidth="1"/>
    <col min="9" max="9" style="13533" width="14.140625" hidden="1" customWidth="1"/>
    <col min="10" max="10" style="13533" width="9.8515625" hidden="1" customWidth="1"/>
    <col min="11" max="11" style="13533" width="14.7109375" hidden="1" customWidth="1"/>
    <col min="12" max="12" style="13828" width="19.140625" hidden="1" customWidth="1"/>
    <col min="13" max="14" style="13615" width="12.28125" hidden="1" customWidth="1"/>
    <col min="15" max="15" style="13615" width="23.421875" hidden="1" customWidth="1"/>
    <col min="16" max="16" style="13829" width="3.7109375" customWidth="1"/>
    <col min="17" max="18" style="13617" width="3.7109375" customWidth="1"/>
    <col min="19" max="19" style="13618" width="12.7109375" customWidth="1"/>
    <col min="20" max="20" style="13619" width="35.7109375" customWidth="1"/>
    <col min="21" max="21" style="13619" width="0.140625" customWidth="1"/>
    <col min="22" max="24" style="13619" width="24.7109375" hidden="1" customWidth="1"/>
    <col min="25" max="25" style="13619" width="11.7109375" hidden="1" customWidth="1"/>
    <col min="26" max="26" style="13619" width="3.7109375" hidden="1" customWidth="1"/>
    <col min="27" max="27" style="13619" width="11.7109375" hidden="1" customWidth="1"/>
    <col min="28" max="28" style="13619" width="8.57421875" hidden="1" customWidth="1"/>
    <col min="29" max="31" style="13619" width="24.7109375" customWidth="1"/>
    <col min="32" max="32" style="13619" width="11.7109375" customWidth="1"/>
    <col min="33" max="33" style="13619" width="3.7109375" customWidth="1"/>
    <col min="34" max="34" style="13619" width="11.7109375" customWidth="1"/>
    <col min="35" max="35" style="13619" width="8.57421875" hidden="1" customWidth="1"/>
    <col min="36" max="36" style="13619" width="4.7109375" customWidth="1"/>
    <col min="37" max="37" style="13619" width="115.7109375" customWidth="1"/>
    <col min="38" max="39" style="13606" width="10.57421875"/>
    <col min="40" max="40" style="13606" width="11.140625" customWidth="1"/>
    <col min="41" max="42" style="13606"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85">
        <f>INDEX(PT_DIFFERENTIATION_NUM_NTAR,MATCH(A2,PT_DIFFERENTIATION_NTAR_ID,0))</f>
      </c>
      <c r="T2" s="521" t="s">
        <v>122</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81"/>
      <c r="Q3" s="575"/>
      <c r="R3" s="576"/>
      <c r="S3" s="1685">
        <f>INDEX(PT_DIFFERENTIATION_NUM_TER,MATCH(B3,PT_DIFFERENTIATION_TER_ID,0))</f>
      </c>
      <c r="T3" s="531" t="s">
        <v>398</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399</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85">
        <f>INDEX(PT_DIFFERENTIATION_NUM_CS,MATCH(C4,PT_DIFFERENTIATION_CS_ID,0))</f>
      </c>
      <c r="T4" s="532" t="s">
        <v>480</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481</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78"/>
      <c r="R5" s="579"/>
      <c r="S5" s="1685">
        <f>$I5</f>
      </c>
      <c r="T5" s="508" t="s">
        <v>482</v>
      </c>
      <c r="U5" s="523"/>
      <c r="V5" s="2476"/>
      <c r="W5" s="2477"/>
      <c r="X5" s="2477"/>
      <c r="Y5" s="2477"/>
      <c r="Z5" s="2477"/>
      <c r="AA5" s="2477"/>
      <c r="AB5" s="2478"/>
      <c r="AC5" s="2479"/>
      <c r="AD5" s="2480"/>
      <c r="AE5" s="2480"/>
      <c r="AF5" s="2480"/>
      <c r="AG5" s="2480"/>
      <c r="AH5" s="2480"/>
      <c r="AI5" s="2480"/>
      <c r="AJ5" s="2481"/>
      <c r="AK5" s="1485" t="s">
        <v>483</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407</v>
      </c>
      <c r="P6" s="2393"/>
      <c r="Q6" s="2393">
        <v>1</v>
      </c>
      <c r="R6" s="580"/>
      <c r="S6" s="1685">
        <f>$J6</f>
      </c>
      <c r="T6" s="509" t="s">
        <v>408</v>
      </c>
      <c r="U6" s="523"/>
      <c r="V6" s="2377"/>
      <c r="W6" s="2378"/>
      <c r="X6" s="2378"/>
      <c r="Y6" s="2378"/>
      <c r="Z6" s="2378"/>
      <c r="AA6" s="2378"/>
      <c r="AB6" s="2379"/>
      <c r="AC6" s="2377"/>
      <c r="AD6" s="2378"/>
      <c r="AE6" s="2378"/>
      <c r="AF6" s="2378"/>
      <c r="AG6" s="2378"/>
      <c r="AH6" s="2378"/>
      <c r="AI6" s="2378"/>
      <c r="AJ6" s="2379"/>
      <c r="AK6" s="1535" t="s">
        <v>484</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85">
        <f>$K7</f>
      </c>
      <c r="T7" s="1665"/>
      <c r="U7" s="523"/>
      <c r="V7" s="974"/>
      <c r="W7" s="974"/>
      <c r="X7" s="1484"/>
      <c r="Y7" s="2394"/>
      <c r="Z7" s="2264" t="s">
        <v>66</v>
      </c>
      <c r="AA7" s="2394"/>
      <c r="AB7" s="2264" t="s">
        <v>66</v>
      </c>
      <c r="AC7" s="974"/>
      <c r="AD7" s="974"/>
      <c r="AE7" s="1484"/>
      <c r="AF7" s="2394"/>
      <c r="AG7" s="2264" t="s">
        <v>66</v>
      </c>
      <c r="AH7" s="2396"/>
      <c r="AI7" s="2264" t="s">
        <v>66</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84"/>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485</v>
      </c>
      <c r="U9" s="590"/>
      <c r="V9" s="590"/>
      <c r="W9" s="590"/>
      <c r="X9" s="590"/>
      <c r="Y9" s="590"/>
      <c r="Z9" s="590"/>
      <c r="AA9" s="590"/>
      <c r="AB9" s="590"/>
      <c r="AC9" s="590"/>
      <c r="AD9" s="590"/>
      <c r="AE9" s="590"/>
      <c r="AF9" s="590"/>
      <c r="AG9" s="590"/>
      <c r="AH9" s="590"/>
      <c r="AI9" s="590"/>
      <c r="AJ9" s="590"/>
      <c r="AK9" s="1485" t="s">
        <v>486</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78"/>
      <c r="R10" s="579"/>
      <c r="S10" s="1506"/>
      <c r="T10" s="588" t="s">
        <v>413</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487</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3514" customFormat="1" customHeight="1" ht="14.25" hidden="1">
      <c r="A12" s="1571"/>
      <c r="B12" s="1571"/>
      <c r="C12" s="1542"/>
      <c r="D12" s="1542"/>
      <c r="E12" s="2390"/>
      <c r="F12" s="2389"/>
      <c r="G12" s="1542"/>
      <c r="H12" s="1542"/>
      <c r="I12" s="1542"/>
      <c r="J12" s="1542"/>
      <c r="K12" s="1542"/>
      <c r="L12" s="1686"/>
      <c r="M12" s="1549"/>
      <c r="N12" s="1549"/>
      <c r="P12" s="1544"/>
      <c r="Q12" s="1545"/>
      <c r="R12" s="1544"/>
      <c r="S12" s="1550"/>
      <c r="T12" s="1553" t="s">
        <v>252</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3606"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253</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66</v>
      </c>
      <c r="AH15" s="2387"/>
      <c r="AI15" s="2386" t="s">
        <v>66</v>
      </c>
    </row>
    <row customHeight="1" ht="14.25" hidden="1">
      <c r="AC16" s="1588"/>
      <c r="AD16" s="1588"/>
      <c r="AE16" s="551" t="str">
        <f>AF15&amp;"-"&amp;AH15</f>
        <v>-</v>
      </c>
      <c r="AF16" s="2386"/>
      <c r="AG16" s="2386"/>
      <c r="AH16" s="2386"/>
      <c r="AI16" s="2386"/>
    </row>
    <row customHeight="1" ht="14.25" hidden="1">
      <c r="AI17" s="550"/>
    </row>
    <row s="13533" customFormat="1" customHeight="1" ht="22.5" hidden="1">
      <c r="L18" s="1675"/>
      <c r="M18" s="1590"/>
      <c r="N18" s="1590"/>
      <c r="O18" s="1595" t="s">
        <v>416</v>
      </c>
      <c r="P18" s="1590"/>
      <c r="Q18" s="1599"/>
      <c r="R18" s="1599"/>
      <c r="S18" s="952"/>
      <c r="Y18" s="1595"/>
      <c r="AA18" s="1595"/>
      <c r="AB18" s="1594"/>
      <c r="AF18" s="1595"/>
      <c r="AH18" s="1595"/>
      <c r="AI18" s="1594"/>
      <c r="AL18" s="734"/>
      <c r="AM18" s="734"/>
      <c r="AN18" s="734"/>
      <c r="AO18" s="734"/>
      <c r="AP18" s="734"/>
    </row>
    <row s="13533" customFormat="1" customHeight="1" ht="14.25" hidden="1">
      <c r="L19" s="1675"/>
      <c r="M19" s="1590"/>
      <c r="N19" s="1590"/>
      <c r="O19" s="1590"/>
      <c r="P19" s="1590"/>
      <c r="Q19" s="1599"/>
      <c r="R19" s="1599"/>
      <c r="S19" s="952"/>
      <c r="AB19" s="1594"/>
      <c r="AI19" s="1594"/>
      <c r="AL19" s="734"/>
      <c r="AM19" s="734"/>
      <c r="AN19" s="734"/>
      <c r="AO19" s="734"/>
      <c r="AP19" s="734"/>
    </row>
    <row s="13533" customFormat="1" customHeight="1" ht="12" hidden="1">
      <c r="L20" s="1675"/>
      <c r="M20" s="1590"/>
      <c r="N20" s="1590"/>
      <c r="O20" s="1592" t="s">
        <v>417</v>
      </c>
      <c r="P20" s="1590"/>
      <c r="Q20" s="1670"/>
      <c r="R20" s="1670"/>
      <c r="S20" s="952"/>
      <c r="T20" s="1385" t="s">
        <v>418</v>
      </c>
      <c r="Z20" s="409" t="s">
        <v>419</v>
      </c>
      <c r="AB20" s="409" t="s">
        <v>420</v>
      </c>
      <c r="AC20" s="1385" t="s">
        <v>418</v>
      </c>
      <c r="AG20" s="409" t="s">
        <v>421</v>
      </c>
      <c r="AI20" s="409" t="s">
        <v>420</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ООО "Новая Энергетика"</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3547"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Агенство по тарифам Приморского края</v>
      </c>
      <c r="W27" s="2382"/>
      <c r="X27" s="2382"/>
      <c r="Y27" s="2382"/>
      <c r="Z27" s="2382"/>
      <c r="AA27" s="2382"/>
      <c r="AB27" s="549"/>
      <c r="AC27" s="2382" t="str">
        <f>IF(TITLE_NAME_OR_PR_CHANGE="",IF(TITLE_NAME_OR_PR="","",TITLE_NAME_OR_PR),TITLE_NAME_OR_PR_CHANGE)</f>
        <v>Агенство по тарифам Приморского края</v>
      </c>
      <c r="AD27" s="2382"/>
      <c r="AE27" s="2382"/>
      <c r="AF27" s="2382"/>
      <c r="AG27" s="2382"/>
      <c r="AH27" s="2382"/>
      <c r="AI27" s="549"/>
      <c r="AJ27" s="549"/>
      <c r="AK27" s="503"/>
      <c r="AL27" s="591"/>
      <c r="AM27" s="591"/>
      <c r="AN27" s="591"/>
      <c r="AO27" s="591"/>
      <c r="AP27" s="591"/>
    </row>
    <row s="13547" customFormat="1" customHeight="1" ht="18.75">
      <c r="A28" s="1596"/>
      <c r="B28" s="1596"/>
      <c r="C28" s="1596"/>
      <c r="D28" s="1596"/>
      <c r="E28" s="1596"/>
      <c r="F28" s="1596"/>
      <c r="G28" s="1596"/>
      <c r="H28" s="1596"/>
      <c r="I28" s="1596"/>
      <c r="J28" s="1596"/>
      <c r="K28" s="1596"/>
      <c r="L28" s="1597"/>
      <c r="M28" s="1596"/>
      <c r="N28" s="1596"/>
      <c r="O28" s="1596"/>
      <c r="S28" s="2380" t="s">
        <v>422</v>
      </c>
      <c r="T28" s="2380"/>
      <c r="U28" s="1600"/>
      <c r="V28" s="2381" t="str">
        <f>IF(TITLE_DATE_PR_CHANGE="",IF(TITLE_DATE_PR="","",TITLE_DATE_PR),TITLE_DATE_PR_CHANGE)</f>
        <v>45281.66994212963</v>
      </c>
      <c r="W28" s="2381"/>
      <c r="X28" s="2381"/>
      <c r="Y28" s="2381"/>
      <c r="Z28" s="2381"/>
      <c r="AA28" s="2381"/>
      <c r="AB28" s="549"/>
      <c r="AC28" s="2381" t="str">
        <f>IF(TITLE_DATE_PR_CHANGE="",IF(TITLE_DATE_PR="","",TITLE_DATE_PR),TITLE_DATE_PR_CHANGE)</f>
        <v>45281.66994212963</v>
      </c>
      <c r="AD28" s="2381"/>
      <c r="AE28" s="2381"/>
      <c r="AF28" s="2381"/>
      <c r="AG28" s="2381"/>
      <c r="AH28" s="2381"/>
      <c r="AI28" s="549"/>
      <c r="AJ28" s="549"/>
      <c r="AK28" s="503"/>
      <c r="AL28" s="591"/>
      <c r="AM28" s="591"/>
      <c r="AN28" s="591"/>
      <c r="AO28" s="591"/>
      <c r="AP28" s="591"/>
    </row>
    <row s="13547" customFormat="1" customHeight="1" ht="18.75">
      <c r="A29" s="1596"/>
      <c r="B29" s="1596"/>
      <c r="C29" s="1596"/>
      <c r="D29" s="1596"/>
      <c r="E29" s="1596"/>
      <c r="F29" s="1596"/>
      <c r="G29" s="1596"/>
      <c r="H29" s="1596"/>
      <c r="I29" s="1596"/>
      <c r="J29" s="1596"/>
      <c r="K29" s="1596"/>
      <c r="L29" s="1597"/>
      <c r="M29" s="1596"/>
      <c r="N29" s="1596"/>
      <c r="O29" s="1596"/>
      <c r="S29" s="2380" t="s">
        <v>423</v>
      </c>
      <c r="T29" s="2380"/>
      <c r="U29" s="1600"/>
      <c r="V29" s="2382" t="str">
        <f>IF(TITLE_NUMBER_PR_CHANGE="",IF(TITLE_NUMBER_PR="","",TITLE_NUMBER_PR),TITLE_NUMBER_PR_CHANGE)</f>
        <v>72/1</v>
      </c>
      <c r="W29" s="2382"/>
      <c r="X29" s="2382"/>
      <c r="Y29" s="2382"/>
      <c r="Z29" s="2382"/>
      <c r="AA29" s="2382"/>
      <c r="AB29" s="549"/>
      <c r="AC29" s="2382" t="str">
        <f>IF(TITLE_NUMBER_PR_CHANGE="",IF(TITLE_NUMBER_PR="","",TITLE_NUMBER_PR),TITLE_NUMBER_PR_CHANGE)</f>
        <v>72/1</v>
      </c>
      <c r="AD29" s="2382"/>
      <c r="AE29" s="2382"/>
      <c r="AF29" s="2382"/>
      <c r="AG29" s="2382"/>
      <c r="AH29" s="2382"/>
      <c r="AI29" s="549"/>
      <c r="AJ29" s="549"/>
      <c r="AK29" s="503"/>
      <c r="AL29" s="591"/>
      <c r="AM29" s="591"/>
      <c r="AN29" s="591"/>
      <c r="AO29" s="591"/>
      <c r="AP29" s="591"/>
    </row>
    <row s="13547"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http://pravo.gov.ru Номер опубликования: 2501202312270032 Дата опубликования: 27.12.2023</v>
      </c>
      <c r="W30" s="2382"/>
      <c r="X30" s="2382"/>
      <c r="Y30" s="2382"/>
      <c r="Z30" s="2382"/>
      <c r="AA30" s="2382"/>
      <c r="AB30" s="549"/>
      <c r="AC30" s="2382" t="str">
        <f>IF(TITLE_IST_PUB_CHANGE="",IF(TITLE_IST_PUB="","",TITLE_IST_PUB),TITLE_IST_PUB_CHANGE)</f>
        <v>http://pravo.gov.ru Номер опубликования: 2501202312270032 Дата опубликования: 27.12.2023</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3547" customFormat="1" customHeight="1" ht="18.75" hidden="1">
      <c r="A32" s="1596"/>
      <c r="B32" s="1596"/>
      <c r="C32" s="1596"/>
      <c r="D32" s="1596"/>
      <c r="E32" s="1596"/>
      <c r="F32" s="1596"/>
      <c r="G32" s="1596"/>
      <c r="H32" s="1596"/>
      <c r="I32" s="1596"/>
      <c r="J32" s="1596"/>
      <c r="K32" s="1596"/>
      <c r="L32" s="1597"/>
      <c r="M32" s="1596"/>
      <c r="N32" s="1596"/>
      <c r="O32" s="1596"/>
      <c r="S32" s="2380" t="s">
        <v>424</v>
      </c>
      <c r="T32" s="2380"/>
      <c r="U32" s="1600"/>
      <c r="V32" s="2381" t="str">
        <f>IF(TITLE_DATE_PR_CHANGE="",IF(TITLE_DATE_PR="","",TITLE_DATE_PR),TITLE_DATE_PR_CHANGE)</f>
        <v>45281.66994212963</v>
      </c>
      <c r="W32" s="2381"/>
      <c r="X32" s="2381"/>
      <c r="Y32" s="2381"/>
      <c r="Z32" s="2381"/>
      <c r="AA32" s="2381"/>
      <c r="AB32" s="549"/>
      <c r="AC32" s="2381" t="str">
        <f>IF(TITLE_DATE_PR_CHANGE="",IF(TITLE_DATE_PR="","",TITLE_DATE_PR),TITLE_DATE_PR_CHANGE)</f>
        <v>45281.66994212963</v>
      </c>
      <c r="AD32" s="2381"/>
      <c r="AE32" s="2381"/>
      <c r="AF32" s="2381"/>
      <c r="AG32" s="2381"/>
      <c r="AH32" s="2381"/>
      <c r="AI32" s="549"/>
      <c r="AJ32" s="549"/>
      <c r="AK32" s="503"/>
      <c r="AL32" s="591"/>
      <c r="AM32" s="591"/>
      <c r="AN32" s="591"/>
      <c r="AO32" s="591"/>
      <c r="AP32" s="591"/>
    </row>
    <row s="13547" customFormat="1" customHeight="1" ht="18.75" hidden="1">
      <c r="A33" s="1596"/>
      <c r="B33" s="1596"/>
      <c r="C33" s="1596"/>
      <c r="D33" s="1596"/>
      <c r="E33" s="1596"/>
      <c r="F33" s="1596"/>
      <c r="G33" s="1596"/>
      <c r="H33" s="1596"/>
      <c r="I33" s="1596"/>
      <c r="J33" s="1596"/>
      <c r="K33" s="1596"/>
      <c r="L33" s="1597"/>
      <c r="M33" s="1596"/>
      <c r="N33" s="1596"/>
      <c r="O33" s="1596"/>
      <c r="S33" s="2380" t="s">
        <v>425</v>
      </c>
      <c r="T33" s="2380"/>
      <c r="U33" s="1600"/>
      <c r="V33" s="2382" t="str">
        <f>IF(TITLE_NUMBER_PR_CHANGE="",IF(TITLE_NUMBER_PR="","",TITLE_NUMBER_PR),TITLE_NUMBER_PR_CHANGE)</f>
        <v>72/1</v>
      </c>
      <c r="W33" s="2382"/>
      <c r="X33" s="2382"/>
      <c r="Y33" s="2382"/>
      <c r="Z33" s="2382"/>
      <c r="AA33" s="2382"/>
      <c r="AB33" s="549"/>
      <c r="AC33" s="2382" t="str">
        <f>IF(TITLE_NUMBER_PR_CHANGE="",IF(TITLE_NUMBER_PR="","",TITLE_NUMBER_PR),TITLE_NUMBER_PR_CHANGE)</f>
        <v>72/1</v>
      </c>
      <c r="AD33" s="2382"/>
      <c r="AE33" s="2382"/>
      <c r="AF33" s="2382"/>
      <c r="AG33" s="2382"/>
      <c r="AH33" s="2382"/>
      <c r="AI33" s="549"/>
      <c r="AJ33" s="549"/>
      <c r="AK33" s="503"/>
      <c r="AL33" s="591"/>
      <c r="AM33" s="591"/>
      <c r="AN33" s="591"/>
      <c r="AO33" s="591"/>
      <c r="AP33" s="591"/>
    </row>
    <row s="13547" customFormat="1" customHeight="1" ht="0.75">
      <c r="A34" s="1596"/>
      <c r="B34" s="1596"/>
      <c r="C34" s="1596"/>
      <c r="D34" s="1596"/>
      <c r="E34" s="1596"/>
      <c r="F34" s="1596"/>
      <c r="G34" s="1596"/>
      <c r="H34" s="1596"/>
      <c r="I34" s="1596"/>
      <c r="J34" s="1596"/>
      <c r="K34" s="1596"/>
      <c r="L34" s="1597"/>
      <c r="M34" s="1596"/>
      <c r="N34" s="1596"/>
      <c r="O34" s="1596"/>
      <c r="S34" s="546"/>
      <c r="T34" s="546"/>
      <c r="U34" s="1682"/>
      <c r="V34" s="549"/>
      <c r="W34" s="549"/>
      <c r="X34" s="549"/>
      <c r="Y34" s="549"/>
      <c r="Z34" s="549"/>
      <c r="AA34" s="549"/>
      <c r="AB34" s="501" t="s">
        <v>426</v>
      </c>
      <c r="AC34" s="549"/>
      <c r="AD34" s="549"/>
      <c r="AE34" s="549"/>
      <c r="AF34" s="549"/>
      <c r="AG34" s="549"/>
      <c r="AH34" s="549"/>
      <c r="AI34" s="501" t="s">
        <v>426</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301</v>
      </c>
      <c r="T36" s="2254"/>
      <c r="U36" s="2254"/>
      <c r="V36" s="2254"/>
      <c r="W36" s="2254"/>
      <c r="X36" s="2254"/>
      <c r="Y36" s="2254"/>
      <c r="Z36" s="2254"/>
      <c r="AA36" s="2254"/>
      <c r="AB36" s="2254"/>
      <c r="AC36" s="2254"/>
      <c r="AD36" s="2254"/>
      <c r="AE36" s="2254"/>
      <c r="AF36" s="2254"/>
      <c r="AG36" s="2254"/>
      <c r="AH36" s="2254"/>
      <c r="AI36" s="2254"/>
      <c r="AJ36" s="2254"/>
      <c r="AK36" s="2254" t="s">
        <v>302</v>
      </c>
    </row>
    <row customHeight="1" ht="14.25">
      <c r="Q37" s="599"/>
      <c r="R37" s="599"/>
      <c r="S37" s="2407" t="s">
        <v>87</v>
      </c>
      <c r="T37" s="2344" t="s">
        <v>427</v>
      </c>
      <c r="U37" s="524"/>
      <c r="V37" s="2408" t="s">
        <v>428</v>
      </c>
      <c r="W37" s="2409"/>
      <c r="X37" s="2409"/>
      <c r="Y37" s="2409"/>
      <c r="Z37" s="2409"/>
      <c r="AA37" s="2410"/>
      <c r="AB37" s="2411" t="s">
        <v>429</v>
      </c>
      <c r="AC37" s="2408" t="s">
        <v>428</v>
      </c>
      <c r="AD37" s="2409"/>
      <c r="AE37" s="2409"/>
      <c r="AF37" s="2409"/>
      <c r="AG37" s="2409"/>
      <c r="AH37" s="2410"/>
      <c r="AI37" s="2411" t="s">
        <v>430</v>
      </c>
      <c r="AJ37" s="2414" t="s">
        <v>431</v>
      </c>
      <c r="AK37" s="2254"/>
    </row>
    <row customHeight="1" ht="33.75">
      <c r="Q38" s="599"/>
      <c r="R38" s="599"/>
      <c r="S38" s="2407"/>
      <c r="T38" s="2344"/>
      <c r="U38" s="1255"/>
      <c r="V38" s="1680" t="s">
        <v>488</v>
      </c>
      <c r="W38" s="2400" t="s">
        <v>434</v>
      </c>
      <c r="X38" s="2402"/>
      <c r="Y38" s="2400" t="s">
        <v>435</v>
      </c>
      <c r="Z38" s="2401"/>
      <c r="AA38" s="2402"/>
      <c r="AB38" s="2412"/>
      <c r="AC38" s="1680" t="s">
        <v>488</v>
      </c>
      <c r="AD38" s="2400" t="s">
        <v>434</v>
      </c>
      <c r="AE38" s="2402"/>
      <c r="AF38" s="2400" t="s">
        <v>435</v>
      </c>
      <c r="AG38" s="2401"/>
      <c r="AH38" s="2402"/>
      <c r="AI38" s="2412"/>
      <c r="AJ38" s="2415"/>
      <c r="AK38" s="2254"/>
    </row>
    <row customHeight="1" ht="33.75">
      <c r="A39" s="1598"/>
      <c r="B39" s="1598" t="s">
        <v>134</v>
      </c>
      <c r="C39" s="1598" t="s">
        <v>135</v>
      </c>
      <c r="D39" s="1598" t="s">
        <v>136</v>
      </c>
      <c r="E39" s="1592" t="s">
        <v>436</v>
      </c>
      <c r="F39" s="1592" t="s">
        <v>437</v>
      </c>
      <c r="G39" s="1592" t="s">
        <v>438</v>
      </c>
      <c r="H39" s="1592"/>
      <c r="I39" s="1592" t="s">
        <v>489</v>
      </c>
      <c r="J39" s="1592" t="s">
        <v>441</v>
      </c>
      <c r="K39" s="1592" t="s">
        <v>490</v>
      </c>
      <c r="L39" s="1592" t="s">
        <v>417</v>
      </c>
      <c r="Q39" s="599"/>
      <c r="R39" s="599"/>
      <c r="S39" s="2407"/>
      <c r="T39" s="2344"/>
      <c r="U39" s="525"/>
      <c r="V39" s="1680" t="s">
        <v>491</v>
      </c>
      <c r="W39" s="1449" t="s">
        <v>492</v>
      </c>
      <c r="X39" s="1449" t="s">
        <v>493</v>
      </c>
      <c r="Y39" s="1683" t="s">
        <v>445</v>
      </c>
      <c r="Z39" s="2403" t="s">
        <v>446</v>
      </c>
      <c r="AA39" s="2404"/>
      <c r="AB39" s="2413"/>
      <c r="AC39" s="1680" t="s">
        <v>491</v>
      </c>
      <c r="AD39" s="1449" t="s">
        <v>492</v>
      </c>
      <c r="AE39" s="1449" t="s">
        <v>493</v>
      </c>
      <c r="AF39" s="1683" t="s">
        <v>445</v>
      </c>
      <c r="AG39" s="2403" t="s">
        <v>446</v>
      </c>
      <c r="AH39" s="2404"/>
      <c r="AI39" s="2413"/>
      <c r="AJ39" s="2416"/>
      <c r="AK39" s="2254"/>
    </row>
    <row s="13364"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108</v>
      </c>
      <c r="T40" s="1482" t="s">
        <v>109</v>
      </c>
      <c r="U40" s="1472" t="str">
        <f>OFFSET(U40,0,-1)</f>
        <v>2</v>
      </c>
      <c r="V40" s="1679">
        <f>OFFSET(V40,0,-1)+1</f>
        <v>3</v>
      </c>
      <c r="W40" s="1679">
        <f>OFFSET(W40,0,-1)+1</f>
        <v>4</v>
      </c>
      <c r="X40" s="1679">
        <f>OFFSET(X40,0,-1)+1</f>
        <v>5</v>
      </c>
      <c r="Y40" s="1679">
        <f>OFFSET(Y40,0,-1)+1</f>
        <v>6</v>
      </c>
      <c r="Z40" s="2405">
        <f>OFFSET(Z40,0,-1)+1</f>
        <v>7</v>
      </c>
      <c r="AA40" s="2405"/>
      <c r="AB40" s="1679">
        <f>OFFSET(AB40,0,-2)+1</f>
        <v>8</v>
      </c>
      <c r="AC40" s="1679">
        <f>OFFSET(AC40,0,-1)+1</f>
        <v>9</v>
      </c>
      <c r="AD40" s="1679">
        <f>OFFSET(AD40,0,-1)+1</f>
        <v>10</v>
      </c>
      <c r="AE40" s="1679">
        <f>OFFSET(AE40,0,-1)+1</f>
        <v>11</v>
      </c>
      <c r="AF40" s="1679">
        <f>OFFSET(AF40,0,-1)+1</f>
        <v>12</v>
      </c>
      <c r="AG40" s="2405">
        <f>OFFSET(AG40,0,-1)+1</f>
        <v>13</v>
      </c>
      <c r="AH40" s="2405"/>
      <c r="AI40" s="1679">
        <f>OFFSET(AI40,0,-2)+1</f>
        <v>14</v>
      </c>
      <c r="AJ40" s="1472">
        <f>OFFSET(AJ40,0,-1)</f>
        <v>14</v>
      </c>
      <c r="AK40" s="1679">
        <f>OFFSET(AK40,0,-1)+1</f>
        <v>15</v>
      </c>
      <c r="AL40" s="734"/>
      <c r="AM40" s="734"/>
      <c r="AN40" s="734"/>
      <c r="AO40" s="734"/>
      <c r="AP40" s="734"/>
    </row>
    <row customHeight="1" ht="23.25">
      <c r="A41" s="1591" t="s">
        <v>238</v>
      </c>
      <c r="B41" s="1591"/>
      <c r="C41" s="1591"/>
      <c r="D41" s="1591"/>
      <c r="E41" s="2389">
        <v>1</v>
      </c>
      <c r="F41" s="1591"/>
      <c r="G41" s="1591"/>
      <c r="H41" s="1591"/>
      <c r="I41" s="1591"/>
      <c r="J41" s="1591"/>
      <c r="K41" s="1591"/>
      <c r="L41" s="1592"/>
      <c r="M41" s="1593"/>
      <c r="N41" s="1593"/>
      <c r="O41" s="1593"/>
      <c r="P41" s="584"/>
      <c r="Q41" s="583"/>
      <c r="R41" s="578"/>
      <c r="S41" s="1685">
        <f>INDEX(PT_DIFFERENTIATION_NUM_NTAR,MATCH(A41,PT_DIFFERENTIATION_NTAR_ID,0))</f>
        <v>0</v>
      </c>
      <c r="T41" s="521" t="s">
        <v>122</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238</v>
      </c>
      <c r="B42" s="1591" t="s">
        <v>239</v>
      </c>
      <c r="C42" s="1591"/>
      <c r="D42" s="1591"/>
      <c r="E42" s="2390"/>
      <c r="F42" s="2389">
        <v>1</v>
      </c>
      <c r="G42" s="1591"/>
      <c r="H42" s="1591"/>
      <c r="I42" s="1591"/>
      <c r="J42" s="1591"/>
      <c r="K42" s="1591"/>
      <c r="L42" s="1592"/>
      <c r="M42" s="1593"/>
      <c r="N42" s="1593"/>
      <c r="O42" s="1593"/>
      <c r="P42" s="1681"/>
      <c r="Q42" s="575"/>
      <c r="R42" s="576"/>
      <c r="S42" s="1685" t="str">
        <f>INDEX(PT_DIFFERENTIATION_NUM_TER,MATCH(B42,PT_DIFFERENTIATION_TER_ID,0))</f>
        <v>.</v>
      </c>
      <c r="T42" s="531" t="s">
        <v>398</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399</v>
      </c>
      <c r="AM42" s="723"/>
      <c r="AN42" s="723" t="str">
        <f>IF(T42="","",T42)</f>
        <v>Территория действия тарифа</v>
      </c>
      <c r="AO42" s="723"/>
      <c r="AP42" s="723"/>
    </row>
    <row customHeight="1" ht="23.25">
      <c r="A43" s="1591" t="s">
        <v>238</v>
      </c>
      <c r="B43" s="1591" t="s">
        <v>239</v>
      </c>
      <c r="C43" s="1591" t="s">
        <v>240</v>
      </c>
      <c r="D43" s="1591"/>
      <c r="E43" s="2390"/>
      <c r="F43" s="2390"/>
      <c r="G43" s="2389">
        <v>1</v>
      </c>
      <c r="H43" s="1591"/>
      <c r="I43" s="1591"/>
      <c r="J43" s="1591"/>
      <c r="K43" s="1591"/>
      <c r="L43" s="1592"/>
      <c r="M43" s="1593"/>
      <c r="N43" s="1593"/>
      <c r="O43" s="1593"/>
      <c r="P43" s="577"/>
      <c r="Q43" s="575"/>
      <c r="R43" s="576"/>
      <c r="S43" s="1685" t="str">
        <f>INDEX(PT_DIFFERENTIATION_NUM_CS,MATCH(C43,PT_DIFFERENTIATION_CS_ID,0))</f>
        <v>..</v>
      </c>
      <c r="T43" s="532" t="s">
        <v>480</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481</v>
      </c>
      <c r="AM43" s="723"/>
      <c r="AN43" s="723" t="str">
        <f>IF(T43="","",T43)</f>
        <v>Наименование централизованной системы холодного водоснабжения</v>
      </c>
      <c r="AO43" s="723"/>
      <c r="AP43" s="723"/>
    </row>
    <row customHeight="1" ht="23.25">
      <c r="A44" s="1591" t="s">
        <v>238</v>
      </c>
      <c r="B44" s="1591" t="s">
        <v>239</v>
      </c>
      <c r="C44" s="1591" t="s">
        <v>240</v>
      </c>
      <c r="D44" s="1591" t="s">
        <v>497</v>
      </c>
      <c r="E44" s="2390"/>
      <c r="F44" s="2390"/>
      <c r="G44" s="2390"/>
      <c r="H44" s="2390"/>
      <c r="I44" s="2391" t="str">
        <f>S43&amp;".1"</f>
        <v>...1</v>
      </c>
      <c r="J44" s="1591"/>
      <c r="K44" s="1591"/>
      <c r="L44" s="1592"/>
      <c r="P44" s="2393">
        <v>1</v>
      </c>
      <c r="Q44" s="1678"/>
      <c r="R44" s="579"/>
      <c r="S44" s="1685" t="str">
        <f>$I44</f>
        <v>...1</v>
      </c>
      <c r="T44" s="508" t="s">
        <v>482</v>
      </c>
      <c r="U44" s="523"/>
      <c r="V44" s="2476"/>
      <c r="W44" s="2477"/>
      <c r="X44" s="2477"/>
      <c r="Y44" s="2477"/>
      <c r="Z44" s="2477"/>
      <c r="AA44" s="2477"/>
      <c r="AB44" s="2478"/>
      <c r="AC44" s="2479"/>
      <c r="AD44" s="2480"/>
      <c r="AE44" s="2480"/>
      <c r="AF44" s="2480"/>
      <c r="AG44" s="2480"/>
      <c r="AH44" s="2480"/>
      <c r="AI44" s="2480"/>
      <c r="AJ44" s="2481"/>
      <c r="AK44" s="1485" t="s">
        <v>483</v>
      </c>
      <c r="AM44" s="723"/>
      <c r="AN44" s="723" t="str">
        <f>IF(T44="","",T44)</f>
        <v>Наименование признака дифференциации</v>
      </c>
      <c r="AO44" s="723"/>
      <c r="AP44" s="723"/>
    </row>
    <row customHeight="1" ht="23.25">
      <c r="A45" s="1591" t="s">
        <v>238</v>
      </c>
      <c r="B45" s="1591" t="s">
        <v>239</v>
      </c>
      <c r="C45" s="1591" t="s">
        <v>240</v>
      </c>
      <c r="D45" s="1591" t="s">
        <v>497</v>
      </c>
      <c r="E45" s="2390"/>
      <c r="F45" s="2390"/>
      <c r="G45" s="2390"/>
      <c r="H45" s="2390"/>
      <c r="I45" s="2392"/>
      <c r="J45" s="2391" t="str">
        <f>I44&amp;".1"</f>
        <v>...1.1</v>
      </c>
      <c r="K45" s="1591"/>
      <c r="L45" s="1592" t="s">
        <v>407</v>
      </c>
      <c r="P45" s="2393"/>
      <c r="Q45" s="2393">
        <v>1</v>
      </c>
      <c r="R45" s="580"/>
      <c r="S45" s="1685" t="str">
        <f>$J45</f>
        <v>...1.1</v>
      </c>
      <c r="T45" s="509" t="s">
        <v>408</v>
      </c>
      <c r="U45" s="523"/>
      <c r="V45" s="2377"/>
      <c r="W45" s="2378"/>
      <c r="X45" s="2378"/>
      <c r="Y45" s="2378"/>
      <c r="Z45" s="2378"/>
      <c r="AA45" s="2378"/>
      <c r="AB45" s="2379"/>
      <c r="AC45" s="2377"/>
      <c r="AD45" s="2378"/>
      <c r="AE45" s="2378"/>
      <c r="AF45" s="2378"/>
      <c r="AG45" s="2378"/>
      <c r="AH45" s="2378"/>
      <c r="AI45" s="2378"/>
      <c r="AJ45" s="2379"/>
      <c r="AK45" s="1535" t="s">
        <v>484</v>
      </c>
      <c r="AM45" s="723"/>
      <c r="AN45" s="723" t="str">
        <f>IF(T45="","",T45)</f>
        <v>Группа потребителей</v>
      </c>
      <c r="AO45" s="723"/>
      <c r="AP45" s="723"/>
    </row>
    <row customHeight="1" ht="23.25">
      <c r="A46" s="1591" t="s">
        <v>238</v>
      </c>
      <c r="B46" s="1591" t="s">
        <v>239</v>
      </c>
      <c r="C46" s="1591" t="s">
        <v>240</v>
      </c>
      <c r="D46" s="1591" t="s">
        <v>497</v>
      </c>
      <c r="E46" s="2390"/>
      <c r="F46" s="2390"/>
      <c r="G46" s="2390"/>
      <c r="H46" s="2390"/>
      <c r="I46" s="2392"/>
      <c r="J46" s="2392"/>
      <c r="K46" s="2391" t="str">
        <f>J45&amp;".1"</f>
        <v>...1.1.1</v>
      </c>
      <c r="L46" s="1592"/>
      <c r="P46" s="2393"/>
      <c r="Q46" s="2393"/>
      <c r="R46" s="580">
        <v>1</v>
      </c>
      <c r="S46" s="1685" t="str">
        <f>$K46</f>
        <v>...1.1.1</v>
      </c>
      <c r="T46" s="1665"/>
      <c r="U46" s="523"/>
      <c r="V46" s="974"/>
      <c r="W46" s="974"/>
      <c r="X46" s="1484"/>
      <c r="Y46" s="2394"/>
      <c r="Z46" s="2264" t="s">
        <v>66</v>
      </c>
      <c r="AA46" s="2394"/>
      <c r="AB46" s="2264" t="s">
        <v>66</v>
      </c>
      <c r="AC46" s="974"/>
      <c r="AD46" s="974"/>
      <c r="AE46" s="1484"/>
      <c r="AF46" s="2394"/>
      <c r="AG46" s="2264" t="s">
        <v>66</v>
      </c>
      <c r="AH46" s="2396"/>
      <c r="AI46" s="2264" t="s">
        <v>66</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238</v>
      </c>
      <c r="B47" s="1591" t="s">
        <v>239</v>
      </c>
      <c r="C47" s="1591" t="s">
        <v>240</v>
      </c>
      <c r="D47" s="1591" t="s">
        <v>497</v>
      </c>
      <c r="E47" s="2390"/>
      <c r="F47" s="2390"/>
      <c r="G47" s="2390"/>
      <c r="H47" s="2390"/>
      <c r="I47" s="2392"/>
      <c r="J47" s="2392"/>
      <c r="K47" s="2391"/>
      <c r="L47" s="1592"/>
      <c r="P47" s="2393"/>
      <c r="Q47" s="2393"/>
      <c r="R47" s="580"/>
      <c r="S47" s="1684"/>
      <c r="T47" s="523"/>
      <c r="U47" s="523"/>
      <c r="V47" s="548"/>
      <c r="W47" s="548"/>
      <c r="X47" s="551" t="str">
        <f>Y46&amp;"-"&amp;AA46</f>
        <v>-</v>
      </c>
      <c r="Y47" s="2395"/>
      <c r="Z47" s="2264"/>
      <c r="AA47" s="2395"/>
      <c r="AB47" s="2264"/>
      <c r="AC47" s="548"/>
      <c r="AD47" s="548"/>
      <c r="AE47" s="551" t="str">
        <f>AF46&amp;"-"&amp;AH46</f>
        <v>-</v>
      </c>
      <c r="AF47" s="2395"/>
      <c r="AG47" s="2264"/>
      <c r="AH47" s="2397"/>
      <c r="AI47" s="2264"/>
      <c r="AJ47" s="1667"/>
      <c r="AK47" s="2482"/>
      <c r="AM47" s="723"/>
      <c r="AN47" s="723" t="str">
        <f>IF(T47="","",T47)</f>
        <v/>
      </c>
      <c r="AO47" s="723"/>
      <c r="AP47" s="723"/>
    </row>
    <row customHeight="1" ht="21">
      <c r="A48" s="1591" t="s">
        <v>238</v>
      </c>
      <c r="B48" s="1591" t="s">
        <v>239</v>
      </c>
      <c r="C48" s="1591" t="s">
        <v>240</v>
      </c>
      <c r="D48" s="1591" t="s">
        <v>497</v>
      </c>
      <c r="E48" s="2390"/>
      <c r="F48" s="2390"/>
      <c r="G48" s="2390"/>
      <c r="H48" s="2390"/>
      <c r="I48" s="2392"/>
      <c r="J48" s="2391"/>
      <c r="K48" s="1591"/>
      <c r="L48" s="1592"/>
      <c r="P48" s="2393"/>
      <c r="Q48" s="2393"/>
      <c r="R48" s="579"/>
      <c r="S48" s="1506"/>
      <c r="T48" s="510" t="s">
        <v>485</v>
      </c>
      <c r="U48" s="590"/>
      <c r="V48" s="590"/>
      <c r="W48" s="590"/>
      <c r="X48" s="590"/>
      <c r="Y48" s="590"/>
      <c r="Z48" s="590"/>
      <c r="AA48" s="590"/>
      <c r="AB48" s="590"/>
      <c r="AC48" s="590"/>
      <c r="AD48" s="590"/>
      <c r="AE48" s="590"/>
      <c r="AF48" s="590"/>
      <c r="AG48" s="590"/>
      <c r="AH48" s="590"/>
      <c r="AI48" s="590"/>
      <c r="AJ48" s="590"/>
      <c r="AK48" s="1485" t="s">
        <v>486</v>
      </c>
      <c r="AM48" s="723"/>
      <c r="AN48" s="723" t="str">
        <f>IF(T48="","",T48)</f>
        <v>Добавить значение признака дифференциации</v>
      </c>
      <c r="AO48" s="723"/>
      <c r="AP48" s="723"/>
    </row>
    <row customHeight="1" ht="21">
      <c r="A49" s="1591" t="s">
        <v>238</v>
      </c>
      <c r="B49" s="1591" t="s">
        <v>239</v>
      </c>
      <c r="C49" s="1591" t="s">
        <v>240</v>
      </c>
      <c r="D49" s="1591" t="s">
        <v>497</v>
      </c>
      <c r="E49" s="2390"/>
      <c r="F49" s="2390"/>
      <c r="G49" s="2390"/>
      <c r="H49" s="2390"/>
      <c r="I49" s="2391"/>
      <c r="J49" s="1591"/>
      <c r="K49" s="1591"/>
      <c r="L49" s="1592"/>
      <c r="P49" s="2393"/>
      <c r="Q49" s="1678"/>
      <c r="R49" s="579"/>
      <c r="S49" s="1506"/>
      <c r="T49" s="588" t="s">
        <v>413</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238</v>
      </c>
      <c r="B50" s="1591" t="s">
        <v>239</v>
      </c>
      <c r="C50" s="1591" t="s">
        <v>240</v>
      </c>
      <c r="D50" s="1591" t="s">
        <v>497</v>
      </c>
      <c r="E50" s="2390"/>
      <c r="F50" s="2390"/>
      <c r="G50" s="2390"/>
      <c r="H50" s="2389"/>
      <c r="I50" s="1591"/>
      <c r="J50" s="1591"/>
      <c r="K50" s="1591"/>
      <c r="L50" s="1592"/>
      <c r="M50" s="1593"/>
      <c r="N50" s="1593"/>
      <c r="O50" s="760"/>
      <c r="P50" s="583"/>
      <c r="Q50" s="598"/>
      <c r="R50" s="578"/>
      <c r="S50" s="1506"/>
      <c r="T50" s="595" t="s">
        <v>487</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3514" customFormat="1" customHeight="1" ht="0">
      <c r="A51" s="1571" t="s">
        <v>238</v>
      </c>
      <c r="B51" s="1571" t="s">
        <v>239</v>
      </c>
      <c r="C51" s="1542"/>
      <c r="D51" s="1542"/>
      <c r="E51" s="2390"/>
      <c r="F51" s="2389"/>
      <c r="G51" s="1542"/>
      <c r="H51" s="1542"/>
      <c r="I51" s="1542"/>
      <c r="J51" s="1542"/>
      <c r="K51" s="1542"/>
      <c r="L51" s="1686"/>
      <c r="M51" s="1549"/>
      <c r="N51" s="1549"/>
      <c r="P51" s="1544"/>
      <c r="Q51" s="1545"/>
      <c r="R51" s="1544"/>
      <c r="S51" s="1550"/>
      <c r="T51" s="1553" t="s">
        <v>252</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3606" customFormat="1" customHeight="1" ht="0">
      <c r="A52" s="1571" t="s">
        <v>238</v>
      </c>
      <c r="B52" s="1571"/>
      <c r="C52" s="1571"/>
      <c r="D52" s="1571"/>
      <c r="E52" s="2389"/>
      <c r="F52" s="1571"/>
      <c r="G52" s="1571"/>
      <c r="H52" s="1571"/>
      <c r="I52" s="1571"/>
      <c r="J52" s="1571"/>
      <c r="K52" s="1571"/>
      <c r="L52" s="1574"/>
      <c r="M52" s="1549"/>
      <c r="N52" s="1549"/>
      <c r="O52" s="741"/>
      <c r="P52" s="603"/>
      <c r="Q52" s="1572"/>
      <c r="R52" s="603"/>
      <c r="S52" s="1550"/>
      <c r="T52" s="1553" t="s">
        <v>253</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3514" customFormat="1" customHeight="1" ht="0">
      <c r="A53" s="1542"/>
      <c r="B53" s="1542"/>
      <c r="C53" s="1542"/>
      <c r="D53" s="1542"/>
      <c r="E53" s="1571"/>
      <c r="F53" s="1542"/>
      <c r="G53" s="1542"/>
      <c r="H53" s="1542"/>
      <c r="I53" s="1542"/>
      <c r="J53" s="1542"/>
      <c r="K53" s="1542"/>
      <c r="L53" s="1686"/>
      <c r="M53" s="1549"/>
      <c r="N53" s="1549"/>
      <c r="P53" s="1544"/>
      <c r="Q53" s="1545"/>
      <c r="R53" s="1544"/>
      <c r="S53" s="1550"/>
      <c r="T53" s="1553" t="s">
        <v>254</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5D941-F334-3185-9B44-EA5C4C2C85FA}"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13661" width="10.140625" customWidth="1"/>
    <col min="4" max="4" style="13661" width="11.8515625" customWidth="1"/>
    <col min="5" max="11" style="13661" width="10.140625" customWidth="1"/>
    <col min="12" max="12" style="13662" width="10.140625" customWidth="1"/>
    <col min="13" max="15" style="13663" width="10.140625" customWidth="1"/>
    <col min="16" max="16" style="13615" width="3.7109375" customWidth="1"/>
    <col min="17" max="17" style="13788" width="3.7109375" customWidth="1"/>
    <col min="18" max="18" style="13617" width="3.7109375" customWidth="1"/>
    <col min="19" max="19" style="13618" width="12.7109375" customWidth="1"/>
    <col min="20" max="20" style="13661" width="32.00390625" customWidth="1"/>
    <col min="21" max="21" style="13661" width="0.140625" customWidth="1"/>
    <col min="22" max="23" style="13661" width="21.7109375" customWidth="1"/>
    <col min="24" max="24" style="13661" width="11.7109375" customWidth="1"/>
    <col min="25" max="25" style="13661" width="3.7109375" customWidth="1"/>
    <col min="26" max="26" style="13661" width="11.7109375" customWidth="1"/>
    <col min="27" max="27" style="13661" width="8.57421875" customWidth="1"/>
    <col min="28" max="28" style="13661" width="28.00390625" customWidth="1"/>
    <col min="29" max="29" style="13661" width="24.57421875" customWidth="1"/>
    <col min="30" max="31" style="13661" width="21.7109375" customWidth="1"/>
    <col min="32" max="32" style="13661" width="11.7109375" customWidth="1"/>
    <col min="33" max="33" style="13661" width="3.7109375" customWidth="1"/>
    <col min="34" max="34" style="13661" width="11.7109375" customWidth="1"/>
    <col min="35" max="35" style="13661" width="8.57421875" customWidth="1"/>
    <col min="36" max="36" style="13661" width="4.7109375" customWidth="1"/>
    <col min="37" max="37" style="13661" width="115.7109375" customWidth="1"/>
    <col min="38" max="39" style="13659" width="10.57421875"/>
    <col min="40" max="40" style="13659" width="11.140625" customWidth="1"/>
    <col min="41" max="42" style="13659" width="10.57421875"/>
  </cols>
  <sheetData>
    <row r="2" customHeight="1" ht="21">
      <c r="A2" s="1495"/>
      <c r="B2" s="1495"/>
      <c r="C2" s="1495"/>
      <c r="D2" s="1495"/>
      <c r="E2" s="2424">
        <v>1</v>
      </c>
      <c r="F2" s="1495"/>
      <c r="G2" s="1495"/>
      <c r="H2" s="1495"/>
      <c r="I2" s="1495"/>
      <c r="J2" s="1495"/>
      <c r="K2" s="1495"/>
      <c r="L2" s="1538"/>
      <c r="M2" s="1838"/>
      <c r="N2" s="1838"/>
      <c r="O2" s="1838"/>
      <c r="P2" s="1637"/>
      <c r="Q2" s="1096"/>
      <c r="R2" s="578"/>
      <c r="S2" s="2187">
        <f>INDEX(PT_DIFFERENTIATION_NUM_NTAR,MATCH(A2,PT_DIFFERENTIATION_NTAR_ID,0))</f>
      </c>
      <c r="T2" s="1753" t="s">
        <v>122</v>
      </c>
      <c r="U2" s="523"/>
      <c r="V2" s="2384"/>
      <c r="W2" s="2384"/>
      <c r="X2" s="2384"/>
      <c r="Y2" s="2384"/>
      <c r="Z2" s="2384"/>
      <c r="AA2" s="2385"/>
      <c r="AB2" s="2181"/>
      <c r="AC2" s="2384"/>
      <c r="AD2" s="2384"/>
      <c r="AE2" s="2384"/>
      <c r="AF2" s="2384"/>
      <c r="AG2" s="2384"/>
      <c r="AH2" s="2384"/>
      <c r="AI2" s="2384"/>
      <c r="AJ2" s="2385"/>
      <c r="AK2" s="1485" t="s">
        <v>397</v>
      </c>
      <c r="AM2" s="1852"/>
      <c r="AN2" s="1852" t="str">
        <f>IF(T2="","",T2)</f>
        <v>Наименование тарифа</v>
      </c>
      <c r="AO2" s="1852"/>
      <c r="AP2" s="1852"/>
    </row>
    <row customHeight="1" ht="21">
      <c r="A3" s="1495"/>
      <c r="B3" s="1495"/>
      <c r="C3" s="1495"/>
      <c r="D3" s="1495"/>
      <c r="E3" s="2425"/>
      <c r="F3" s="2424">
        <v>1</v>
      </c>
      <c r="G3" s="1495"/>
      <c r="H3" s="1495"/>
      <c r="I3" s="1495"/>
      <c r="J3" s="1495"/>
      <c r="K3" s="1495"/>
      <c r="L3" s="1538"/>
      <c r="M3" s="1838"/>
      <c r="N3" s="1838"/>
      <c r="O3" s="1838"/>
      <c r="P3" s="2198"/>
      <c r="Q3" s="1639"/>
      <c r="R3" s="576"/>
      <c r="S3" s="2187">
        <f>INDEX(PT_DIFFERENTIATION_NUM_TER,MATCH(B3,PT_DIFFERENTIATION_TER_ID,0))</f>
      </c>
      <c r="T3" s="1750" t="s">
        <v>398</v>
      </c>
      <c r="U3" s="523"/>
      <c r="V3" s="2384"/>
      <c r="W3" s="2384"/>
      <c r="X3" s="2384"/>
      <c r="Y3" s="2384"/>
      <c r="Z3" s="2384"/>
      <c r="AA3" s="2385"/>
      <c r="AB3" s="2181"/>
      <c r="AC3" s="2384"/>
      <c r="AD3" s="2384"/>
      <c r="AE3" s="2384"/>
      <c r="AF3" s="2384"/>
      <c r="AG3" s="2384"/>
      <c r="AH3" s="2384"/>
      <c r="AI3" s="2384"/>
      <c r="AJ3" s="2385"/>
      <c r="AK3" s="1485" t="s">
        <v>399</v>
      </c>
      <c r="AM3" s="1852"/>
      <c r="AN3" s="1852" t="str">
        <f>IF(T3="","",T3)</f>
        <v>Территория действия тарифа</v>
      </c>
      <c r="AO3" s="1852"/>
      <c r="AP3" s="1852"/>
    </row>
    <row customHeight="1" ht="22.5">
      <c r="A4" s="1495"/>
      <c r="B4" s="1495"/>
      <c r="C4" s="1495"/>
      <c r="D4" s="1495"/>
      <c r="E4" s="2425"/>
      <c r="F4" s="2425"/>
      <c r="G4" s="2424">
        <v>1</v>
      </c>
      <c r="H4" s="1495"/>
      <c r="I4" s="1495"/>
      <c r="J4" s="1495"/>
      <c r="K4" s="1495"/>
      <c r="L4" s="1538"/>
      <c r="M4" s="1838"/>
      <c r="N4" s="1838"/>
      <c r="O4" s="1838"/>
      <c r="P4" s="1640"/>
      <c r="Q4" s="1639"/>
      <c r="R4" s="576"/>
      <c r="S4" s="2187">
        <f>INDEX(PT_DIFFERENTIATION_NUM_CS,MATCH(C4,PT_DIFFERENTIATION_CS_ID,0))</f>
      </c>
      <c r="T4" s="532" t="s">
        <v>400</v>
      </c>
      <c r="U4" s="523"/>
      <c r="V4" s="2384"/>
      <c r="W4" s="2384"/>
      <c r="X4" s="2384"/>
      <c r="Y4" s="2384"/>
      <c r="Z4" s="2384"/>
      <c r="AA4" s="2385"/>
      <c r="AB4" s="2181"/>
      <c r="AC4" s="2384"/>
      <c r="AD4" s="2384"/>
      <c r="AE4" s="2384"/>
      <c r="AF4" s="2384"/>
      <c r="AG4" s="2384"/>
      <c r="AH4" s="2384"/>
      <c r="AI4" s="2384"/>
      <c r="AJ4" s="2385"/>
      <c r="AK4" s="1485" t="s">
        <v>401</v>
      </c>
      <c r="AM4" s="1852"/>
      <c r="AN4" s="1852" t="str">
        <f>IF(T4="","",T4)</f>
        <v>Наименование системы теплоснабжения </v>
      </c>
      <c r="AO4" s="1852"/>
      <c r="AP4" s="1852"/>
    </row>
    <row customHeight="1" ht="21">
      <c r="A5" s="1495"/>
      <c r="B5" s="1495"/>
      <c r="C5" s="1495"/>
      <c r="D5" s="1495"/>
      <c r="E5" s="2425"/>
      <c r="F5" s="2425"/>
      <c r="G5" s="2425"/>
      <c r="H5" s="2424">
        <v>1</v>
      </c>
      <c r="I5" s="1495"/>
      <c r="J5" s="1495"/>
      <c r="K5" s="1495"/>
      <c r="L5" s="1538"/>
      <c r="M5" s="1838"/>
      <c r="N5" s="1838"/>
      <c r="O5" s="1838"/>
      <c r="P5" s="1640"/>
      <c r="Q5" s="1639"/>
      <c r="R5" s="576"/>
      <c r="S5" s="2187">
        <f>INDEX(PT_DIFFERENTIATION_NUM_IST_TE,MATCH(D5,PT_DIFFERENTIATION_IST_TE_ID,0))</f>
      </c>
      <c r="T5" s="533" t="s">
        <v>402</v>
      </c>
      <c r="U5" s="523"/>
      <c r="V5" s="2384"/>
      <c r="W5" s="2384"/>
      <c r="X5" s="2384"/>
      <c r="Y5" s="2384"/>
      <c r="Z5" s="2384"/>
      <c r="AA5" s="2385"/>
      <c r="AB5" s="2181"/>
      <c r="AC5" s="2384"/>
      <c r="AD5" s="2384"/>
      <c r="AE5" s="2384"/>
      <c r="AF5" s="2384"/>
      <c r="AG5" s="2384"/>
      <c r="AH5" s="2384"/>
      <c r="AI5" s="2384"/>
      <c r="AJ5" s="2385"/>
      <c r="AK5" s="1485" t="s">
        <v>403</v>
      </c>
      <c r="AM5" s="1852"/>
      <c r="AN5" s="1852" t="str">
        <f>IF(T5="","",T5)</f>
        <v>Источник тепловой энергии  </v>
      </c>
      <c r="AO5" s="1852"/>
      <c r="AP5" s="1852"/>
    </row>
    <row s="13659" customFormat="1" customHeight="1" ht="0">
      <c r="A6" s="1603"/>
      <c r="B6" s="1603"/>
      <c r="C6" s="1603"/>
      <c r="D6" s="1603"/>
      <c r="E6" s="2425"/>
      <c r="F6" s="2425"/>
      <c r="G6" s="2425"/>
      <c r="H6" s="2425"/>
      <c r="I6" s="2254">
        <f>S5&amp;".1"</f>
      </c>
      <c r="J6" s="1603"/>
      <c r="K6" s="1603"/>
      <c r="L6" s="1609" t="s">
        <v>404</v>
      </c>
      <c r="M6" s="1473"/>
      <c r="N6" s="1473"/>
      <c r="O6" s="1473"/>
      <c r="P6" s="2393">
        <v>1</v>
      </c>
      <c r="Q6" s="2183"/>
      <c r="R6" s="579"/>
      <c r="S6" s="1266"/>
      <c r="T6" s="1611"/>
      <c r="U6" s="1612"/>
      <c r="V6" s="2432"/>
      <c r="W6" s="2432"/>
      <c r="X6" s="2432"/>
      <c r="Y6" s="2432"/>
      <c r="Z6" s="2432"/>
      <c r="AA6" s="2433"/>
      <c r="AB6" s="2189"/>
      <c r="AC6" s="2432"/>
      <c r="AD6" s="2432"/>
      <c r="AE6" s="2432"/>
      <c r="AF6" s="2432"/>
      <c r="AG6" s="2432"/>
      <c r="AH6" s="2432"/>
      <c r="AI6" s="2432"/>
      <c r="AJ6" s="2433"/>
      <c r="AK6" s="1613"/>
      <c r="AM6" s="1852"/>
      <c r="AN6" s="1852" t="str">
        <f>IF(T6="","",T6)</f>
        <v/>
      </c>
      <c r="AO6" s="1852"/>
      <c r="AP6" s="1852"/>
    </row>
    <row s="13659" customFormat="1" customHeight="1" ht="0">
      <c r="A7" s="1603"/>
      <c r="B7" s="1603"/>
      <c r="C7" s="1603"/>
      <c r="D7" s="1603"/>
      <c r="E7" s="2425"/>
      <c r="F7" s="2425"/>
      <c r="G7" s="2425"/>
      <c r="H7" s="2425"/>
      <c r="I7" s="2238"/>
      <c r="J7" s="2254">
        <f>S5&amp;".1"</f>
      </c>
      <c r="K7" s="1603"/>
      <c r="L7" s="1609"/>
      <c r="M7" s="1473"/>
      <c r="N7" s="1473"/>
      <c r="O7" s="1473"/>
      <c r="P7" s="2393"/>
      <c r="Q7" s="2393">
        <v>1</v>
      </c>
      <c r="R7" s="580"/>
      <c r="S7" s="1266"/>
      <c r="T7" s="1627"/>
      <c r="U7" s="1612"/>
      <c r="V7" s="2432"/>
      <c r="W7" s="2432"/>
      <c r="X7" s="2432"/>
      <c r="Y7" s="2432"/>
      <c r="Z7" s="2432"/>
      <c r="AA7" s="2433"/>
      <c r="AB7" s="2189"/>
      <c r="AC7" s="2432"/>
      <c r="AD7" s="2432"/>
      <c r="AE7" s="2432"/>
      <c r="AF7" s="2432"/>
      <c r="AG7" s="2432"/>
      <c r="AH7" s="2432"/>
      <c r="AI7" s="2432"/>
      <c r="AJ7" s="2433"/>
      <c r="AK7" s="1613"/>
      <c r="AM7" s="1852"/>
      <c r="AN7" s="1852" t="str">
        <f>IF(T7="","",T7)</f>
        <v/>
      </c>
      <c r="AO7" s="1852"/>
      <c r="AP7" s="1852"/>
    </row>
    <row customHeight="1" ht="21">
      <c r="A8" s="1495"/>
      <c r="B8" s="1495"/>
      <c r="C8" s="1495"/>
      <c r="D8" s="1495"/>
      <c r="E8" s="2425"/>
      <c r="F8" s="2425"/>
      <c r="G8" s="2425"/>
      <c r="H8" s="2425"/>
      <c r="I8" s="2238"/>
      <c r="J8" s="2238"/>
      <c r="K8" s="2254">
        <f>S5&amp;".1"</f>
      </c>
      <c r="L8" s="1538"/>
      <c r="P8" s="2393"/>
      <c r="Q8" s="2393"/>
      <c r="R8" s="2469">
        <v>1</v>
      </c>
      <c r="S8" s="2466">
        <f>$K8</f>
      </c>
      <c r="T8" s="2463"/>
      <c r="U8" s="523"/>
      <c r="V8" s="974"/>
      <c r="W8" s="1484"/>
      <c r="X8" s="2394"/>
      <c r="Y8" s="2264" t="s">
        <v>66</v>
      </c>
      <c r="Z8" s="2394"/>
      <c r="AA8" s="2264" t="s">
        <v>66</v>
      </c>
      <c r="AB8" s="2171"/>
      <c r="AC8" s="2475"/>
      <c r="AD8" s="974"/>
      <c r="AE8" s="1484"/>
      <c r="AF8" s="2184"/>
      <c r="AG8" s="2171" t="s">
        <v>66</v>
      </c>
      <c r="AH8" s="2184"/>
      <c r="AI8" s="2171" t="s">
        <v>66</v>
      </c>
      <c r="AJ8" s="1576"/>
      <c r="AK8" s="2419" t="s">
        <v>462</v>
      </c>
      <c r="AL8" s="1864">
        <f>STRCHECKDATE(V11:AJ11)</f>
      </c>
      <c r="AM8" s="1852"/>
      <c r="AN8" s="1852" t="str">
        <f>IF(T8="","",T8)</f>
        <v/>
      </c>
      <c r="AO8" s="1852"/>
      <c r="AP8" s="1852"/>
    </row>
    <row customHeight="1" ht="11.25">
      <c r="A9" s="1495"/>
      <c r="B9" s="1495"/>
      <c r="C9" s="1495"/>
      <c r="D9" s="1495"/>
      <c r="E9" s="2425"/>
      <c r="F9" s="2425"/>
      <c r="G9" s="2425"/>
      <c r="H9" s="2425"/>
      <c r="I9" s="2238"/>
      <c r="J9" s="2238"/>
      <c r="K9" s="2254"/>
      <c r="L9" s="1538"/>
      <c r="P9" s="2393"/>
      <c r="Q9" s="2393"/>
      <c r="R9" s="2469"/>
      <c r="S9" s="2467"/>
      <c r="T9" s="2464"/>
      <c r="U9" s="523"/>
      <c r="V9" s="1621"/>
      <c r="W9" s="1625"/>
      <c r="X9" s="2394"/>
      <c r="Y9" s="2264"/>
      <c r="Z9" s="2394"/>
      <c r="AA9" s="2264"/>
      <c r="AB9" s="2171"/>
      <c r="AC9" s="2475"/>
      <c r="AD9" s="1621"/>
      <c r="AE9" s="1724"/>
      <c r="AF9" s="1621"/>
      <c r="AG9" s="1621"/>
      <c r="AH9" s="1621"/>
      <c r="AI9" s="1621"/>
      <c r="AJ9" s="1618"/>
      <c r="AK9" s="2420"/>
      <c r="AM9" s="1852"/>
      <c r="AN9" s="1852"/>
      <c r="AO9" s="1852"/>
      <c r="AP9" s="1852"/>
    </row>
    <row customHeight="1" ht="11.25">
      <c r="A10" s="1495"/>
      <c r="B10" s="1495"/>
      <c r="C10" s="1495"/>
      <c r="D10" s="1495"/>
      <c r="E10" s="2425"/>
      <c r="F10" s="2425"/>
      <c r="G10" s="2425"/>
      <c r="H10" s="2425"/>
      <c r="I10" s="2238"/>
      <c r="J10" s="2238"/>
      <c r="K10" s="2254"/>
      <c r="L10" s="1538"/>
      <c r="P10" s="2393"/>
      <c r="Q10" s="2393"/>
      <c r="R10" s="2469"/>
      <c r="S10" s="2467"/>
      <c r="T10" s="2464"/>
      <c r="U10" s="523"/>
      <c r="V10" s="1621"/>
      <c r="W10" s="1625"/>
      <c r="X10" s="2394"/>
      <c r="Y10" s="2264"/>
      <c r="Z10" s="2394"/>
      <c r="AA10" s="2264"/>
      <c r="AB10" s="2171"/>
      <c r="AC10" s="2475"/>
      <c r="AD10" s="1621"/>
      <c r="AE10" s="1724"/>
      <c r="AF10" s="1621"/>
      <c r="AG10" s="1621"/>
      <c r="AH10" s="1621"/>
      <c r="AI10" s="1621"/>
      <c r="AJ10" s="1618"/>
      <c r="AK10" s="2420"/>
      <c r="AM10" s="1852"/>
      <c r="AN10" s="1852"/>
      <c r="AO10" s="1852"/>
      <c r="AP10" s="1852"/>
    </row>
    <row customHeight="1" ht="11.25">
      <c r="A11" s="1495"/>
      <c r="B11" s="1495"/>
      <c r="C11" s="1495"/>
      <c r="D11" s="1495"/>
      <c r="E11" s="2425"/>
      <c r="F11" s="2425"/>
      <c r="G11" s="2425"/>
      <c r="H11" s="2425"/>
      <c r="I11" s="2238"/>
      <c r="J11" s="2238"/>
      <c r="K11" s="2254"/>
      <c r="L11" s="1538"/>
      <c r="P11" s="2393"/>
      <c r="Q11" s="2393"/>
      <c r="R11" s="2469"/>
      <c r="S11" s="2468"/>
      <c r="T11" s="2465"/>
      <c r="U11" s="523"/>
      <c r="V11" s="1621"/>
      <c r="W11" s="1624" t="str">
        <f>X8&amp;"-"&amp;Z8</f>
        <v>-</v>
      </c>
      <c r="X11" s="2395"/>
      <c r="Y11" s="2264"/>
      <c r="Z11" s="2395"/>
      <c r="AA11" s="2264"/>
      <c r="AB11" s="2200"/>
      <c r="AC11" s="1393" t="s">
        <v>465</v>
      </c>
      <c r="AD11" s="1621"/>
      <c r="AE11" s="1622" t="str">
        <f>AF8&amp;"-"&amp;AH8</f>
        <v>-</v>
      </c>
      <c r="AF11" s="1621"/>
      <c r="AG11" s="1621"/>
      <c r="AH11" s="1621"/>
      <c r="AI11" s="1621"/>
      <c r="AJ11" s="1577"/>
      <c r="AK11" s="2420"/>
      <c r="AM11" s="1852"/>
      <c r="AN11" s="1852" t="str">
        <f>IF(T11="","",T11)</f>
        <v/>
      </c>
      <c r="AO11" s="1852"/>
      <c r="AP11" s="1852"/>
    </row>
    <row customHeight="1" ht="11.25">
      <c r="A12" s="1495"/>
      <c r="B12" s="1495"/>
      <c r="C12" s="1495"/>
      <c r="D12" s="1495"/>
      <c r="E12" s="2425"/>
      <c r="F12" s="2425"/>
      <c r="G12" s="2425"/>
      <c r="H12" s="2425"/>
      <c r="I12" s="2238"/>
      <c r="J12" s="2254"/>
      <c r="K12" s="1495"/>
      <c r="L12" s="1538"/>
      <c r="P12" s="2393"/>
      <c r="Q12" s="2393"/>
      <c r="R12" s="579"/>
      <c r="S12" s="1506"/>
      <c r="T12" s="510" t="s">
        <v>466</v>
      </c>
      <c r="U12" s="823"/>
      <c r="V12" s="823"/>
      <c r="W12" s="823"/>
      <c r="X12" s="823"/>
      <c r="Y12" s="823"/>
      <c r="Z12" s="823"/>
      <c r="AA12" s="823"/>
      <c r="AB12" s="823"/>
      <c r="AC12" s="823"/>
      <c r="AD12" s="823"/>
      <c r="AE12" s="823"/>
      <c r="AF12" s="823"/>
      <c r="AG12" s="823"/>
      <c r="AH12" s="823"/>
      <c r="AI12" s="823"/>
      <c r="AJ12" s="547"/>
      <c r="AK12" s="2421"/>
      <c r="AM12" s="1852"/>
      <c r="AN12" s="1852" t="str">
        <f>IF(T12="","",T12)</f>
        <v>Добавить строку</v>
      </c>
      <c r="AO12" s="1852"/>
      <c r="AP12" s="1852"/>
    </row>
    <row s="13659" customFormat="1" customHeight="1" ht="0">
      <c r="A13" s="1603"/>
      <c r="B13" s="1603"/>
      <c r="C13" s="1603"/>
      <c r="D13" s="1603"/>
      <c r="E13" s="2425"/>
      <c r="F13" s="2425"/>
      <c r="G13" s="2425"/>
      <c r="H13" s="2425"/>
      <c r="I13" s="2254"/>
      <c r="J13" s="1603"/>
      <c r="K13" s="1603"/>
      <c r="L13" s="1609"/>
      <c r="M13" s="1473"/>
      <c r="N13" s="1473"/>
      <c r="O13" s="1473"/>
      <c r="P13" s="2393"/>
      <c r="Q13" s="2183"/>
      <c r="R13" s="579"/>
      <c r="S13" s="1614"/>
      <c r="T13" s="1615"/>
      <c r="U13" s="1616"/>
      <c r="V13" s="1616"/>
      <c r="W13" s="1616"/>
      <c r="X13" s="1616"/>
      <c r="Y13" s="1616"/>
      <c r="Z13" s="1616"/>
      <c r="AA13" s="1616"/>
      <c r="AB13" s="1616"/>
      <c r="AC13" s="1616"/>
      <c r="AD13" s="1616"/>
      <c r="AE13" s="1616"/>
      <c r="AF13" s="1616"/>
      <c r="AG13" s="1616"/>
      <c r="AH13" s="1616"/>
      <c r="AI13" s="1616"/>
      <c r="AJ13" s="1616"/>
      <c r="AK13" s="1617"/>
      <c r="AM13" s="1852"/>
      <c r="AN13" s="1852" t="str">
        <f>IF(T13="","",T13)</f>
        <v/>
      </c>
      <c r="AO13" s="1852"/>
      <c r="AP13" s="1852"/>
    </row>
    <row s="13659" customFormat="1" customHeight="1" ht="0">
      <c r="A14" s="1603"/>
      <c r="B14" s="1603"/>
      <c r="C14" s="1603"/>
      <c r="D14" s="1603"/>
      <c r="E14" s="2425"/>
      <c r="F14" s="2425"/>
      <c r="G14" s="2425"/>
      <c r="H14" s="2424"/>
      <c r="I14" s="1603"/>
      <c r="J14" s="1603"/>
      <c r="K14" s="1603"/>
      <c r="L14" s="1609"/>
      <c r="M14" s="1606"/>
      <c r="N14" s="1606"/>
      <c r="O14" s="574"/>
      <c r="P14" s="603"/>
      <c r="Q14" s="1572"/>
      <c r="R14" s="1629"/>
      <c r="S14" s="1614"/>
      <c r="T14" s="1615"/>
      <c r="U14" s="1616"/>
      <c r="V14" s="1616"/>
      <c r="W14" s="1616"/>
      <c r="X14" s="1616"/>
      <c r="Y14" s="1616"/>
      <c r="Z14" s="1616"/>
      <c r="AA14" s="1616"/>
      <c r="AB14" s="1616"/>
      <c r="AC14" s="1616"/>
      <c r="AD14" s="1616"/>
      <c r="AE14" s="1616"/>
      <c r="AF14" s="1616"/>
      <c r="AG14" s="1616"/>
      <c r="AH14" s="1616"/>
      <c r="AI14" s="1616"/>
      <c r="AJ14" s="1616"/>
      <c r="AK14" s="1617"/>
      <c r="AM14" s="1852"/>
      <c r="AN14" s="1852" t="str">
        <f>IF(T14="","",T14)</f>
        <v/>
      </c>
      <c r="AO14" s="1852"/>
      <c r="AP14" s="1852"/>
    </row>
    <row s="13639" customFormat="1" customHeight="1" ht="0">
      <c r="A15" s="1603"/>
      <c r="B15" s="1603"/>
      <c r="C15" s="1603"/>
      <c r="D15" s="1602"/>
      <c r="E15" s="2425"/>
      <c r="F15" s="2425"/>
      <c r="G15" s="2424"/>
      <c r="H15" s="1602"/>
      <c r="I15" s="1602"/>
      <c r="J15" s="1602"/>
      <c r="K15" s="1602"/>
      <c r="L15" s="1605"/>
      <c r="M15" s="1606"/>
      <c r="N15" s="1606"/>
      <c r="O15" s="574"/>
      <c r="P15" s="1544"/>
      <c r="Q15" s="1545"/>
      <c r="R15" s="1544"/>
      <c r="S15" s="1550"/>
      <c r="T15" s="1553" t="s">
        <v>415</v>
      </c>
      <c r="U15" s="1552"/>
      <c r="V15" s="1552"/>
      <c r="W15" s="1552"/>
      <c r="X15" s="1552"/>
      <c r="Y15" s="1552"/>
      <c r="Z15" s="1552"/>
      <c r="AA15" s="1552"/>
      <c r="AB15" s="1552"/>
      <c r="AC15" s="1552"/>
      <c r="AD15" s="1552"/>
      <c r="AE15" s="1552"/>
      <c r="AF15" s="1552"/>
      <c r="AG15" s="1552"/>
      <c r="AH15" s="1552"/>
      <c r="AI15" s="1552"/>
      <c r="AJ15" s="1552"/>
      <c r="AK15" s="1552"/>
      <c r="AM15" s="1478"/>
      <c r="AN15" s="1478" t="str">
        <f>IF(T15="","",T15)</f>
        <v>Добавить источник для дифференциации</v>
      </c>
      <c r="AO15" s="1478"/>
      <c r="AP15" s="1478"/>
    </row>
    <row s="13639" customFormat="1" customHeight="1" ht="0">
      <c r="A16" s="1603"/>
      <c r="B16" s="1603"/>
      <c r="C16" s="1602"/>
      <c r="D16" s="1602"/>
      <c r="E16" s="2425"/>
      <c r="F16" s="2424"/>
      <c r="G16" s="1602"/>
      <c r="H16" s="1602"/>
      <c r="I16" s="1602"/>
      <c r="J16" s="1602"/>
      <c r="K16" s="1602"/>
      <c r="L16" s="1605"/>
      <c r="M16" s="1607"/>
      <c r="N16" s="1607"/>
      <c r="O16" s="574"/>
      <c r="P16" s="1544"/>
      <c r="Q16" s="1545"/>
      <c r="R16" s="1544"/>
      <c r="S16" s="1550"/>
      <c r="T16" s="1553" t="s">
        <v>252</v>
      </c>
      <c r="U16" s="1552"/>
      <c r="V16" s="1552"/>
      <c r="W16" s="1552"/>
      <c r="X16" s="1552"/>
      <c r="Y16" s="1552"/>
      <c r="Z16" s="1552"/>
      <c r="AA16" s="1552"/>
      <c r="AB16" s="1552"/>
      <c r="AC16" s="1552"/>
      <c r="AD16" s="1552"/>
      <c r="AE16" s="1552"/>
      <c r="AF16" s="1552"/>
      <c r="AG16" s="1552"/>
      <c r="AH16" s="1552"/>
      <c r="AI16" s="1552"/>
      <c r="AJ16" s="1552"/>
      <c r="AK16" s="1552"/>
      <c r="AM16" s="1478"/>
      <c r="AN16" s="1478" t="str">
        <f>IF(T16="","",T16)</f>
        <v>Добавить централизованную систему для дифференциации</v>
      </c>
      <c r="AO16" s="1478"/>
      <c r="AP16" s="1478"/>
    </row>
    <row s="13659" customFormat="1" customHeight="1" ht="0">
      <c r="A17" s="1603"/>
      <c r="B17" s="1603"/>
      <c r="C17" s="1603"/>
      <c r="D17" s="1603"/>
      <c r="E17" s="2424"/>
      <c r="F17" s="1603"/>
      <c r="G17" s="1603"/>
      <c r="H17" s="1603"/>
      <c r="I17" s="1603"/>
      <c r="J17" s="1603"/>
      <c r="K17" s="1603"/>
      <c r="L17" s="1609"/>
      <c r="M17" s="1607"/>
      <c r="N17" s="1607"/>
      <c r="O17" s="574"/>
      <c r="P17" s="603"/>
      <c r="Q17" s="1572"/>
      <c r="R17" s="603"/>
      <c r="S17" s="1550"/>
      <c r="T17" s="1553" t="s">
        <v>253</v>
      </c>
      <c r="U17" s="1552"/>
      <c r="V17" s="1552"/>
      <c r="W17" s="1552"/>
      <c r="X17" s="1552"/>
      <c r="Y17" s="1552"/>
      <c r="Z17" s="1552"/>
      <c r="AA17" s="1552"/>
      <c r="AB17" s="1552"/>
      <c r="AC17" s="1552"/>
      <c r="AD17" s="1552"/>
      <c r="AE17" s="1552"/>
      <c r="AF17" s="1552"/>
      <c r="AG17" s="1552"/>
      <c r="AH17" s="1552"/>
      <c r="AI17" s="1552"/>
      <c r="AJ17" s="1552"/>
      <c r="AK17" s="1552"/>
      <c r="AM17" s="1852"/>
      <c r="AN17" s="1852" t="str">
        <f>IF(T17="","",T17)</f>
        <v>Добавить территорию для дифференциации</v>
      </c>
      <c r="AO17" s="1852"/>
      <c r="AP17" s="1852"/>
    </row>
    <row r="19" customHeight="1" ht="14.25">
      <c r="AC19" s="1730"/>
      <c r="AD19" s="1631"/>
      <c r="AE19" s="1632"/>
      <c r="AF19" s="1964"/>
      <c r="AG19" s="2195" t="s">
        <v>66</v>
      </c>
      <c r="AH19" s="1964"/>
      <c r="AI19" s="2195" t="s">
        <v>66</v>
      </c>
    </row>
    <row customHeight="1" ht="14.25">
      <c r="AL20" s="1869"/>
      <c r="AM20" s="1869"/>
      <c r="AN20" s="1869"/>
      <c r="AO20" s="1869"/>
      <c r="AP20" s="1869"/>
    </row>
    <row customHeight="1" ht="14.25">
      <c r="O21" s="1573" t="s">
        <v>416</v>
      </c>
      <c r="X21" s="1573"/>
      <c r="Z21" s="1573"/>
      <c r="AF21" s="1573"/>
      <c r="AH21" s="1573"/>
      <c r="AL21" s="1869"/>
      <c r="AM21" s="1869"/>
      <c r="AN21" s="1869"/>
      <c r="AO21" s="1869"/>
      <c r="AP21" s="1869"/>
    </row>
    <row customHeight="1" ht="14.25">
      <c r="AL22" s="1869"/>
      <c r="AM22" s="1869"/>
      <c r="AN22" s="1869"/>
      <c r="AO22" s="1869"/>
      <c r="AP22" s="1869"/>
    </row>
    <row s="13762" customFormat="1" customHeight="1" ht="14.25">
      <c r="A23" s="2201"/>
      <c r="B23" s="2201"/>
      <c r="C23" s="2201"/>
      <c r="D23" s="2201"/>
      <c r="E23" s="2201"/>
      <c r="F23" s="2201"/>
      <c r="G23" s="2201"/>
      <c r="H23" s="2201"/>
      <c r="I23" s="2201"/>
      <c r="J23" s="2201"/>
      <c r="K23" s="2201"/>
      <c r="L23" s="2201"/>
      <c r="M23" s="2202"/>
      <c r="N23" s="2202"/>
      <c r="O23" s="2203" t="s">
        <v>417</v>
      </c>
      <c r="P23" s="1736"/>
      <c r="Q23" s="1738"/>
      <c r="R23" s="1738"/>
      <c r="Y23" s="1735" t="s">
        <v>419</v>
      </c>
      <c r="AA23" s="1735" t="s">
        <v>420</v>
      </c>
      <c r="AC23" s="1735" t="s">
        <v>468</v>
      </c>
      <c r="AG23" s="1735" t="s">
        <v>419</v>
      </c>
      <c r="AI23" s="1735" t="s">
        <v>420</v>
      </c>
      <c r="AL23" s="1739"/>
      <c r="AM23" s="1739"/>
      <c r="AN23" s="1739"/>
      <c r="AO23" s="1739"/>
      <c r="AP23" s="1739"/>
    </row>
    <row customHeight="1" ht="14.25">
      <c r="O24" s="1538"/>
      <c r="AL24" s="1869"/>
      <c r="AM24" s="1869"/>
      <c r="AN24" s="1869"/>
      <c r="AO24" s="1869"/>
      <c r="AP24" s="1869"/>
    </row>
    <row customHeight="1" ht="14.25">
      <c r="O25" s="1538"/>
      <c r="AL25" s="1869"/>
      <c r="AM25" s="1869"/>
      <c r="AN25" s="1869"/>
      <c r="AO25" s="1869"/>
      <c r="AP25" s="1869"/>
    </row>
    <row customHeight="1" ht="14.25">
      <c r="Q26" s="514"/>
      <c r="R26" s="599"/>
      <c r="S26" s="1503"/>
      <c r="T26" s="680"/>
      <c r="U26" s="680"/>
      <c r="V26" s="1863"/>
      <c r="W26" s="1863"/>
      <c r="X26" s="1863"/>
      <c r="Y26" s="1863"/>
      <c r="Z26" s="1863"/>
      <c r="AA26" s="1863"/>
      <c r="AB26" s="1863"/>
      <c r="AC26" s="1863"/>
      <c r="AD26" s="1863"/>
      <c r="AE26" s="1863"/>
      <c r="AF26" s="1863"/>
      <c r="AG26" s="1863"/>
      <c r="AH26" s="1863"/>
      <c r="AI26" s="1863"/>
    </row>
    <row customHeight="1" ht="38.25">
      <c r="Q27" s="514"/>
      <c r="R27" s="599"/>
      <c r="S27" s="24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2"/>
      <c r="U27" s="2422"/>
      <c r="V27" s="2422"/>
      <c r="W27" s="2422"/>
      <c r="X27" s="2422"/>
      <c r="Y27" s="2422"/>
      <c r="Z27" s="2422"/>
      <c r="AA27" s="2422"/>
      <c r="AB27" s="2422"/>
      <c r="AC27" s="2422"/>
      <c r="AD27" s="2422"/>
      <c r="AE27" s="2422"/>
      <c r="AF27" s="2422"/>
      <c r="AG27" s="2422"/>
      <c r="AH27" s="2422"/>
      <c r="AI27" s="1470"/>
    </row>
    <row customHeight="1" ht="14.25">
      <c r="Q28" s="514"/>
      <c r="R28" s="599"/>
      <c r="S28" s="2423" t="str">
        <f>IF(org=0,"Не определено",org)</f>
        <v>ООО "Новая Энергетика"</v>
      </c>
      <c r="T28" s="2423"/>
      <c r="U28" s="2423"/>
      <c r="V28" s="2423"/>
      <c r="W28" s="2423"/>
      <c r="X28" s="2423"/>
      <c r="Y28" s="2423"/>
      <c r="Z28" s="2423"/>
      <c r="AA28" s="2423"/>
      <c r="AB28" s="2423"/>
      <c r="AC28" s="2423"/>
      <c r="AD28" s="2423"/>
      <c r="AE28" s="2423"/>
      <c r="AF28" s="2423"/>
      <c r="AG28" s="2423"/>
      <c r="AH28" s="2423"/>
      <c r="AI28" s="1470"/>
    </row>
    <row customHeight="1" ht="14.25" hidden="1">
      <c r="Q29" s="514"/>
      <c r="R29" s="599"/>
      <c r="S29" s="1503"/>
      <c r="T29" s="680"/>
      <c r="U29" s="680"/>
      <c r="V29" s="545"/>
      <c r="W29" s="545"/>
      <c r="X29" s="545"/>
      <c r="Y29" s="545"/>
      <c r="Z29" s="545"/>
      <c r="AA29" s="545"/>
      <c r="AB29" s="545"/>
      <c r="AC29" s="545"/>
      <c r="AD29" s="545"/>
      <c r="AE29" s="545"/>
      <c r="AF29" s="545"/>
      <c r="AG29" s="545"/>
      <c r="AH29" s="545"/>
      <c r="AI29" s="545"/>
      <c r="AJ29" s="1863"/>
    </row>
    <row s="13547" customFormat="1" customHeight="1" ht="25.5" hidden="1">
      <c r="A30" s="1475"/>
      <c r="B30" s="1475"/>
      <c r="C30" s="1475"/>
      <c r="D30" s="1475"/>
      <c r="E30" s="1475"/>
      <c r="F30" s="1475"/>
      <c r="G30" s="1475"/>
      <c r="H30" s="1475"/>
      <c r="I30" s="1475"/>
      <c r="J30" s="1475"/>
      <c r="K30" s="1475"/>
      <c r="L30" s="1608"/>
      <c r="M30" s="1475"/>
      <c r="N30" s="1475"/>
      <c r="O30" s="1475"/>
      <c r="P30" s="1596"/>
      <c r="Q30" s="1596"/>
      <c r="S30" s="2380" t="s">
        <v>38</v>
      </c>
      <c r="T30" s="2380"/>
      <c r="U30" s="1600"/>
      <c r="V30" s="2382" t="str">
        <f>IF(TITLE_NAME_OR_PR_CHANGE="",IF(TITLE_NAME_OR_PR="","",TITLE_NAME_OR_PR),TITLE_NAME_OR_PR_CHANGE)</f>
        <v>Агенство по тарифам Приморского края</v>
      </c>
      <c r="W30" s="2382"/>
      <c r="X30" s="2382"/>
      <c r="Y30" s="2382"/>
      <c r="Z30" s="2382"/>
      <c r="AA30" s="1863"/>
      <c r="AB30" s="1863"/>
      <c r="AC30" s="2382"/>
      <c r="AD30" s="2382"/>
      <c r="AE30" s="2382"/>
      <c r="AF30" s="2382"/>
      <c r="AG30" s="2382"/>
      <c r="AH30" s="2382"/>
      <c r="AI30" s="1863"/>
      <c r="AJ30" s="1863"/>
      <c r="AK30" s="503"/>
      <c r="AL30" s="591"/>
      <c r="AM30" s="591"/>
      <c r="AN30" s="591"/>
      <c r="AO30" s="591"/>
      <c r="AP30" s="591"/>
    </row>
    <row s="13547" customFormat="1" customHeight="1" ht="18.75" hidden="1">
      <c r="A31" s="1475"/>
      <c r="B31" s="1475"/>
      <c r="C31" s="1475"/>
      <c r="D31" s="1475"/>
      <c r="E31" s="1475"/>
      <c r="F31" s="1475"/>
      <c r="G31" s="1475"/>
      <c r="H31" s="1475"/>
      <c r="I31" s="1475"/>
      <c r="J31" s="1475"/>
      <c r="K31" s="1475"/>
      <c r="L31" s="1608"/>
      <c r="M31" s="1475"/>
      <c r="N31" s="1475"/>
      <c r="O31" s="1475"/>
      <c r="P31" s="1596"/>
      <c r="Q31" s="1596"/>
      <c r="S31" s="2380" t="s">
        <v>422</v>
      </c>
      <c r="T31" s="2380"/>
      <c r="U31" s="1600"/>
      <c r="V31" s="2381" t="str">
        <f>IF(TITLE_DATE_PR_CHANGE="",IF(TITLE_DATE_PR="","",TITLE_DATE_PR),TITLE_DATE_PR_CHANGE)</f>
        <v>45281.66994212963</v>
      </c>
      <c r="W31" s="2381"/>
      <c r="X31" s="2381"/>
      <c r="Y31" s="2381"/>
      <c r="Z31" s="2381"/>
      <c r="AA31" s="1863"/>
      <c r="AB31" s="1863"/>
      <c r="AC31" s="2381"/>
      <c r="AD31" s="2381"/>
      <c r="AE31" s="2381"/>
      <c r="AF31" s="2381"/>
      <c r="AG31" s="2381"/>
      <c r="AH31" s="2381"/>
      <c r="AI31" s="1863"/>
      <c r="AJ31" s="1863"/>
      <c r="AK31" s="503"/>
      <c r="AL31" s="591"/>
      <c r="AM31" s="591"/>
      <c r="AN31" s="591"/>
      <c r="AO31" s="591"/>
      <c r="AP31" s="591"/>
    </row>
    <row s="13547" customFormat="1" customHeight="1" ht="18.75" hidden="1">
      <c r="A32" s="1475"/>
      <c r="B32" s="1475"/>
      <c r="C32" s="1475"/>
      <c r="D32" s="1475"/>
      <c r="E32" s="1475"/>
      <c r="F32" s="1475"/>
      <c r="G32" s="1475"/>
      <c r="H32" s="1475"/>
      <c r="I32" s="1475"/>
      <c r="J32" s="1475"/>
      <c r="K32" s="1475"/>
      <c r="L32" s="1608"/>
      <c r="M32" s="1475"/>
      <c r="N32" s="1475"/>
      <c r="O32" s="1475"/>
      <c r="P32" s="1596"/>
      <c r="Q32" s="1596"/>
      <c r="S32" s="2380" t="s">
        <v>423</v>
      </c>
      <c r="T32" s="2380"/>
      <c r="U32" s="1600"/>
      <c r="V32" s="2382" t="str">
        <f>IF(TITLE_NUMBER_PR_CHANGE="",IF(TITLE_NUMBER_PR="","",TITLE_NUMBER_PR),TITLE_NUMBER_PR_CHANGE)</f>
        <v>72/1</v>
      </c>
      <c r="W32" s="2382"/>
      <c r="X32" s="2382"/>
      <c r="Y32" s="2382"/>
      <c r="Z32" s="2382"/>
      <c r="AA32" s="1863"/>
      <c r="AB32" s="1863"/>
      <c r="AC32" s="2382"/>
      <c r="AD32" s="2382"/>
      <c r="AE32" s="2382"/>
      <c r="AF32" s="2382"/>
      <c r="AG32" s="2382"/>
      <c r="AH32" s="2382"/>
      <c r="AI32" s="1863"/>
      <c r="AJ32" s="1863"/>
      <c r="AK32" s="503"/>
      <c r="AL32" s="591"/>
      <c r="AM32" s="591"/>
      <c r="AN32" s="591"/>
      <c r="AO32" s="591"/>
      <c r="AP32" s="591"/>
    </row>
    <row s="13547" customFormat="1" customHeight="1" ht="18.75" hidden="1">
      <c r="A33" s="1475"/>
      <c r="B33" s="1475"/>
      <c r="C33" s="1475"/>
      <c r="D33" s="1475"/>
      <c r="E33" s="1475"/>
      <c r="F33" s="1475"/>
      <c r="G33" s="1475"/>
      <c r="H33" s="1475"/>
      <c r="I33" s="1475"/>
      <c r="J33" s="1475"/>
      <c r="K33" s="1475"/>
      <c r="L33" s="1608"/>
      <c r="M33" s="1475"/>
      <c r="N33" s="1475"/>
      <c r="O33" s="1475"/>
      <c r="P33" s="1596"/>
      <c r="Q33" s="1596"/>
      <c r="S33" s="2380" t="s">
        <v>40</v>
      </c>
      <c r="T33" s="2380"/>
      <c r="U33" s="1600"/>
      <c r="V33" s="2382" t="str">
        <f>IF(TITLE_IST_PUB_CHANGE="",IF(TITLE_IST_PUB="","",TITLE_IST_PUB),TITLE_IST_PUB_CHANGE)</f>
        <v>http://pravo.gov.ru Номер опубликования: 2501202312270032 Дата опубликования: 27.12.2023</v>
      </c>
      <c r="W33" s="2382"/>
      <c r="X33" s="2382"/>
      <c r="Y33" s="2382"/>
      <c r="Z33" s="2382"/>
      <c r="AA33" s="1863"/>
      <c r="AB33" s="1863"/>
      <c r="AC33" s="2382"/>
      <c r="AD33" s="2382"/>
      <c r="AE33" s="2382"/>
      <c r="AF33" s="2382"/>
      <c r="AG33" s="2382"/>
      <c r="AH33" s="2382"/>
      <c r="AI33" s="1863"/>
      <c r="AJ33" s="1863"/>
      <c r="AK33" s="503"/>
      <c r="AL33" s="591"/>
      <c r="AM33" s="591"/>
      <c r="AN33" s="591"/>
      <c r="AO33" s="591"/>
      <c r="AP33" s="591"/>
    </row>
    <row customHeight="1" ht="14.25" hidden="1">
      <c r="Q34" s="514"/>
      <c r="R34" s="599"/>
      <c r="S34" s="1503"/>
      <c r="T34" s="680"/>
      <c r="U34" s="680"/>
      <c r="V34" s="545"/>
      <c r="W34" s="545"/>
      <c r="X34" s="545"/>
      <c r="Y34" s="545"/>
      <c r="Z34" s="545"/>
      <c r="AA34" s="545"/>
      <c r="AB34" s="545"/>
      <c r="AC34" s="545"/>
      <c r="AD34" s="545"/>
      <c r="AE34" s="545"/>
      <c r="AF34" s="545"/>
      <c r="AG34" s="545"/>
      <c r="AH34" s="545"/>
      <c r="AI34" s="545"/>
      <c r="AJ34" s="1863"/>
    </row>
    <row s="13547" customFormat="1" customHeight="1" ht="18.75" hidden="1">
      <c r="A35" s="1475"/>
      <c r="B35" s="1475"/>
      <c r="C35" s="1475"/>
      <c r="D35" s="1475"/>
      <c r="E35" s="1475"/>
      <c r="F35" s="1475"/>
      <c r="G35" s="1475"/>
      <c r="H35" s="1475"/>
      <c r="I35" s="1475"/>
      <c r="J35" s="1475"/>
      <c r="K35" s="1475"/>
      <c r="L35" s="1608"/>
      <c r="M35" s="1475"/>
      <c r="N35" s="1475"/>
      <c r="O35" s="1475"/>
      <c r="P35" s="1596"/>
      <c r="Q35" s="1596"/>
      <c r="S35" s="2380" t="s">
        <v>422</v>
      </c>
      <c r="T35" s="2380"/>
      <c r="U35" s="1600"/>
      <c r="V35" s="2381" t="str">
        <f>IF(TITLE_DATE_PR_CHANGE="",IF(TITLE_DATE_PR="","",TITLE_DATE_PR),TITLE_DATE_PR_CHANGE)</f>
        <v>45281.66994212963</v>
      </c>
      <c r="W35" s="2381"/>
      <c r="X35" s="2381"/>
      <c r="Y35" s="2381"/>
      <c r="Z35" s="2381"/>
      <c r="AA35" s="1863"/>
      <c r="AB35" s="1863"/>
      <c r="AC35" s="2381"/>
      <c r="AD35" s="2381"/>
      <c r="AE35" s="2381"/>
      <c r="AF35" s="2381"/>
      <c r="AG35" s="2381"/>
      <c r="AH35" s="2381"/>
      <c r="AI35" s="1863"/>
      <c r="AJ35" s="1863"/>
      <c r="AK35" s="503"/>
      <c r="AL35" s="591"/>
      <c r="AM35" s="591"/>
      <c r="AN35" s="591"/>
      <c r="AO35" s="591"/>
      <c r="AP35" s="591"/>
    </row>
    <row s="13547" customFormat="1" customHeight="1" ht="18" hidden="1">
      <c r="A36" s="1475"/>
      <c r="B36" s="1475"/>
      <c r="C36" s="1475"/>
      <c r="D36" s="1475"/>
      <c r="E36" s="1475"/>
      <c r="F36" s="1475"/>
      <c r="G36" s="1475"/>
      <c r="H36" s="1475"/>
      <c r="I36" s="1475"/>
      <c r="J36" s="1475"/>
      <c r="K36" s="1475"/>
      <c r="L36" s="1608"/>
      <c r="M36" s="1475"/>
      <c r="N36" s="1475"/>
      <c r="O36" s="1475"/>
      <c r="P36" s="1596"/>
      <c r="Q36" s="1596"/>
      <c r="S36" s="2380" t="s">
        <v>423</v>
      </c>
      <c r="T36" s="2380"/>
      <c r="U36" s="1600"/>
      <c r="V36" s="2382" t="str">
        <f>IF(TITLE_NUMBER_PR_CHANGE="",IF(TITLE_NUMBER_PR="","",TITLE_NUMBER_PR),TITLE_NUMBER_PR_CHANGE)</f>
        <v>72/1</v>
      </c>
      <c r="W36" s="2382"/>
      <c r="X36" s="2382"/>
      <c r="Y36" s="2382"/>
      <c r="Z36" s="2382"/>
      <c r="AA36" s="1863"/>
      <c r="AB36" s="1863"/>
      <c r="AC36" s="2382"/>
      <c r="AD36" s="2382"/>
      <c r="AE36" s="2382"/>
      <c r="AF36" s="2382"/>
      <c r="AG36" s="2382"/>
      <c r="AH36" s="2382"/>
      <c r="AI36" s="1863"/>
      <c r="AJ36" s="1863"/>
      <c r="AK36" s="503"/>
      <c r="AL36" s="591"/>
      <c r="AM36" s="591"/>
      <c r="AN36" s="591"/>
      <c r="AO36" s="591"/>
      <c r="AP36" s="591"/>
    </row>
    <row s="13547" customFormat="1" customHeight="1" ht="0.75">
      <c r="A37" s="1475"/>
      <c r="B37" s="1475"/>
      <c r="C37" s="1475"/>
      <c r="D37" s="1475"/>
      <c r="E37" s="1475"/>
      <c r="F37" s="1475"/>
      <c r="G37" s="1475"/>
      <c r="H37" s="1475"/>
      <c r="I37" s="1475"/>
      <c r="J37" s="1475"/>
      <c r="K37" s="1475"/>
      <c r="L37" s="1608"/>
      <c r="M37" s="1475"/>
      <c r="N37" s="1475"/>
      <c r="O37" s="1475"/>
      <c r="P37" s="1596"/>
      <c r="Q37" s="1596"/>
      <c r="S37" s="1863"/>
      <c r="T37" s="1863"/>
      <c r="U37" s="2199"/>
      <c r="V37" s="1863"/>
      <c r="W37" s="1863"/>
      <c r="X37" s="1863"/>
      <c r="Y37" s="1863"/>
      <c r="Z37" s="1863"/>
      <c r="AA37" s="1870" t="s">
        <v>426</v>
      </c>
      <c r="AB37" s="1870"/>
      <c r="AC37" s="1863"/>
      <c r="AD37" s="1863"/>
      <c r="AE37" s="1863"/>
      <c r="AF37" s="1863"/>
      <c r="AG37" s="1863"/>
      <c r="AH37" s="1863"/>
      <c r="AI37" s="1870" t="s">
        <v>426</v>
      </c>
      <c r="AL37" s="591"/>
      <c r="AM37" s="591"/>
      <c r="AN37" s="591"/>
      <c r="AO37" s="591"/>
      <c r="AP37" s="591"/>
    </row>
    <row customHeight="1" ht="14.25">
      <c r="Q38" s="514"/>
      <c r="R38" s="599"/>
      <c r="S38" s="1503"/>
      <c r="T38" s="680"/>
      <c r="U38" s="1471"/>
      <c r="V38" s="2406"/>
      <c r="W38" s="2406"/>
      <c r="X38" s="2406"/>
      <c r="Y38" s="2406"/>
      <c r="Z38" s="2406"/>
      <c r="AA38" s="2406"/>
      <c r="AB38" s="2186"/>
      <c r="AC38" s="2406"/>
      <c r="AD38" s="2406"/>
      <c r="AE38" s="2406"/>
      <c r="AF38" s="2406"/>
      <c r="AG38" s="2406"/>
      <c r="AH38" s="2406"/>
      <c r="AI38" s="2406"/>
    </row>
    <row customHeight="1" ht="14.25">
      <c r="Q39" s="514"/>
      <c r="R39" s="599"/>
      <c r="S39" s="2254" t="s">
        <v>301</v>
      </c>
      <c r="T39" s="2254"/>
      <c r="U39" s="2254"/>
      <c r="V39" s="2254"/>
      <c r="W39" s="2254"/>
      <c r="X39" s="2254"/>
      <c r="Y39" s="2254"/>
      <c r="Z39" s="2254"/>
      <c r="AA39" s="2311"/>
      <c r="AB39" s="2311"/>
      <c r="AC39" s="2311"/>
      <c r="AD39" s="2254"/>
      <c r="AE39" s="2254"/>
      <c r="AF39" s="2254"/>
      <c r="AG39" s="2254"/>
      <c r="AH39" s="2254"/>
      <c r="AI39" s="2254"/>
      <c r="AJ39" s="2254"/>
      <c r="AK39" s="2254" t="s">
        <v>302</v>
      </c>
    </row>
    <row customHeight="1" ht="14.25">
      <c r="Q40" s="514"/>
      <c r="R40" s="599"/>
      <c r="S40" s="2407" t="s">
        <v>87</v>
      </c>
      <c r="T40" s="2344" t="s">
        <v>498</v>
      </c>
      <c r="U40" s="560"/>
      <c r="V40" s="2409"/>
      <c r="W40" s="2409"/>
      <c r="X40" s="2409"/>
      <c r="Y40" s="2409"/>
      <c r="Z40" s="2409"/>
      <c r="AA40" s="2344" t="s">
        <v>429</v>
      </c>
      <c r="AB40" s="2343" t="s">
        <v>499</v>
      </c>
      <c r="AC40" s="2343" t="s">
        <v>472</v>
      </c>
      <c r="AD40" s="2430" t="s">
        <v>428</v>
      </c>
      <c r="AE40" s="2430"/>
      <c r="AF40" s="2409"/>
      <c r="AG40" s="2409"/>
      <c r="AH40" s="2410"/>
      <c r="AI40" s="2411" t="s">
        <v>429</v>
      </c>
      <c r="AJ40" s="2414" t="s">
        <v>431</v>
      </c>
      <c r="AK40" s="2254"/>
    </row>
    <row customHeight="1" ht="33.75">
      <c r="Q41" s="514"/>
      <c r="R41" s="599"/>
      <c r="S41" s="2407"/>
      <c r="T41" s="2344"/>
      <c r="U41" s="1255"/>
      <c r="V41" s="2312" t="s">
        <v>475</v>
      </c>
      <c r="W41" s="2313"/>
      <c r="X41" s="2428" t="s">
        <v>435</v>
      </c>
      <c r="Y41" s="2446"/>
      <c r="Z41" s="2446"/>
      <c r="AA41" s="2344"/>
      <c r="AB41" s="2343"/>
      <c r="AC41" s="2343"/>
      <c r="AD41" s="2240" t="s">
        <v>476</v>
      </c>
      <c r="AE41" s="2254"/>
      <c r="AF41" s="2446" t="s">
        <v>435</v>
      </c>
      <c r="AG41" s="2446"/>
      <c r="AH41" s="2447"/>
      <c r="AI41" s="2412"/>
      <c r="AJ41" s="2415"/>
      <c r="AK41" s="2254"/>
    </row>
    <row customHeight="1" ht="14.25">
      <c r="Q42" s="514"/>
      <c r="R42" s="599"/>
      <c r="S42" s="2407"/>
      <c r="T42" s="2344"/>
      <c r="U42" s="1255"/>
      <c r="V42" s="2320"/>
      <c r="W42" s="2321"/>
      <c r="X42" s="2429"/>
      <c r="Y42" s="2448"/>
      <c r="Z42" s="2448"/>
      <c r="AA42" s="2344"/>
      <c r="AB42" s="2343"/>
      <c r="AC42" s="2343"/>
      <c r="AD42" s="2483"/>
      <c r="AE42" s="2474"/>
      <c r="AF42" s="2448"/>
      <c r="AG42" s="2448"/>
      <c r="AH42" s="2449"/>
      <c r="AI42" s="2412"/>
      <c r="AJ42" s="2415"/>
      <c r="AK42" s="2254"/>
    </row>
    <row customHeight="1" ht="14.25">
      <c r="A43" s="1494"/>
      <c r="B43" s="1494" t="s">
        <v>134</v>
      </c>
      <c r="C43" s="1494" t="s">
        <v>135</v>
      </c>
      <c r="D43" s="1494" t="s">
        <v>136</v>
      </c>
      <c r="E43" s="1538" t="s">
        <v>436</v>
      </c>
      <c r="F43" s="1538" t="s">
        <v>437</v>
      </c>
      <c r="G43" s="1538" t="s">
        <v>438</v>
      </c>
      <c r="H43" s="1538" t="s">
        <v>439</v>
      </c>
      <c r="I43" s="1538" t="s">
        <v>440</v>
      </c>
      <c r="J43" s="1538" t="s">
        <v>441</v>
      </c>
      <c r="K43" s="1538" t="s">
        <v>442</v>
      </c>
      <c r="L43" s="1538" t="s">
        <v>417</v>
      </c>
      <c r="Q43" s="514"/>
      <c r="R43" s="599"/>
      <c r="S43" s="2407"/>
      <c r="T43" s="2344"/>
      <c r="U43" s="525"/>
      <c r="V43" s="2179" t="s">
        <v>477</v>
      </c>
      <c r="W43" s="2179" t="s">
        <v>478</v>
      </c>
      <c r="X43" s="2167" t="s">
        <v>445</v>
      </c>
      <c r="Y43" s="2403" t="s">
        <v>446</v>
      </c>
      <c r="Z43" s="2441"/>
      <c r="AA43" s="2344"/>
      <c r="AB43" s="2343"/>
      <c r="AC43" s="2343"/>
      <c r="AD43" s="2197" t="s">
        <v>477</v>
      </c>
      <c r="AE43" s="2188" t="s">
        <v>478</v>
      </c>
      <c r="AF43" s="2167" t="s">
        <v>445</v>
      </c>
      <c r="AG43" s="2403" t="s">
        <v>446</v>
      </c>
      <c r="AH43" s="2404"/>
      <c r="AI43" s="2413"/>
      <c r="AJ43" s="2416"/>
      <c r="AK43" s="2254"/>
    </row>
    <row s="13656" customFormat="1" customHeight="1" ht="11.25" hidden="1">
      <c r="A44" s="1494"/>
      <c r="B44" s="1494"/>
      <c r="C44" s="1494"/>
      <c r="D44" s="1494"/>
      <c r="E44" s="1494"/>
      <c r="F44" s="1494"/>
      <c r="G44" s="1494"/>
      <c r="H44" s="1494"/>
      <c r="I44" s="1494"/>
      <c r="J44" s="1494"/>
      <c r="K44" s="1494"/>
      <c r="L44" s="1538"/>
      <c r="M44" s="2194"/>
      <c r="N44" s="2194"/>
      <c r="O44" s="2194"/>
      <c r="P44" s="733"/>
      <c r="Q44" s="1481"/>
      <c r="R44" s="1481">
        <v>1</v>
      </c>
      <c r="S44" s="1505" t="s">
        <v>108</v>
      </c>
      <c r="T44" s="1482" t="s">
        <v>109</v>
      </c>
      <c r="U44" s="1472" t="str">
        <f>OFFSET(U44,0,-1)</f>
        <v>2</v>
      </c>
      <c r="V44" s="2185">
        <f>OFFSET(V44,0,-1)+1</f>
        <v>3</v>
      </c>
      <c r="W44" s="2185">
        <f>OFFSET(W44,0,-1)+1</f>
        <v>4</v>
      </c>
      <c r="X44" s="2185">
        <f>OFFSET(X44,0,-1)+1</f>
        <v>5</v>
      </c>
      <c r="Y44" s="2405">
        <f>OFFSET(Y44,0,-1)+1</f>
        <v>6</v>
      </c>
      <c r="Z44" s="2405"/>
      <c r="AA44" s="1569">
        <f>OFFSET(AA44,0,-2)+1</f>
        <v>7</v>
      </c>
      <c r="AB44" s="1569"/>
      <c r="AC44" s="1569"/>
      <c r="AD44" s="2185">
        <f>OFFSET(AD44,0,-1)+1</f>
        <v>1</v>
      </c>
      <c r="AE44" s="2185">
        <f>OFFSET(AE44,0,-1)+1</f>
        <v>2</v>
      </c>
      <c r="AF44" s="2185">
        <f>OFFSET(AF44,0,-1)+1</f>
        <v>3</v>
      </c>
      <c r="AG44" s="2405">
        <f>OFFSET(AG44,0,-1)+1</f>
        <v>4</v>
      </c>
      <c r="AH44" s="2405"/>
      <c r="AI44" s="2185">
        <f>OFFSET(AI44,0,-2)+1</f>
        <v>5</v>
      </c>
      <c r="AJ44" s="1472">
        <f>OFFSET(AJ44,0,-1)</f>
        <v>5</v>
      </c>
      <c r="AK44" s="2185">
        <f>OFFSET(AK44,0,-1)+1</f>
        <v>6</v>
      </c>
      <c r="AL44" s="1864"/>
      <c r="AM44" s="1864"/>
      <c r="AN44" s="1864"/>
      <c r="AO44" s="1864"/>
      <c r="AP44" s="1864"/>
    </row>
    <row customHeight="1" ht="102">
      <c r="A45" s="1495" t="s">
        <v>203</v>
      </c>
      <c r="B45" s="1495"/>
      <c r="C45" s="1495"/>
      <c r="D45" s="1495"/>
      <c r="E45" s="2424">
        <v>1</v>
      </c>
      <c r="F45" s="1495"/>
      <c r="G45" s="1495"/>
      <c r="H45" s="1495"/>
      <c r="I45" s="1495"/>
      <c r="J45" s="1495"/>
      <c r="K45" s="1495"/>
      <c r="L45" s="1538"/>
      <c r="M45" s="1838"/>
      <c r="N45" s="1838"/>
      <c r="O45" s="1838"/>
      <c r="P45" s="1637"/>
      <c r="Q45" s="1096"/>
      <c r="R45" s="578"/>
      <c r="S45" s="2187">
        <f>INDEX(PT_DIFFERENTIATION_NUM_NTAR,MATCH(A45,PT_DIFFERENTIATION_NTAR_ID,0))</f>
        <v>0</v>
      </c>
      <c r="T45" s="1753" t="s">
        <v>122</v>
      </c>
      <c r="U45" s="523"/>
      <c r="V45" s="2384"/>
      <c r="W45" s="2384"/>
      <c r="X45" s="2384"/>
      <c r="Y45" s="2384"/>
      <c r="Z45" s="2384"/>
      <c r="AA45" s="2385"/>
      <c r="AB45" s="2181"/>
      <c r="AC45" s="2384"/>
      <c r="AD45" s="2384"/>
      <c r="AE45" s="2384"/>
      <c r="AF45" s="2384"/>
      <c r="AG45" s="2384"/>
      <c r="AH45" s="2384"/>
      <c r="AI45" s="2384"/>
      <c r="AJ45" s="2385"/>
      <c r="AK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852"/>
      <c r="AN45" s="1852" t="str">
        <f>IF(T45="","",T45)</f>
        <v>Наименование тарифа</v>
      </c>
      <c r="AO45" s="1852"/>
      <c r="AP45" s="1852"/>
    </row>
    <row customHeight="1" ht="21">
      <c r="A46" s="1495" t="s">
        <v>203</v>
      </c>
      <c r="B46" s="1495" t="s">
        <v>204</v>
      </c>
      <c r="C46" s="1495"/>
      <c r="D46" s="1495"/>
      <c r="E46" s="2425"/>
      <c r="F46" s="2424">
        <v>1</v>
      </c>
      <c r="G46" s="1495"/>
      <c r="H46" s="1495"/>
      <c r="I46" s="1495"/>
      <c r="J46" s="1495"/>
      <c r="K46" s="1495"/>
      <c r="L46" s="1538"/>
      <c r="M46" s="1838"/>
      <c r="N46" s="1838"/>
      <c r="O46" s="1838"/>
      <c r="P46" s="2198"/>
      <c r="Q46" s="1639"/>
      <c r="R46" s="576"/>
      <c r="S46" s="2187" t="str">
        <f>INDEX(PT_DIFFERENTIATION_NUM_TER,MATCH(B46,PT_DIFFERENTIATION_TER_ID,0))</f>
        <v>.</v>
      </c>
      <c r="T46" s="1750" t="s">
        <v>398</v>
      </c>
      <c r="U46" s="523"/>
      <c r="V46" s="2384"/>
      <c r="W46" s="2384"/>
      <c r="X46" s="2384"/>
      <c r="Y46" s="2384"/>
      <c r="Z46" s="2384"/>
      <c r="AA46" s="2385"/>
      <c r="AB46" s="2181"/>
      <c r="AC46" s="2384"/>
      <c r="AD46" s="2384"/>
      <c r="AE46" s="2384"/>
      <c r="AF46" s="2384"/>
      <c r="AG46" s="2384"/>
      <c r="AH46" s="2384"/>
      <c r="AI46" s="2384"/>
      <c r="AJ46" s="2385"/>
      <c r="AK46" s="1485" t="s">
        <v>399</v>
      </c>
      <c r="AM46" s="1852"/>
      <c r="AN46" s="1852" t="str">
        <f>IF(T46="","",T46)</f>
        <v>Территория действия тарифа</v>
      </c>
      <c r="AO46" s="1852"/>
      <c r="AP46" s="1852"/>
    </row>
    <row customHeight="1" ht="23.25">
      <c r="A47" s="1495" t="s">
        <v>203</v>
      </c>
      <c r="B47" s="1495" t="s">
        <v>204</v>
      </c>
      <c r="C47" s="1495" t="s">
        <v>205</v>
      </c>
      <c r="D47" s="1495"/>
      <c r="E47" s="2425"/>
      <c r="F47" s="2425"/>
      <c r="G47" s="2424">
        <v>1</v>
      </c>
      <c r="H47" s="1495"/>
      <c r="I47" s="1495"/>
      <c r="J47" s="1495"/>
      <c r="K47" s="1495"/>
      <c r="L47" s="1538"/>
      <c r="M47" s="1838"/>
      <c r="N47" s="1838"/>
      <c r="O47" s="1838"/>
      <c r="P47" s="1640"/>
      <c r="Q47" s="1639"/>
      <c r="R47" s="576"/>
      <c r="S47" s="2187" t="str">
        <f>INDEX(PT_DIFFERENTIATION_NUM_CS,MATCH(C47,PT_DIFFERENTIATION_CS_ID,0))</f>
        <v>..</v>
      </c>
      <c r="T47" s="532" t="s">
        <v>400</v>
      </c>
      <c r="U47" s="523"/>
      <c r="V47" s="2384"/>
      <c r="W47" s="2384"/>
      <c r="X47" s="2384"/>
      <c r="Y47" s="2384"/>
      <c r="Z47" s="2384"/>
      <c r="AA47" s="2385"/>
      <c r="AB47" s="2181"/>
      <c r="AC47" s="2384"/>
      <c r="AD47" s="2384"/>
      <c r="AE47" s="2384"/>
      <c r="AF47" s="2384"/>
      <c r="AG47" s="2384"/>
      <c r="AH47" s="2384"/>
      <c r="AI47" s="2384"/>
      <c r="AJ47" s="2385"/>
      <c r="AK47" s="1485" t="s">
        <v>401</v>
      </c>
      <c r="AM47" s="1852"/>
      <c r="AN47" s="1852" t="str">
        <f>IF(T47="","",T47)</f>
        <v>Наименование системы теплоснабжения </v>
      </c>
      <c r="AO47" s="1852"/>
      <c r="AP47" s="1852"/>
    </row>
    <row customHeight="1" ht="21">
      <c r="A48" s="1495" t="s">
        <v>203</v>
      </c>
      <c r="B48" s="1495" t="s">
        <v>204</v>
      </c>
      <c r="C48" s="1495" t="s">
        <v>205</v>
      </c>
      <c r="D48" s="1495" t="s">
        <v>206</v>
      </c>
      <c r="E48" s="2425"/>
      <c r="F48" s="2425"/>
      <c r="G48" s="2425"/>
      <c r="H48" s="2424">
        <v>1</v>
      </c>
      <c r="I48" s="1495"/>
      <c r="J48" s="1495"/>
      <c r="K48" s="1495"/>
      <c r="L48" s="1538"/>
      <c r="M48" s="1838"/>
      <c r="N48" s="1838"/>
      <c r="O48" s="1838"/>
      <c r="P48" s="1640"/>
      <c r="Q48" s="1639"/>
      <c r="R48" s="576"/>
      <c r="S48" s="2187" t="str">
        <f>INDEX(PT_DIFFERENTIATION_NUM_IST_TE,MATCH(D48,PT_DIFFERENTIATION_IST_TE_ID,0))</f>
        <v>...</v>
      </c>
      <c r="T48" s="533" t="s">
        <v>402</v>
      </c>
      <c r="U48" s="523"/>
      <c r="V48" s="2384"/>
      <c r="W48" s="2384"/>
      <c r="X48" s="2384"/>
      <c r="Y48" s="2384"/>
      <c r="Z48" s="2384"/>
      <c r="AA48" s="2385"/>
      <c r="AB48" s="2181"/>
      <c r="AC48" s="2384"/>
      <c r="AD48" s="2384"/>
      <c r="AE48" s="2384"/>
      <c r="AF48" s="2384"/>
      <c r="AG48" s="2384"/>
      <c r="AH48" s="2384"/>
      <c r="AI48" s="2384"/>
      <c r="AJ48" s="2385"/>
      <c r="AK48" s="1485" t="s">
        <v>403</v>
      </c>
      <c r="AM48" s="1852"/>
      <c r="AN48" s="1852" t="str">
        <f>IF(T48="","",T48)</f>
        <v>Источник тепловой энергии  </v>
      </c>
      <c r="AO48" s="1852"/>
      <c r="AP48" s="1852"/>
    </row>
    <row s="13659" customFormat="1" customHeight="1" ht="0">
      <c r="A49" s="1603" t="s">
        <v>203</v>
      </c>
      <c r="B49" s="1603" t="s">
        <v>204</v>
      </c>
      <c r="C49" s="1603" t="s">
        <v>205</v>
      </c>
      <c r="D49" s="1603" t="s">
        <v>206</v>
      </c>
      <c r="E49" s="2425"/>
      <c r="F49" s="2425"/>
      <c r="G49" s="2425"/>
      <c r="H49" s="2425"/>
      <c r="I49" s="2254" t="str">
        <f>S48&amp;".1"</f>
        <v>....1</v>
      </c>
      <c r="J49" s="1603"/>
      <c r="K49" s="1603"/>
      <c r="L49" s="1609" t="s">
        <v>404</v>
      </c>
      <c r="M49" s="1473"/>
      <c r="N49" s="1473"/>
      <c r="O49" s="1473"/>
      <c r="P49" s="2393">
        <v>1</v>
      </c>
      <c r="Q49" s="2183"/>
      <c r="R49" s="579"/>
      <c r="S49" s="1266"/>
      <c r="T49" s="1611"/>
      <c r="U49" s="1612"/>
      <c r="V49" s="2432"/>
      <c r="W49" s="2432"/>
      <c r="X49" s="2432"/>
      <c r="Y49" s="2432"/>
      <c r="Z49" s="2432"/>
      <c r="AA49" s="2433"/>
      <c r="AB49" s="2189"/>
      <c r="AC49" s="2432"/>
      <c r="AD49" s="2432"/>
      <c r="AE49" s="2432"/>
      <c r="AF49" s="2432"/>
      <c r="AG49" s="2432"/>
      <c r="AH49" s="2432"/>
      <c r="AI49" s="2432"/>
      <c r="AJ49" s="2433"/>
      <c r="AK49" s="1613"/>
      <c r="AM49" s="1852"/>
      <c r="AN49" s="1852" t="str">
        <f>IF(T49="","",T49)</f>
        <v/>
      </c>
      <c r="AO49" s="1852"/>
      <c r="AP49" s="1852"/>
    </row>
    <row s="13659" customFormat="1" customHeight="1" ht="0">
      <c r="A50" s="1603" t="s">
        <v>203</v>
      </c>
      <c r="B50" s="1603" t="s">
        <v>204</v>
      </c>
      <c r="C50" s="1603" t="s">
        <v>205</v>
      </c>
      <c r="D50" s="1603" t="s">
        <v>206</v>
      </c>
      <c r="E50" s="2425"/>
      <c r="F50" s="2425"/>
      <c r="G50" s="2425"/>
      <c r="H50" s="2425"/>
      <c r="I50" s="2238"/>
      <c r="J50" s="2254" t="str">
        <f>S48&amp;".1"</f>
        <v>....1</v>
      </c>
      <c r="K50" s="1603"/>
      <c r="L50" s="1609"/>
      <c r="M50" s="1473"/>
      <c r="N50" s="1473"/>
      <c r="O50" s="1473"/>
      <c r="P50" s="2393"/>
      <c r="Q50" s="2393">
        <v>1</v>
      </c>
      <c r="R50" s="580"/>
      <c r="S50" s="1266"/>
      <c r="T50" s="1627"/>
      <c r="U50" s="1612"/>
      <c r="V50" s="2432"/>
      <c r="W50" s="2432"/>
      <c r="X50" s="2432"/>
      <c r="Y50" s="2432"/>
      <c r="Z50" s="2432"/>
      <c r="AA50" s="2433"/>
      <c r="AB50" s="2189"/>
      <c r="AC50" s="2432"/>
      <c r="AD50" s="2432"/>
      <c r="AE50" s="2432"/>
      <c r="AF50" s="2432"/>
      <c r="AG50" s="2432"/>
      <c r="AH50" s="2432"/>
      <c r="AI50" s="2432"/>
      <c r="AJ50" s="2433"/>
      <c r="AK50" s="1613"/>
      <c r="AM50" s="1852"/>
      <c r="AN50" s="1852" t="str">
        <f>IF(T50="","",T50)</f>
        <v/>
      </c>
      <c r="AO50" s="1852"/>
      <c r="AP50" s="1852"/>
    </row>
    <row customHeight="1" ht="21">
      <c r="A51" s="1495" t="s">
        <v>203</v>
      </c>
      <c r="B51" s="1495" t="s">
        <v>204</v>
      </c>
      <c r="C51" s="1495" t="s">
        <v>205</v>
      </c>
      <c r="D51" s="1495" t="s">
        <v>206</v>
      </c>
      <c r="E51" s="2425"/>
      <c r="F51" s="2425"/>
      <c r="G51" s="2425"/>
      <c r="H51" s="2425"/>
      <c r="I51" s="2238"/>
      <c r="J51" s="2238"/>
      <c r="K51" s="2170" t="str">
        <f>S48&amp;".1"</f>
        <v>....1</v>
      </c>
      <c r="L51" s="1538"/>
      <c r="P51" s="2393"/>
      <c r="Q51" s="2393"/>
      <c r="R51" s="580">
        <v>1</v>
      </c>
      <c r="S51" s="2191" t="str">
        <f>$K51</f>
        <v>....1</v>
      </c>
      <c r="T51" s="2190"/>
      <c r="U51" s="523"/>
      <c r="V51" s="974"/>
      <c r="W51" s="1484"/>
      <c r="X51" s="2184"/>
      <c r="Y51" s="2171" t="s">
        <v>66</v>
      </c>
      <c r="Z51" s="2184"/>
      <c r="AA51" s="2171" t="s">
        <v>66</v>
      </c>
      <c r="AB51" s="2193"/>
      <c r="AC51" s="2192" t="s">
        <v>24</v>
      </c>
      <c r="AD51" s="974"/>
      <c r="AE51" s="1484"/>
      <c r="AF51" s="2184"/>
      <c r="AG51" s="2171" t="s">
        <v>66</v>
      </c>
      <c r="AH51" s="2184"/>
      <c r="AI51" s="2171" t="s">
        <v>66</v>
      </c>
      <c r="AJ51" s="1576"/>
      <c r="AK51" s="2419" t="s">
        <v>479</v>
      </c>
      <c r="AL51" s="1864">
        <f>STRCHECKDATE(#REF!)</f>
      </c>
      <c r="AM51" s="1852"/>
      <c r="AN51" s="1852" t="str">
        <f>IF(T51="","",T51)</f>
        <v/>
      </c>
      <c r="AO51" s="1852"/>
      <c r="AP51" s="1852"/>
    </row>
    <row customHeight="1" ht="11.25">
      <c r="A52" s="1495" t="s">
        <v>203</v>
      </c>
      <c r="B52" s="1495" t="s">
        <v>204</v>
      </c>
      <c r="C52" s="1495" t="s">
        <v>205</v>
      </c>
      <c r="D52" s="1495" t="s">
        <v>206</v>
      </c>
      <c r="E52" s="2425"/>
      <c r="F52" s="2425"/>
      <c r="G52" s="2425"/>
      <c r="H52" s="2425"/>
      <c r="I52" s="2238"/>
      <c r="J52" s="2254"/>
      <c r="K52" s="1495"/>
      <c r="L52" s="1538"/>
      <c r="P52" s="2393"/>
      <c r="Q52" s="2393"/>
      <c r="R52" s="579"/>
      <c r="S52" s="1506"/>
      <c r="T52" s="510" t="s">
        <v>466</v>
      </c>
      <c r="U52" s="823"/>
      <c r="V52" s="823"/>
      <c r="W52" s="823"/>
      <c r="X52" s="823"/>
      <c r="Y52" s="823"/>
      <c r="Z52" s="823"/>
      <c r="AA52" s="547"/>
      <c r="AB52" s="823"/>
      <c r="AC52" s="823"/>
      <c r="AD52" s="823"/>
      <c r="AE52" s="823"/>
      <c r="AF52" s="823"/>
      <c r="AG52" s="823"/>
      <c r="AH52" s="823"/>
      <c r="AI52" s="823"/>
      <c r="AJ52" s="547"/>
      <c r="AK52" s="2421"/>
      <c r="AM52" s="1852"/>
      <c r="AN52" s="1852" t="str">
        <f>IF(T52="","",T52)</f>
        <v>Добавить строку</v>
      </c>
      <c r="AO52" s="1852"/>
      <c r="AP52" s="1852"/>
    </row>
    <row s="13659" customFormat="1" customHeight="1" ht="5.25">
      <c r="A53" s="1603" t="s">
        <v>203</v>
      </c>
      <c r="B53" s="1603" t="s">
        <v>204</v>
      </c>
      <c r="C53" s="1603" t="s">
        <v>205</v>
      </c>
      <c r="D53" s="1603" t="s">
        <v>206</v>
      </c>
      <c r="E53" s="2425"/>
      <c r="F53" s="2425"/>
      <c r="G53" s="2425"/>
      <c r="H53" s="2425"/>
      <c r="I53" s="2254"/>
      <c r="J53" s="1603"/>
      <c r="K53" s="1603"/>
      <c r="L53" s="1609"/>
      <c r="M53" s="1473"/>
      <c r="N53" s="1473"/>
      <c r="O53" s="1473"/>
      <c r="P53" s="2393"/>
      <c r="Q53" s="2183"/>
      <c r="R53" s="579"/>
      <c r="S53" s="1614"/>
      <c r="T53" s="1615" t="s">
        <v>413</v>
      </c>
      <c r="U53" s="1616"/>
      <c r="V53" s="1616"/>
      <c r="W53" s="1616"/>
      <c r="X53" s="1616"/>
      <c r="Y53" s="1616"/>
      <c r="Z53" s="1616"/>
      <c r="AA53" s="1616"/>
      <c r="AB53" s="1616"/>
      <c r="AC53" s="1616"/>
      <c r="AD53" s="1616"/>
      <c r="AE53" s="1616"/>
      <c r="AF53" s="1616"/>
      <c r="AG53" s="1616"/>
      <c r="AH53" s="1616"/>
      <c r="AI53" s="1616"/>
      <c r="AJ53" s="1616"/>
      <c r="AK53" s="1617"/>
      <c r="AM53" s="1852"/>
      <c r="AN53" s="1852" t="str">
        <f>IF(T53="","",T53)</f>
        <v>Добавить группу потребителей</v>
      </c>
      <c r="AO53" s="1852"/>
      <c r="AP53" s="1852"/>
    </row>
    <row s="13656" customFormat="1" customHeight="1" ht="5.25">
      <c r="A54" s="1603" t="s">
        <v>203</v>
      </c>
      <c r="B54" s="1603" t="s">
        <v>204</v>
      </c>
      <c r="C54" s="1603" t="s">
        <v>205</v>
      </c>
      <c r="D54" s="1603" t="s">
        <v>206</v>
      </c>
      <c r="E54" s="2425"/>
      <c r="F54" s="2425"/>
      <c r="G54" s="2425"/>
      <c r="H54" s="2424"/>
      <c r="I54" s="1603"/>
      <c r="J54" s="1603"/>
      <c r="K54" s="1603"/>
      <c r="L54" s="1609"/>
      <c r="M54" s="1606"/>
      <c r="N54" s="1606"/>
      <c r="O54" s="574"/>
      <c r="P54" s="603"/>
      <c r="Q54" s="1572"/>
      <c r="R54" s="1628"/>
      <c r="S54" s="1614"/>
      <c r="T54" s="1615"/>
      <c r="U54" s="1616"/>
      <c r="V54" s="1616"/>
      <c r="W54" s="1616"/>
      <c r="X54" s="1616"/>
      <c r="Y54" s="1616"/>
      <c r="Z54" s="1616"/>
      <c r="AA54" s="1616"/>
      <c r="AB54" s="1616"/>
      <c r="AC54" s="1616"/>
      <c r="AD54" s="1616"/>
      <c r="AE54" s="1616"/>
      <c r="AF54" s="1616"/>
      <c r="AG54" s="1616"/>
      <c r="AH54" s="1616"/>
      <c r="AI54" s="1616"/>
      <c r="AJ54" s="1616"/>
      <c r="AK54" s="1617"/>
      <c r="AL54" s="1864"/>
      <c r="AM54" s="1852"/>
      <c r="AN54" s="1852" t="str">
        <f>IF(T54="","",T54)</f>
        <v/>
      </c>
      <c r="AO54" s="1852"/>
      <c r="AP54" s="1852"/>
    </row>
    <row s="13639" customFormat="1" customHeight="1" ht="5.25">
      <c r="A55" s="1603" t="s">
        <v>203</v>
      </c>
      <c r="B55" s="1603" t="s">
        <v>204</v>
      </c>
      <c r="C55" s="1603" t="s">
        <v>205</v>
      </c>
      <c r="D55" s="1602"/>
      <c r="E55" s="2425"/>
      <c r="F55" s="2425"/>
      <c r="G55" s="2424"/>
      <c r="H55" s="1602"/>
      <c r="I55" s="1602"/>
      <c r="J55" s="1602"/>
      <c r="K55" s="1602"/>
      <c r="L55" s="1605"/>
      <c r="M55" s="1606"/>
      <c r="N55" s="1606"/>
      <c r="O55" s="574"/>
      <c r="P55" s="1544"/>
      <c r="Q55" s="1545"/>
      <c r="R55" s="1544"/>
      <c r="S55" s="1550"/>
      <c r="T55" s="1553" t="s">
        <v>415</v>
      </c>
      <c r="U55" s="1552"/>
      <c r="V55" s="1552"/>
      <c r="W55" s="1552"/>
      <c r="X55" s="1552"/>
      <c r="Y55" s="1552"/>
      <c r="Z55" s="1552"/>
      <c r="AA55" s="1552"/>
      <c r="AB55" s="1552"/>
      <c r="AC55" s="1552"/>
      <c r="AD55" s="1552"/>
      <c r="AE55" s="1552"/>
      <c r="AF55" s="1552"/>
      <c r="AG55" s="1552"/>
      <c r="AH55" s="1552"/>
      <c r="AI55" s="1552"/>
      <c r="AJ55" s="1552"/>
      <c r="AK55" s="1552"/>
      <c r="AM55" s="1478"/>
      <c r="AN55" s="1478" t="str">
        <f>IF(T55="","",T55)</f>
        <v>Добавить источник для дифференциации</v>
      </c>
      <c r="AO55" s="1478"/>
      <c r="AP55" s="1478"/>
    </row>
    <row s="13639" customFormat="1" customHeight="1" ht="5.25">
      <c r="A56" s="1603" t="s">
        <v>203</v>
      </c>
      <c r="B56" s="1603" t="s">
        <v>204</v>
      </c>
      <c r="C56" s="1602"/>
      <c r="D56" s="1602"/>
      <c r="E56" s="2425"/>
      <c r="F56" s="2424"/>
      <c r="G56" s="1602"/>
      <c r="H56" s="1602"/>
      <c r="I56" s="1602"/>
      <c r="J56" s="1602"/>
      <c r="K56" s="1602"/>
      <c r="L56" s="1605"/>
      <c r="M56" s="1607"/>
      <c r="N56" s="1607"/>
      <c r="O56" s="574"/>
      <c r="P56" s="1544"/>
      <c r="Q56" s="1545"/>
      <c r="R56" s="1544"/>
      <c r="S56" s="1550"/>
      <c r="T56" s="1553" t="s">
        <v>252</v>
      </c>
      <c r="U56" s="1552"/>
      <c r="V56" s="1552"/>
      <c r="W56" s="1552"/>
      <c r="X56" s="1552"/>
      <c r="Y56" s="1552"/>
      <c r="Z56" s="1552"/>
      <c r="AA56" s="1552"/>
      <c r="AB56" s="1552"/>
      <c r="AC56" s="1552"/>
      <c r="AD56" s="1552"/>
      <c r="AE56" s="1552"/>
      <c r="AF56" s="1552"/>
      <c r="AG56" s="1552"/>
      <c r="AH56" s="1552"/>
      <c r="AI56" s="1552"/>
      <c r="AJ56" s="1552"/>
      <c r="AK56" s="1552"/>
      <c r="AM56" s="1478"/>
      <c r="AN56" s="1478" t="str">
        <f>IF(T56="","",T56)</f>
        <v>Добавить централизованную систему для дифференциации</v>
      </c>
      <c r="AO56" s="1478"/>
      <c r="AP56" s="1478"/>
    </row>
    <row s="13659" customFormat="1" customHeight="1" ht="5.25">
      <c r="A57" s="1603" t="s">
        <v>203</v>
      </c>
      <c r="B57" s="1603"/>
      <c r="C57" s="1603"/>
      <c r="D57" s="1603"/>
      <c r="E57" s="2425"/>
      <c r="F57" s="1603"/>
      <c r="G57" s="1603"/>
      <c r="H57" s="1603"/>
      <c r="I57" s="1603"/>
      <c r="J57" s="1603"/>
      <c r="K57" s="1603"/>
      <c r="L57" s="1609"/>
      <c r="M57" s="1607"/>
      <c r="N57" s="1607"/>
      <c r="O57" s="574"/>
      <c r="P57" s="603"/>
      <c r="Q57" s="1572"/>
      <c r="R57" s="603"/>
      <c r="S57" s="1550"/>
      <c r="T57" s="1553" t="s">
        <v>253</v>
      </c>
      <c r="U57" s="1552"/>
      <c r="V57" s="1552"/>
      <c r="W57" s="1552"/>
      <c r="X57" s="1552"/>
      <c r="Y57" s="1552"/>
      <c r="Z57" s="1552"/>
      <c r="AA57" s="1552"/>
      <c r="AB57" s="1552"/>
      <c r="AC57" s="1552"/>
      <c r="AD57" s="1552"/>
      <c r="AE57" s="1552"/>
      <c r="AF57" s="1552"/>
      <c r="AG57" s="1552"/>
      <c r="AH57" s="1552"/>
      <c r="AI57" s="1552"/>
      <c r="AJ57" s="1552"/>
      <c r="AK57" s="1552"/>
      <c r="AM57" s="1852"/>
      <c r="AN57" s="1852" t="str">
        <f>IF(T57="","",T57)</f>
        <v>Добавить территорию для дифференциации</v>
      </c>
      <c r="AO57" s="1852"/>
      <c r="AP57" s="1852"/>
    </row>
    <row s="13659" customFormat="1" customHeight="1" ht="5.25">
      <c r="A58" s="1603" t="s">
        <v>203</v>
      </c>
      <c r="B58" s="1603"/>
      <c r="C58" s="1603"/>
      <c r="D58" s="1603"/>
      <c r="E58" s="2424"/>
      <c r="F58" s="1603"/>
      <c r="G58" s="1603"/>
      <c r="H58" s="1603"/>
      <c r="I58" s="1603"/>
      <c r="J58" s="1603"/>
      <c r="K58" s="1603"/>
      <c r="L58" s="1609"/>
      <c r="M58" s="1607"/>
      <c r="N58" s="1607"/>
      <c r="O58" s="574"/>
      <c r="P58" s="603"/>
      <c r="Q58" s="1572"/>
      <c r="R58" s="603"/>
      <c r="S58" s="1550"/>
      <c r="T58" s="1553" t="s">
        <v>253</v>
      </c>
      <c r="U58" s="1552"/>
      <c r="V58" s="1552"/>
      <c r="W58" s="1552"/>
      <c r="X58" s="1552"/>
      <c r="Y58" s="1552"/>
      <c r="Z58" s="1552"/>
      <c r="AA58" s="1552"/>
      <c r="AB58" s="1552"/>
      <c r="AC58" s="1552"/>
      <c r="AD58" s="1552"/>
      <c r="AE58" s="1552"/>
      <c r="AF58" s="1552"/>
      <c r="AG58" s="1552"/>
      <c r="AH58" s="1552"/>
      <c r="AI58" s="1552"/>
      <c r="AJ58" s="1552"/>
      <c r="AK58" s="1552"/>
      <c r="AM58" s="1852"/>
      <c r="AN58" s="1852" t="str">
        <f>IF(T58="","",T58)</f>
        <v>Добавить территорию для дифференциации</v>
      </c>
      <c r="AO58" s="1852"/>
      <c r="AP58" s="1852"/>
    </row>
    <row s="13639" customFormat="1" customHeight="1" ht="5.25">
      <c r="A59" s="1602"/>
      <c r="B59" s="1602"/>
      <c r="C59" s="1602"/>
      <c r="D59" s="1602"/>
      <c r="E59" s="1603"/>
      <c r="F59" s="1602"/>
      <c r="G59" s="1602"/>
      <c r="H59" s="1602"/>
      <c r="I59" s="1602"/>
      <c r="J59" s="1602"/>
      <c r="K59" s="1602"/>
      <c r="L59" s="1605"/>
      <c r="M59" s="1607"/>
      <c r="N59" s="1607"/>
      <c r="O59" s="574"/>
      <c r="P59" s="1544"/>
      <c r="Q59" s="1545"/>
      <c r="R59" s="1544"/>
      <c r="S59" s="1550"/>
      <c r="T59" s="1553" t="s">
        <v>254</v>
      </c>
      <c r="U59" s="1552"/>
      <c r="V59" s="1552"/>
      <c r="W59" s="1552"/>
      <c r="X59" s="1552"/>
      <c r="Y59" s="1552"/>
      <c r="Z59" s="1552"/>
      <c r="AA59" s="1552"/>
      <c r="AB59" s="1552"/>
      <c r="AC59" s="1552"/>
      <c r="AD59" s="1552"/>
      <c r="AE59" s="1552"/>
      <c r="AF59" s="1552"/>
      <c r="AG59" s="1552"/>
      <c r="AH59" s="1552"/>
      <c r="AI59" s="1552"/>
      <c r="AJ59" s="1552"/>
      <c r="AK59" s="1552"/>
      <c r="AM59" s="1478"/>
      <c r="AN59" s="1478" t="str">
        <f>IF(T59="","",T59)</f>
        <v>Добавить наименование тарифа</v>
      </c>
      <c r="AO59" s="1478"/>
      <c r="AP59" s="1478"/>
    </row>
    <row customHeight="1" ht="11.25">
      <c r="M60" s="1859"/>
      <c r="N60" s="1859"/>
      <c r="O60" s="1863"/>
      <c r="P60" s="1594"/>
      <c r="Q60" s="1594"/>
      <c r="R60" s="1859"/>
      <c r="S60" s="1859"/>
      <c r="AL60" s="1859"/>
      <c r="AM60" s="1859"/>
      <c r="AN60" s="1859"/>
      <c r="AO60" s="1859"/>
      <c r="AP60" s="1859"/>
    </row>
    <row customHeight="1" ht="18.75">
      <c r="O61" s="1863"/>
      <c r="S61" s="1480"/>
      <c r="T61" s="2388"/>
      <c r="U61" s="2388"/>
      <c r="V61" s="2388"/>
      <c r="W61" s="2388"/>
      <c r="X61" s="2388"/>
      <c r="Y61" s="2388"/>
      <c r="Z61" s="2388"/>
      <c r="AA61" s="2388"/>
      <c r="AB61" s="2388"/>
      <c r="AC61" s="2388"/>
      <c r="AD61" s="2388"/>
      <c r="AE61" s="2388"/>
      <c r="AF61" s="2388"/>
      <c r="AG61" s="2388"/>
      <c r="AH61" s="2388"/>
      <c r="AI61" s="2388"/>
      <c r="AJ61" s="2388"/>
      <c r="AK61" s="2388"/>
    </row>
    <row customHeight="1" ht="19.5">
      <c r="O62" s="1863"/>
      <c r="T62" s="2388"/>
      <c r="U62" s="2388"/>
      <c r="V62" s="2388"/>
      <c r="W62" s="2388"/>
      <c r="X62" s="2388"/>
      <c r="Y62" s="2388"/>
      <c r="Z62" s="2388"/>
      <c r="AA62" s="2388"/>
      <c r="AB62" s="2388"/>
      <c r="AC62" s="2388"/>
      <c r="AD62" s="2388"/>
      <c r="AE62" s="2388"/>
      <c r="AF62" s="2388"/>
      <c r="AG62" s="2388"/>
      <c r="AH62" s="2388"/>
      <c r="AI62" s="2388"/>
      <c r="AJ62" s="2388"/>
      <c r="AK62" s="2388"/>
    </row>
    <row customHeight="1" ht="14.25">
      <c r="O63" s="1863"/>
      <c r="T63" s="2182"/>
      <c r="U63" s="2182"/>
      <c r="V63" s="2182"/>
      <c r="W63" s="2182"/>
      <c r="X63" s="2182"/>
      <c r="Y63" s="2182"/>
      <c r="Z63" s="2182"/>
      <c r="AA63" s="2182"/>
      <c r="AB63" s="2182"/>
      <c r="AC63" s="2182"/>
      <c r="AD63" s="2182"/>
      <c r="AE63" s="2182"/>
      <c r="AF63" s="2182"/>
      <c r="AG63" s="2182"/>
      <c r="AH63" s="2182"/>
      <c r="AI63" s="2182"/>
      <c r="AJ63" s="2182"/>
      <c r="AK63" s="2182"/>
    </row>
    <row customHeight="1" ht="18.75">
      <c r="O64" s="1863"/>
      <c r="T64" s="2388"/>
      <c r="U64" s="2388"/>
      <c r="V64" s="2388"/>
      <c r="W64" s="2388"/>
      <c r="X64" s="2388"/>
      <c r="Y64" s="2388"/>
      <c r="Z64" s="2388"/>
      <c r="AA64" s="2388"/>
      <c r="AB64" s="2388"/>
      <c r="AC64" s="2388"/>
      <c r="AD64" s="2388"/>
      <c r="AE64" s="2388"/>
      <c r="AF64" s="2388"/>
      <c r="AG64" s="2388"/>
      <c r="AH64" s="2388"/>
      <c r="AI64" s="2388"/>
      <c r="AJ64" s="2388"/>
      <c r="AK64" s="2388"/>
    </row>
    <row customHeight="1" ht="15.75">
      <c r="O65" s="1863"/>
      <c r="T65" s="2388"/>
      <c r="U65" s="2388"/>
      <c r="V65" s="2388"/>
      <c r="W65" s="2388"/>
      <c r="X65" s="2388"/>
      <c r="Y65" s="2388"/>
      <c r="Z65" s="2388"/>
      <c r="AA65" s="2388"/>
      <c r="AB65" s="2388"/>
      <c r="AC65" s="2388"/>
      <c r="AD65" s="2388"/>
      <c r="AE65" s="2388"/>
      <c r="AF65" s="2388"/>
      <c r="AG65" s="2388"/>
      <c r="AH65" s="2388"/>
      <c r="AI65" s="2388"/>
      <c r="AJ65" s="2388"/>
      <c r="AK65" s="2388"/>
    </row>
    <row customHeight="1" ht="14.25">
      <c r="O66" s="1863"/>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4B8C9-7DE7-F187-3299-C4B467E89556}"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13533" width="11.57421875" hidden="1" customWidth="1"/>
    <col min="2" max="2" style="13533" width="11.00390625" hidden="1" customWidth="1"/>
    <col min="3" max="3" style="13533" width="10.57421875" hidden="1"/>
    <col min="4" max="4" style="13533" width="12.8515625" hidden="1" customWidth="1"/>
    <col min="5" max="5" style="13533" width="10.00390625" hidden="1" customWidth="1"/>
    <col min="6" max="6" style="13533" width="8.7109375" hidden="1" customWidth="1"/>
    <col min="7" max="7" style="13533" width="7.57421875" hidden="1" customWidth="1"/>
    <col min="8" max="8" style="13533" width="11.421875" hidden="1" customWidth="1"/>
    <col min="9" max="9" style="13533" width="12.00390625" hidden="1" customWidth="1"/>
    <col min="10" max="10" style="13533" width="9.8515625" hidden="1" customWidth="1"/>
    <col min="11" max="11" style="13533" width="11.421875" hidden="1" customWidth="1"/>
    <col min="12" max="12" style="13873" width="19.140625" hidden="1" customWidth="1"/>
    <col min="13" max="14" style="13615" width="12.28125" hidden="1" customWidth="1"/>
    <col min="15" max="15" style="13615" width="23.421875" hidden="1" customWidth="1"/>
    <col min="16" max="16" style="13615" width="3.7109375" hidden="1" customWidth="1"/>
    <col min="17" max="17" style="13788" width="3.7109375" hidden="1" customWidth="1"/>
    <col min="18" max="18" style="13617" width="3.7109375" customWidth="1"/>
    <col min="19" max="19" style="13618" width="12.7109375" customWidth="1"/>
    <col min="20" max="20" style="13619" width="32.00390625" customWidth="1"/>
    <col min="21" max="21" style="13619" width="0.140625" customWidth="1"/>
    <col min="22" max="25" style="13619" width="21.7109375" hidden="1" customWidth="1"/>
    <col min="26" max="26" style="13619" width="11.7109375" hidden="1" customWidth="1"/>
    <col min="27" max="27" style="13619" width="3.7109375" hidden="1" customWidth="1"/>
    <col min="28" max="28" style="13619" width="11.7109375" hidden="1" customWidth="1"/>
    <col min="29" max="29" style="13619" width="8.57421875" hidden="1" customWidth="1"/>
    <col min="30" max="32" style="13619" width="3.7109375" customWidth="1"/>
    <col min="33" max="33" style="13619" width="24.7109375" customWidth="1"/>
    <col min="34" max="36" style="13619" width="3.7109375" customWidth="1"/>
    <col min="37" max="37" style="13619" width="24.7109375" customWidth="1"/>
    <col min="38" max="40" style="13619" width="3.7109375" customWidth="1"/>
    <col min="41" max="41" style="13619" width="18.8515625" customWidth="1"/>
    <col min="42" max="44" style="13619" width="3.7109375" customWidth="1"/>
    <col min="45" max="45" style="13619" width="18.8515625" customWidth="1"/>
    <col min="46" max="49" style="13619" width="21.7109375" customWidth="1"/>
    <col min="50" max="50" style="13619" width="11.7109375" customWidth="1"/>
    <col min="51" max="51" style="13619" width="3.7109375" customWidth="1"/>
    <col min="52" max="52" style="13619" width="11.7109375" customWidth="1"/>
    <col min="53" max="53" style="13619" width="8.57421875" hidden="1" customWidth="1"/>
    <col min="54" max="54" style="13619" width="4.7109375" customWidth="1"/>
    <col min="55" max="55" style="13619" width="115.7109375" customWidth="1"/>
    <col min="56" max="57" style="13606" width="10.57421875"/>
    <col min="58" max="58" style="13606" width="11.140625" customWidth="1"/>
    <col min="59" max="60" style="13606" width="10.57421875"/>
  </cols>
  <sheetData>
    <row customHeight="1" ht="14.25" hidden="1">
      <c r="W1" s="550"/>
      <c r="Y1" s="550"/>
      <c r="Z1" s="550"/>
      <c r="AW1" s="550"/>
      <c r="AX1" s="550"/>
    </row>
    <row customHeight="1" ht="21" hidden="1">
      <c r="A2" s="1591"/>
      <c r="B2" s="1591"/>
      <c r="C2" s="1591"/>
      <c r="D2" s="1591"/>
      <c r="E2" s="2389">
        <v>1</v>
      </c>
      <c r="F2" s="1591"/>
      <c r="G2" s="1591"/>
      <c r="H2" s="1591"/>
      <c r="I2" s="1591"/>
      <c r="J2" s="1591"/>
      <c r="K2" s="1591"/>
      <c r="L2" s="1592"/>
      <c r="M2" s="1593"/>
      <c r="N2" s="1593"/>
      <c r="O2" s="1593"/>
      <c r="P2" s="1637"/>
      <c r="Q2" s="1096"/>
      <c r="R2" s="578"/>
      <c r="S2" s="1693">
        <f>INDEX(PT_DIFFERENTIATION_NUM_NTAR,MATCH(A2,PT_DIFFERENTIATION_NTAR_ID,0))</f>
      </c>
      <c r="T2" s="521" t="s">
        <v>122</v>
      </c>
      <c r="U2" s="523"/>
      <c r="V2" s="2384"/>
      <c r="W2" s="2384"/>
      <c r="X2" s="2384"/>
      <c r="Y2" s="2384"/>
      <c r="Z2" s="2384"/>
      <c r="AA2" s="2384"/>
      <c r="AB2" s="2384"/>
      <c r="AC2" s="2385"/>
      <c r="AD2" s="2383">
        <f>INDEX(PT_DIFFERENTIATION_NTAR,MATCH(A2,PT_DIFFERENTIATION_NTAR_ID,0))</f>
      </c>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5"/>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91"/>
      <c r="B3" s="1591"/>
      <c r="C3" s="1591"/>
      <c r="D3" s="1591"/>
      <c r="E3" s="2390"/>
      <c r="F3" s="2389">
        <v>1</v>
      </c>
      <c r="G3" s="1591"/>
      <c r="H3" s="1591"/>
      <c r="I3" s="1591"/>
      <c r="J3" s="1591"/>
      <c r="K3" s="1591"/>
      <c r="L3" s="1592"/>
      <c r="M3" s="1593"/>
      <c r="N3" s="1593"/>
      <c r="O3" s="1593"/>
      <c r="P3" s="1638"/>
      <c r="Q3" s="1639"/>
      <c r="R3" s="576"/>
      <c r="S3" s="1693">
        <f>INDEX(PT_DIFFERENTIATION_NUM_TER,MATCH(B3,PT_DIFFERENTIATION_TER_ID,0))</f>
      </c>
      <c r="T3" s="531" t="s">
        <v>398</v>
      </c>
      <c r="U3" s="523"/>
      <c r="V3" s="2384"/>
      <c r="W3" s="2384"/>
      <c r="X3" s="2384"/>
      <c r="Y3" s="2384"/>
      <c r="Z3" s="2384"/>
      <c r="AA3" s="2384"/>
      <c r="AB3" s="2384"/>
      <c r="AC3" s="2385"/>
      <c r="AD3" s="2383">
        <f>INDEX(PT_DIFFERENTIATION_TER,MATCH(B3,PT_DIFFERENTIATION_TER_ID,0))</f>
      </c>
      <c r="AE3" s="2384"/>
      <c r="AF3" s="2384"/>
      <c r="AG3" s="2384"/>
      <c r="AH3" s="2384"/>
      <c r="AI3" s="2384"/>
      <c r="AJ3" s="2384"/>
      <c r="AK3" s="2384"/>
      <c r="AL3" s="2384"/>
      <c r="AM3" s="2384"/>
      <c r="AN3" s="2384"/>
      <c r="AO3" s="2384"/>
      <c r="AP3" s="2384"/>
      <c r="AQ3" s="2384"/>
      <c r="AR3" s="2384"/>
      <c r="AS3" s="2384"/>
      <c r="AT3" s="2384"/>
      <c r="AU3" s="2384"/>
      <c r="AV3" s="2384"/>
      <c r="AW3" s="2384"/>
      <c r="AX3" s="2384"/>
      <c r="AY3" s="2384"/>
      <c r="AZ3" s="2384"/>
      <c r="BA3" s="2384"/>
      <c r="BB3" s="2385"/>
      <c r="BC3" s="1485" t="s">
        <v>399</v>
      </c>
      <c r="BE3" s="723"/>
      <c r="BF3" s="723" t="str">
        <f>IF(T3="","",T3)</f>
        <v>Территория действия тарифа</v>
      </c>
      <c r="BG3" s="723"/>
      <c r="BH3" s="723"/>
    </row>
    <row customHeight="1" ht="42" hidden="1">
      <c r="A4" s="1591"/>
      <c r="B4" s="1591"/>
      <c r="C4" s="1591"/>
      <c r="D4" s="1591"/>
      <c r="E4" s="2390"/>
      <c r="F4" s="2390"/>
      <c r="G4" s="2389">
        <v>1</v>
      </c>
      <c r="H4" s="1591"/>
      <c r="I4" s="1591"/>
      <c r="J4" s="1591"/>
      <c r="K4" s="1591"/>
      <c r="L4" s="1592"/>
      <c r="M4" s="1593"/>
      <c r="N4" s="1593"/>
      <c r="O4" s="1593"/>
      <c r="P4" s="1640"/>
      <c r="Q4" s="1639"/>
      <c r="R4" s="576"/>
      <c r="S4" s="1693">
        <f>INDEX(PT_DIFFERENTIATION_NUM_CS,MATCH(C4,PT_DIFFERENTIATION_CS_ID,0))</f>
      </c>
      <c r="T4" s="532" t="s">
        <v>480</v>
      </c>
      <c r="U4" s="523"/>
      <c r="V4" s="2384"/>
      <c r="W4" s="2384"/>
      <c r="X4" s="2384"/>
      <c r="Y4" s="2384"/>
      <c r="Z4" s="2384"/>
      <c r="AA4" s="2384"/>
      <c r="AB4" s="2384"/>
      <c r="AC4" s="2385"/>
      <c r="AD4" s="2383">
        <f>INDEX(PT_DIFFERENTIATION_CS,MATCH(C4,PT_DIFFERENTIATION_CS_ID,0))</f>
      </c>
      <c r="AE4" s="2384"/>
      <c r="AF4" s="2384"/>
      <c r="AG4" s="2384"/>
      <c r="AH4" s="2384"/>
      <c r="AI4" s="2384"/>
      <c r="AJ4" s="2384"/>
      <c r="AK4" s="2384"/>
      <c r="AL4" s="2384"/>
      <c r="AM4" s="2384"/>
      <c r="AN4" s="2384"/>
      <c r="AO4" s="2384"/>
      <c r="AP4" s="2384"/>
      <c r="AQ4" s="2384"/>
      <c r="AR4" s="2384"/>
      <c r="AS4" s="2384"/>
      <c r="AT4" s="2384"/>
      <c r="AU4" s="2384"/>
      <c r="AV4" s="2384"/>
      <c r="AW4" s="2384"/>
      <c r="AX4" s="2384"/>
      <c r="AY4" s="2384"/>
      <c r="AZ4" s="2384"/>
      <c r="BA4" s="2384"/>
      <c r="BB4" s="2385"/>
      <c r="BC4" s="1485" t="s">
        <v>481</v>
      </c>
      <c r="BE4" s="723"/>
      <c r="BF4" s="723" t="str">
        <f>IF(T4="","",T4)</f>
        <v>Наименование централизованной системы холодного водоснабжения</v>
      </c>
      <c r="BG4" s="723"/>
      <c r="BH4" s="723"/>
    </row>
    <row s="13606" customFormat="1" customHeight="1" ht="14.25" hidden="1">
      <c r="A5" s="1571"/>
      <c r="B5" s="1571"/>
      <c r="C5" s="1571"/>
      <c r="D5" s="1571"/>
      <c r="E5" s="2390"/>
      <c r="F5" s="2390"/>
      <c r="G5" s="2390"/>
      <c r="H5" s="2389">
        <v>1</v>
      </c>
      <c r="I5" s="1571"/>
      <c r="J5" s="1571"/>
      <c r="K5" s="1571"/>
      <c r="L5" s="1574"/>
      <c r="M5" s="1543"/>
      <c r="N5" s="1543"/>
      <c r="O5" s="1543"/>
      <c r="P5" s="1725"/>
      <c r="Q5" s="1726"/>
      <c r="R5" s="580"/>
      <c r="S5" s="1266"/>
      <c r="T5" s="1727"/>
      <c r="U5" s="1612"/>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613" t="s">
        <v>403</v>
      </c>
      <c r="BE5" s="723"/>
      <c r="BF5" s="723" t="str">
        <f>IF(T5="","",T5)</f>
        <v/>
      </c>
      <c r="BG5" s="723"/>
      <c r="BH5" s="723"/>
    </row>
    <row s="13606" customFormat="1" customHeight="1" ht="14.25" hidden="1">
      <c r="A6" s="1571"/>
      <c r="B6" s="1571"/>
      <c r="C6" s="1571"/>
      <c r="D6" s="1571"/>
      <c r="E6" s="2390"/>
      <c r="F6" s="2390"/>
      <c r="G6" s="2390"/>
      <c r="H6" s="2390"/>
      <c r="I6" s="2391" t="str">
        <f>S5&amp;".1"</f>
        <v>.1</v>
      </c>
      <c r="J6" s="1571"/>
      <c r="K6" s="1571"/>
      <c r="L6" s="1574" t="s">
        <v>404</v>
      </c>
      <c r="M6" s="733"/>
      <c r="N6" s="733"/>
      <c r="O6" s="733"/>
      <c r="P6" s="2393">
        <v>1</v>
      </c>
      <c r="Q6" s="1690"/>
      <c r="R6" s="579"/>
      <c r="S6" s="1266"/>
      <c r="T6" s="1611"/>
      <c r="U6" s="1612"/>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613"/>
      <c r="BE6" s="723"/>
      <c r="BF6" s="723" t="str">
        <f>IF(T6="","",T6)</f>
        <v/>
      </c>
      <c r="BG6" s="723"/>
      <c r="BH6" s="723"/>
    </row>
    <row s="13606" customFormat="1" customHeight="1" ht="14.25" hidden="1">
      <c r="A7" s="1571"/>
      <c r="B7" s="1571"/>
      <c r="C7" s="1571"/>
      <c r="D7" s="1571"/>
      <c r="E7" s="2390"/>
      <c r="F7" s="2390"/>
      <c r="G7" s="2390"/>
      <c r="H7" s="2390"/>
      <c r="I7" s="2392"/>
      <c r="J7" s="2391" t="str">
        <f>S5&amp;".1"</f>
        <v>.1</v>
      </c>
      <c r="K7" s="1571"/>
      <c r="L7" s="1574"/>
      <c r="M7" s="733"/>
      <c r="N7" s="733"/>
      <c r="O7" s="733"/>
      <c r="P7" s="2393"/>
      <c r="Q7" s="2393">
        <v>1</v>
      </c>
      <c r="R7" s="580"/>
      <c r="S7" s="1266"/>
      <c r="T7" s="1627"/>
      <c r="U7" s="1612"/>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613"/>
      <c r="BE7" s="723"/>
      <c r="BF7" s="723" t="str">
        <f>IF(T7="","",T7)</f>
        <v/>
      </c>
      <c r="BG7" s="723"/>
      <c r="BH7" s="723"/>
    </row>
    <row customHeight="1" ht="11.25" hidden="1">
      <c r="A8" s="1591"/>
      <c r="B8" s="1591"/>
      <c r="C8" s="1591"/>
      <c r="D8" s="1591"/>
      <c r="E8" s="2390"/>
      <c r="F8" s="2390"/>
      <c r="G8" s="2390"/>
      <c r="H8" s="2390"/>
      <c r="I8" s="2392"/>
      <c r="J8" s="2392"/>
      <c r="K8" s="2391">
        <f>S4&amp;".1"</f>
      </c>
      <c r="L8" s="1592"/>
      <c r="P8" s="2393"/>
      <c r="Q8" s="2393"/>
      <c r="R8" s="2469">
        <v>1</v>
      </c>
      <c r="S8" s="2466">
        <f>$K8</f>
      </c>
      <c r="T8" s="2486"/>
      <c r="U8" s="523"/>
      <c r="V8" s="974"/>
      <c r="W8" s="1484"/>
      <c r="X8" s="974"/>
      <c r="Y8" s="1484"/>
      <c r="Z8" s="1962"/>
      <c r="AA8" s="1687" t="s">
        <v>66</v>
      </c>
      <c r="AB8" s="1962"/>
      <c r="AC8" s="1687" t="s">
        <v>66</v>
      </c>
      <c r="AD8" s="2327" t="s">
        <v>66</v>
      </c>
      <c r="AE8" s="2462"/>
      <c r="AF8" s="2340">
        <v>1</v>
      </c>
      <c r="AG8" s="2485"/>
      <c r="AH8" s="2264" t="s">
        <v>66</v>
      </c>
      <c r="AI8" s="2462"/>
      <c r="AJ8" s="2340">
        <v>1</v>
      </c>
      <c r="AK8" s="2484" t="s">
        <v>24</v>
      </c>
      <c r="AL8" s="2264" t="s">
        <v>66</v>
      </c>
      <c r="AM8" s="2312"/>
      <c r="AN8" s="2340">
        <v>1</v>
      </c>
      <c r="AO8" s="2489"/>
      <c r="AP8" s="2490" t="s">
        <v>66</v>
      </c>
      <c r="AQ8" s="534"/>
      <c r="AR8" s="1691">
        <v>1</v>
      </c>
      <c r="AS8" s="1694" t="s">
        <v>24</v>
      </c>
      <c r="AT8" s="974"/>
      <c r="AU8" s="1484"/>
      <c r="AV8" s="974"/>
      <c r="AW8" s="1484"/>
      <c r="AX8" s="1962"/>
      <c r="AY8" s="1687" t="s">
        <v>66</v>
      </c>
      <c r="AZ8" s="1962"/>
      <c r="BA8" s="1687" t="s">
        <v>66</v>
      </c>
      <c r="BB8" s="1576"/>
      <c r="BC8" s="2419" t="s">
        <v>500</v>
      </c>
      <c r="BE8" s="723"/>
      <c r="BF8" s="723" t="str">
        <f>IF(T8="","",T8)</f>
        <v/>
      </c>
      <c r="BG8" s="723"/>
      <c r="BH8" s="723"/>
    </row>
    <row customHeight="1" ht="11.25" hidden="1">
      <c r="A9" s="1591"/>
      <c r="B9" s="1591"/>
      <c r="C9" s="1591"/>
      <c r="D9" s="1591"/>
      <c r="E9" s="2390"/>
      <c r="F9" s="2390"/>
      <c r="G9" s="2390"/>
      <c r="H9" s="2390"/>
      <c r="I9" s="2392"/>
      <c r="J9" s="2392"/>
      <c r="K9" s="2391"/>
      <c r="L9" s="1592"/>
      <c r="P9" s="2393"/>
      <c r="Q9" s="2393"/>
      <c r="R9" s="2469"/>
      <c r="S9" s="2467"/>
      <c r="T9" s="2487"/>
      <c r="U9" s="523"/>
      <c r="V9" s="1621"/>
      <c r="W9" s="1724"/>
      <c r="X9" s="1621"/>
      <c r="Y9" s="1724"/>
      <c r="Z9" s="1621"/>
      <c r="AA9" s="1621"/>
      <c r="AB9" s="1621"/>
      <c r="AC9" s="1621"/>
      <c r="AD9" s="2328"/>
      <c r="AE9" s="2462"/>
      <c r="AF9" s="2340"/>
      <c r="AG9" s="2485"/>
      <c r="AH9" s="2264"/>
      <c r="AI9" s="2462"/>
      <c r="AJ9" s="2340"/>
      <c r="AK9" s="2484"/>
      <c r="AL9" s="2264"/>
      <c r="AM9" s="2320"/>
      <c r="AN9" s="2340"/>
      <c r="AO9" s="2489"/>
      <c r="AP9" s="2491"/>
      <c r="AQ9" s="539"/>
      <c r="AR9" s="639"/>
      <c r="AS9" s="639" t="s">
        <v>501</v>
      </c>
      <c r="AT9" s="1621"/>
      <c r="AU9" s="1724"/>
      <c r="AV9" s="1621"/>
      <c r="AW9" s="1724"/>
      <c r="AX9" s="1621"/>
      <c r="AY9" s="1621"/>
      <c r="AZ9" s="1621"/>
      <c r="BA9" s="1621"/>
      <c r="BB9" s="1625"/>
      <c r="BC9" s="2420"/>
      <c r="BE9" s="723"/>
      <c r="BF9" s="723"/>
      <c r="BG9" s="723"/>
      <c r="BH9" s="723"/>
    </row>
    <row customHeight="1" ht="11.25" hidden="1">
      <c r="A10" s="1591"/>
      <c r="B10" s="1591"/>
      <c r="C10" s="1591"/>
      <c r="D10" s="1591"/>
      <c r="E10" s="2390"/>
      <c r="F10" s="2390"/>
      <c r="G10" s="2390"/>
      <c r="H10" s="2390"/>
      <c r="I10" s="2392"/>
      <c r="J10" s="2392"/>
      <c r="K10" s="2391"/>
      <c r="L10" s="1592"/>
      <c r="P10" s="2393"/>
      <c r="Q10" s="2393"/>
      <c r="R10" s="2469"/>
      <c r="S10" s="2467"/>
      <c r="T10" s="2487"/>
      <c r="U10" s="523"/>
      <c r="V10" s="1621"/>
      <c r="W10" s="1724"/>
      <c r="X10" s="1621"/>
      <c r="Y10" s="1724"/>
      <c r="Z10" s="1621"/>
      <c r="AA10" s="1621"/>
      <c r="AB10" s="1621"/>
      <c r="AC10" s="1621"/>
      <c r="AD10" s="2328"/>
      <c r="AE10" s="2462"/>
      <c r="AF10" s="2340"/>
      <c r="AG10" s="2485"/>
      <c r="AH10" s="2264"/>
      <c r="AI10" s="2462"/>
      <c r="AJ10" s="2340"/>
      <c r="AK10" s="2484"/>
      <c r="AL10" s="2264"/>
      <c r="AM10" s="539"/>
      <c r="AN10" s="1728"/>
      <c r="AO10" s="1728" t="s">
        <v>502</v>
      </c>
      <c r="AP10" s="639"/>
      <c r="AQ10" s="639"/>
      <c r="AR10" s="639"/>
      <c r="AS10" s="1621"/>
      <c r="AT10" s="1621"/>
      <c r="AU10" s="1724"/>
      <c r="AV10" s="1621"/>
      <c r="AW10" s="1724"/>
      <c r="AX10" s="1621"/>
      <c r="AY10" s="1621"/>
      <c r="AZ10" s="1621"/>
      <c r="BA10" s="1621"/>
      <c r="BB10" s="1625"/>
      <c r="BC10" s="2420"/>
      <c r="BE10" s="723"/>
      <c r="BF10" s="723"/>
      <c r="BG10" s="723"/>
      <c r="BH10" s="723"/>
    </row>
    <row customHeight="1" ht="11.25" hidden="1">
      <c r="A11" s="1591"/>
      <c r="B11" s="1591"/>
      <c r="C11" s="1591"/>
      <c r="D11" s="1591"/>
      <c r="E11" s="2390"/>
      <c r="F11" s="2390"/>
      <c r="G11" s="2390"/>
      <c r="H11" s="2390"/>
      <c r="I11" s="2392"/>
      <c r="J11" s="2392"/>
      <c r="K11" s="2391"/>
      <c r="L11" s="1592"/>
      <c r="P11" s="2393"/>
      <c r="Q11" s="2393"/>
      <c r="R11" s="2469"/>
      <c r="S11" s="2467"/>
      <c r="T11" s="2487"/>
      <c r="U11" s="523"/>
      <c r="V11" s="1621"/>
      <c r="W11" s="1724"/>
      <c r="X11" s="1621"/>
      <c r="Y11" s="1724"/>
      <c r="Z11" s="1621"/>
      <c r="AA11" s="1621"/>
      <c r="AB11" s="1621"/>
      <c r="AC11" s="1621"/>
      <c r="AD11" s="2328"/>
      <c r="AE11" s="2462"/>
      <c r="AF11" s="2340"/>
      <c r="AG11" s="2485"/>
      <c r="AH11" s="2264"/>
      <c r="AI11" s="517"/>
      <c r="AJ11" s="638"/>
      <c r="AK11" s="536" t="s">
        <v>503</v>
      </c>
      <c r="AL11" s="1621"/>
      <c r="AM11" s="1621"/>
      <c r="AN11" s="1621"/>
      <c r="AO11" s="1621"/>
      <c r="AP11" s="1621"/>
      <c r="AQ11" s="1621"/>
      <c r="AR11" s="1621"/>
      <c r="AS11" s="1621"/>
      <c r="AT11" s="1621"/>
      <c r="AU11" s="1724"/>
      <c r="AV11" s="1621"/>
      <c r="AW11" s="1724"/>
      <c r="AX11" s="1621"/>
      <c r="AY11" s="1621"/>
      <c r="AZ11" s="1621"/>
      <c r="BA11" s="1621"/>
      <c r="BB11" s="1625"/>
      <c r="BC11" s="2420"/>
      <c r="BE11" s="723"/>
      <c r="BF11" s="723"/>
      <c r="BG11" s="723"/>
      <c r="BH11" s="723"/>
    </row>
    <row customHeight="1" ht="11.25" hidden="1">
      <c r="A12" s="1591"/>
      <c r="B12" s="1591"/>
      <c r="C12" s="1591"/>
      <c r="D12" s="1591"/>
      <c r="E12" s="2390"/>
      <c r="F12" s="2390"/>
      <c r="G12" s="2390"/>
      <c r="H12" s="2390"/>
      <c r="I12" s="2392"/>
      <c r="J12" s="2392"/>
      <c r="K12" s="2391"/>
      <c r="L12" s="1592"/>
      <c r="P12" s="2393"/>
      <c r="Q12" s="2393"/>
      <c r="R12" s="2469"/>
      <c r="S12" s="2468"/>
      <c r="T12" s="2488"/>
      <c r="U12" s="523"/>
      <c r="V12" s="1621"/>
      <c r="W12" s="1622" t="str">
        <f>Z8&amp;"-"&amp;AB8</f>
        <v>-</v>
      </c>
      <c r="X12" s="1621"/>
      <c r="Y12" s="1622" t="str">
        <f>AB8&amp;"-"&amp;AD8</f>
        <v>-да</v>
      </c>
      <c r="Z12" s="1621"/>
      <c r="AA12" s="1621"/>
      <c r="AB12" s="1621"/>
      <c r="AC12" s="1621"/>
      <c r="AD12" s="2269"/>
      <c r="AE12" s="535"/>
      <c r="AF12" s="537"/>
      <c r="AG12" s="639" t="s">
        <v>504</v>
      </c>
      <c r="AH12" s="1621"/>
      <c r="AI12" s="1621"/>
      <c r="AJ12" s="1621"/>
      <c r="AK12" s="1621"/>
      <c r="AL12" s="1621"/>
      <c r="AM12" s="1621"/>
      <c r="AN12" s="1621"/>
      <c r="AO12" s="1621"/>
      <c r="AP12" s="1621"/>
      <c r="AQ12" s="1621"/>
      <c r="AR12" s="1621"/>
      <c r="AS12" s="1621"/>
      <c r="AT12" s="1621"/>
      <c r="AU12" s="1622" t="str">
        <f>AX8&amp;"-"&amp;AZ8</f>
        <v>-</v>
      </c>
      <c r="AV12" s="1621"/>
      <c r="AW12" s="1622" t="str">
        <f>AZ8&amp;"-"&amp;BB8</f>
        <v>-</v>
      </c>
      <c r="AX12" s="1621"/>
      <c r="AY12" s="1621"/>
      <c r="AZ12" s="1621"/>
      <c r="BA12" s="1621"/>
      <c r="BB12" s="1624" t="str">
        <f>BE8&amp;"-"&amp;BG8</f>
        <v>-</v>
      </c>
      <c r="BC12" s="2420"/>
      <c r="BE12" s="723"/>
      <c r="BF12" s="723" t="str">
        <f>IF(T12="","",T12)</f>
        <v/>
      </c>
      <c r="BG12" s="723"/>
      <c r="BH12" s="723"/>
    </row>
    <row customHeight="1" ht="11.25" hidden="1">
      <c r="A13" s="1591"/>
      <c r="B13" s="1591"/>
      <c r="C13" s="1591"/>
      <c r="D13" s="1591"/>
      <c r="E13" s="2390"/>
      <c r="F13" s="2390"/>
      <c r="G13" s="2390"/>
      <c r="H13" s="2390"/>
      <c r="I13" s="2392"/>
      <c r="J13" s="2391"/>
      <c r="K13" s="1591"/>
      <c r="L13" s="1592"/>
      <c r="P13" s="2393"/>
      <c r="Q13" s="2393"/>
      <c r="R13" s="579"/>
      <c r="S13" s="1506"/>
      <c r="T13" s="510" t="s">
        <v>466</v>
      </c>
      <c r="U13" s="590"/>
      <c r="V13" s="590"/>
      <c r="W13" s="590"/>
      <c r="X13" s="590"/>
      <c r="Y13" s="590"/>
      <c r="Z13" s="590"/>
      <c r="AA13" s="590"/>
      <c r="AB13" s="590"/>
      <c r="AC13" s="590"/>
      <c r="AD13" s="1733"/>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1"/>
      <c r="BE13" s="723"/>
      <c r="BF13" s="723" t="str">
        <f>IF(T13="","",T13)</f>
        <v>Добавить строку</v>
      </c>
      <c r="BG13" s="723"/>
      <c r="BH13" s="723"/>
    </row>
    <row s="13606" customFormat="1" customHeight="1" ht="14.25" hidden="1">
      <c r="A14" s="1571"/>
      <c r="B14" s="1571"/>
      <c r="C14" s="1571"/>
      <c r="D14" s="1571"/>
      <c r="E14" s="2390"/>
      <c r="F14" s="2390"/>
      <c r="G14" s="2390"/>
      <c r="H14" s="2390"/>
      <c r="I14" s="2391"/>
      <c r="J14" s="1571"/>
      <c r="K14" s="1571"/>
      <c r="L14" s="1574"/>
      <c r="M14" s="733"/>
      <c r="N14" s="733"/>
      <c r="O14" s="733"/>
      <c r="P14" s="2393"/>
      <c r="Q14" s="1690"/>
      <c r="R14" s="57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6"/>
      <c r="AV14" s="1616"/>
      <c r="AW14" s="1616"/>
      <c r="AX14" s="1616"/>
      <c r="AY14" s="1616"/>
      <c r="AZ14" s="1616"/>
      <c r="BA14" s="1616"/>
      <c r="BB14" s="1616"/>
      <c r="BC14" s="1617"/>
      <c r="BE14" s="723"/>
      <c r="BF14" s="723" t="str">
        <f>IF(T14="","",T14)</f>
        <v/>
      </c>
      <c r="BG14" s="723"/>
      <c r="BH14" s="723"/>
    </row>
    <row s="13606" customFormat="1" customHeight="1" ht="14.25" hidden="1">
      <c r="A15" s="1571"/>
      <c r="B15" s="1571"/>
      <c r="C15" s="1571"/>
      <c r="D15" s="1571"/>
      <c r="E15" s="2390"/>
      <c r="F15" s="2390"/>
      <c r="G15" s="2390"/>
      <c r="H15" s="2389"/>
      <c r="I15" s="1571"/>
      <c r="J15" s="1571"/>
      <c r="K15" s="1571"/>
      <c r="L15" s="1574"/>
      <c r="M15" s="1543"/>
      <c r="N15" s="1543"/>
      <c r="O15" s="741"/>
      <c r="P15" s="603"/>
      <c r="Q15" s="1572"/>
      <c r="R15" s="1629"/>
      <c r="S15" s="1614"/>
      <c r="T15" s="1615"/>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V15" s="1616"/>
      <c r="AW15" s="1616"/>
      <c r="AX15" s="1616"/>
      <c r="AY15" s="1616"/>
      <c r="AZ15" s="1616"/>
      <c r="BA15" s="1616"/>
      <c r="BB15" s="1616"/>
      <c r="BC15" s="1617"/>
      <c r="BE15" s="723"/>
      <c r="BF15" s="723" t="str">
        <f>IF(T15="","",T15)</f>
        <v/>
      </c>
      <c r="BG15" s="723"/>
      <c r="BH15" s="723"/>
    </row>
    <row s="13514" customFormat="1" customHeight="1" ht="14.25" hidden="1">
      <c r="A16" s="1571"/>
      <c r="B16" s="1571"/>
      <c r="C16" s="1571"/>
      <c r="D16" s="1542"/>
      <c r="E16" s="2390"/>
      <c r="F16" s="2390"/>
      <c r="G16" s="2389"/>
      <c r="H16" s="1542"/>
      <c r="I16" s="1542"/>
      <c r="J16" s="1542"/>
      <c r="K16" s="1542"/>
      <c r="L16" s="1692"/>
      <c r="M16" s="1543"/>
      <c r="N16" s="1543"/>
      <c r="P16" s="1544"/>
      <c r="Q16" s="1545"/>
      <c r="R16" s="1544"/>
      <c r="S16" s="1550"/>
      <c r="T16" s="1553"/>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V16" s="1552"/>
      <c r="AW16" s="1552"/>
      <c r="AX16" s="1552"/>
      <c r="AY16" s="1552"/>
      <c r="AZ16" s="1552"/>
      <c r="BA16" s="1552"/>
      <c r="BB16" s="1552"/>
      <c r="BC16" s="1552"/>
      <c r="BE16" s="1012"/>
      <c r="BF16" s="1012" t="str">
        <f>IF(T16="","",T16)</f>
        <v/>
      </c>
      <c r="BG16" s="1012"/>
      <c r="BH16" s="1012"/>
    </row>
    <row s="13514" customFormat="1" customHeight="1" ht="14.25" hidden="1">
      <c r="A17" s="1571"/>
      <c r="B17" s="1571"/>
      <c r="C17" s="1542"/>
      <c r="D17" s="1542"/>
      <c r="E17" s="2390"/>
      <c r="F17" s="2389"/>
      <c r="G17" s="1542"/>
      <c r="H17" s="1542"/>
      <c r="I17" s="1542"/>
      <c r="J17" s="1542"/>
      <c r="K17" s="1542"/>
      <c r="L17" s="1692"/>
      <c r="M17" s="1549"/>
      <c r="N17" s="1549"/>
      <c r="P17" s="1544"/>
      <c r="Q17" s="1545"/>
      <c r="R17" s="1544"/>
      <c r="S17" s="1550"/>
      <c r="T17" s="1553" t="s">
        <v>252</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V17" s="1552"/>
      <c r="AW17" s="1552"/>
      <c r="AX17" s="1552"/>
      <c r="AY17" s="1552"/>
      <c r="AZ17" s="1552"/>
      <c r="BA17" s="1552"/>
      <c r="BB17" s="1552"/>
      <c r="BC17" s="1552"/>
      <c r="BE17" s="1012"/>
      <c r="BF17" s="1012" t="str">
        <f>IF(T17="","",T17)</f>
        <v>Добавить централизованную систему для дифференциации</v>
      </c>
      <c r="BG17" s="1012"/>
      <c r="BH17" s="1012"/>
    </row>
    <row s="13606" customFormat="1" customHeight="1" ht="14.25" hidden="1">
      <c r="A18" s="1571"/>
      <c r="B18" s="1571"/>
      <c r="C18" s="1571"/>
      <c r="D18" s="1571"/>
      <c r="E18" s="2389"/>
      <c r="F18" s="1571"/>
      <c r="G18" s="1571"/>
      <c r="H18" s="1571"/>
      <c r="I18" s="1571"/>
      <c r="J18" s="1571"/>
      <c r="K18" s="1571"/>
      <c r="L18" s="1574"/>
      <c r="M18" s="1549"/>
      <c r="N18" s="1549"/>
      <c r="O18" s="741"/>
      <c r="P18" s="603"/>
      <c r="Q18" s="1572"/>
      <c r="R18" s="603"/>
      <c r="S18" s="1550"/>
      <c r="T18" s="1553" t="s">
        <v>253</v>
      </c>
      <c r="U18" s="1552"/>
      <c r="V18" s="1552"/>
      <c r="W18" s="1552"/>
      <c r="X18" s="1552"/>
      <c r="Y18" s="1552"/>
      <c r="Z18" s="1552"/>
      <c r="AA18" s="1552"/>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552"/>
      <c r="AX18" s="1552"/>
      <c r="AY18" s="1552"/>
      <c r="AZ18" s="1552"/>
      <c r="BA18" s="1552"/>
      <c r="BB18" s="1552"/>
      <c r="BC18" s="1552"/>
      <c r="BE18" s="723"/>
      <c r="BF18" s="723" t="str">
        <f>IF(T18="","",T18)</f>
        <v>Добавить территорию для дифференциации</v>
      </c>
      <c r="BG18" s="723"/>
      <c r="BH18" s="723"/>
    </row>
    <row customHeight="1" ht="14.25" hidden="1">
      <c r="AC19" s="550"/>
      <c r="BA19" s="550"/>
    </row>
    <row customHeight="1" ht="14.25" hidden="1">
      <c r="AD20" s="1552" t="s">
        <v>56</v>
      </c>
      <c r="AE20" s="1729"/>
      <c r="AF20" s="771">
        <v>1</v>
      </c>
      <c r="AG20" s="1730"/>
      <c r="AH20" s="1552" t="s">
        <v>56</v>
      </c>
      <c r="AI20" s="1729"/>
      <c r="AJ20" s="771">
        <v>1</v>
      </c>
      <c r="AK20" s="1730"/>
      <c r="AL20" s="1552" t="s">
        <v>56</v>
      </c>
      <c r="AM20" s="1731"/>
      <c r="AN20" s="771">
        <v>1</v>
      </c>
      <c r="AO20" s="1732"/>
      <c r="AP20" s="1552" t="s">
        <v>56</v>
      </c>
      <c r="AQ20" s="1731"/>
      <c r="AR20" s="771">
        <v>1</v>
      </c>
      <c r="AS20" s="1732"/>
      <c r="AT20" s="548"/>
      <c r="AU20" s="607"/>
      <c r="AV20" s="548"/>
      <c r="AW20" s="607"/>
      <c r="AX20" s="1964"/>
      <c r="AY20" s="1688" t="s">
        <v>66</v>
      </c>
      <c r="AZ20" s="1964"/>
      <c r="BA20" s="1688" t="s">
        <v>66</v>
      </c>
    </row>
    <row customHeight="1" ht="14.25" hidden="1">
      <c r="BD21" s="719"/>
      <c r="BE21" s="719"/>
      <c r="BF21" s="719"/>
      <c r="BG21" s="719"/>
      <c r="BH21" s="719"/>
    </row>
    <row customHeight="1" ht="14.25" hidden="1">
      <c r="O22" s="1595" t="s">
        <v>416</v>
      </c>
      <c r="Z22" s="1573"/>
      <c r="AB22" s="1573"/>
      <c r="AC22" s="550"/>
      <c r="AX22" s="1573"/>
      <c r="AZ22" s="1573"/>
      <c r="BA22" s="550"/>
      <c r="BD22" s="719"/>
      <c r="BE22" s="719"/>
      <c r="BF22" s="719"/>
      <c r="BG22" s="719"/>
      <c r="BH22" s="719"/>
    </row>
    <row customHeight="1" ht="14.25" hidden="1">
      <c r="AC23" s="550"/>
      <c r="BA23" s="550"/>
      <c r="BD23" s="719"/>
      <c r="BE23" s="719"/>
      <c r="BF23" s="719"/>
      <c r="BG23" s="719"/>
      <c r="BH23" s="719"/>
    </row>
    <row s="13762" customFormat="1" customHeight="1" ht="14.25" hidden="1">
      <c r="M24" s="1736"/>
      <c r="N24" s="1736"/>
      <c r="O24" s="1737" t="s">
        <v>417</v>
      </c>
      <c r="P24" s="1736"/>
      <c r="Q24" s="1738"/>
      <c r="R24" s="1738"/>
      <c r="AA24" s="1735" t="s">
        <v>419</v>
      </c>
      <c r="AC24" s="1735" t="s">
        <v>420</v>
      </c>
      <c r="AD24" s="1735" t="s">
        <v>467</v>
      </c>
      <c r="AH24" s="1735" t="s">
        <v>467</v>
      </c>
      <c r="AK24" s="1735" t="s">
        <v>505</v>
      </c>
      <c r="AL24" s="1735" t="s">
        <v>467</v>
      </c>
      <c r="AP24" s="1735" t="s">
        <v>467</v>
      </c>
      <c r="AY24" s="1735" t="s">
        <v>419</v>
      </c>
      <c r="BA24" s="1735" t="s">
        <v>420</v>
      </c>
      <c r="BD24" s="1739"/>
      <c r="BE24" s="1739"/>
      <c r="BF24" s="1739"/>
      <c r="BG24" s="1739"/>
      <c r="BH24" s="1739"/>
    </row>
    <row customHeight="1" ht="14.25" hidden="1">
      <c r="O25" s="1592"/>
      <c r="BD25" s="719"/>
      <c r="BE25" s="719"/>
      <c r="BF25" s="719"/>
      <c r="BG25" s="719"/>
      <c r="BH25" s="719"/>
    </row>
    <row customHeight="1" ht="14.25" hidden="1">
      <c r="O26" s="1592"/>
      <c r="BD26" s="719"/>
      <c r="BE26" s="719"/>
      <c r="BF26" s="719"/>
      <c r="BG26" s="719"/>
      <c r="BH26" s="719"/>
    </row>
    <row customHeight="1" ht="14.25">
      <c r="Q27" s="514"/>
      <c r="R27" s="599"/>
      <c r="S27" s="1503"/>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2422"/>
      <c r="AT28" s="2422"/>
      <c r="AU28" s="2422"/>
      <c r="AV28" s="2422"/>
      <c r="AW28" s="2422"/>
      <c r="AX28" s="2422"/>
      <c r="AY28" s="2422"/>
      <c r="AZ28" s="2422"/>
      <c r="BA28" s="1470"/>
    </row>
    <row customHeight="1" ht="14.25">
      <c r="Q29" s="514"/>
      <c r="R29" s="599"/>
      <c r="S29" s="2423" t="str">
        <f>IF(org=0,"Не определено",org)</f>
        <v>ООО "Новая Энергетика"</v>
      </c>
      <c r="T29" s="2423"/>
      <c r="U29" s="2423"/>
      <c r="V29" s="2423"/>
      <c r="W29" s="2423"/>
      <c r="X29" s="2423"/>
      <c r="Y29" s="2423"/>
      <c r="Z29" s="2423"/>
      <c r="AA29" s="2423"/>
      <c r="AB29" s="2423"/>
      <c r="AC29" s="2423"/>
      <c r="AD29" s="2423"/>
      <c r="AE29" s="2423"/>
      <c r="AF29" s="2423"/>
      <c r="AG29" s="2423"/>
      <c r="AH29" s="2423"/>
      <c r="AI29" s="2423"/>
      <c r="AJ29" s="2423"/>
      <c r="AK29" s="2423"/>
      <c r="AL29" s="2423"/>
      <c r="AM29" s="2423"/>
      <c r="AN29" s="2423"/>
      <c r="AO29" s="2423"/>
      <c r="AP29" s="2423"/>
      <c r="AQ29" s="2423"/>
      <c r="AR29" s="2423"/>
      <c r="AS29" s="2423"/>
      <c r="AT29" s="2423"/>
      <c r="AU29" s="2423"/>
      <c r="AV29" s="2423"/>
      <c r="AW29" s="2423"/>
      <c r="AX29" s="2423"/>
      <c r="AY29" s="2423"/>
      <c r="AZ29" s="2423"/>
      <c r="BA29" s="1470"/>
    </row>
    <row customHeight="1" ht="14.25">
      <c r="Q30" s="514"/>
      <c r="R30" s="599"/>
      <c r="S30" s="1503"/>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13547" customFormat="1" customHeight="1" ht="25.5">
      <c r="A31" s="1596"/>
      <c r="B31" s="1596"/>
      <c r="C31" s="1596"/>
      <c r="D31" s="1596"/>
      <c r="E31" s="1596"/>
      <c r="F31" s="1596"/>
      <c r="G31" s="1596"/>
      <c r="H31" s="1596"/>
      <c r="I31" s="1596"/>
      <c r="J31" s="1596"/>
      <c r="K31" s="1596"/>
      <c r="L31" s="1597"/>
      <c r="M31" s="1596"/>
      <c r="N31" s="1596"/>
      <c r="O31" s="1596"/>
      <c r="P31" s="1596"/>
      <c r="Q31" s="1596"/>
      <c r="S31" s="2380" t="s">
        <v>38</v>
      </c>
      <c r="T31" s="2380"/>
      <c r="U31" s="1600"/>
      <c r="V31" s="2382" t="str">
        <f>IF(TITLE_NAME_OR_PR_CHANGE="",IF(TITLE_NAME_OR_PR="","",TITLE_NAME_OR_PR),TITLE_NAME_OR_PR_CHANGE)</f>
        <v>Агенство по тарифам Приморского края</v>
      </c>
      <c r="W31" s="2382"/>
      <c r="X31" s="2382"/>
      <c r="Y31" s="2382"/>
      <c r="Z31" s="2382"/>
      <c r="AA31" s="2382"/>
      <c r="AB31" s="2382"/>
      <c r="AC31" s="549"/>
      <c r="AD31" s="2382" t="str">
        <f>IF(TITLE_NAME_OR_PR_CHANGE="",IF(TITLE_NAME_OR_PR="","",TITLE_NAME_OR_PR),TITLE_NAME_OR_PR_CHANGE)</f>
        <v>Агенство по тарифам Приморского края</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549"/>
      <c r="BB31" s="549"/>
      <c r="BC31" s="503"/>
      <c r="BD31" s="591"/>
      <c r="BE31" s="591"/>
      <c r="BF31" s="591"/>
      <c r="BG31" s="591"/>
      <c r="BH31" s="591"/>
    </row>
    <row s="13547" customFormat="1" customHeight="1" ht="18.75">
      <c r="A32" s="1596"/>
      <c r="B32" s="1596"/>
      <c r="C32" s="1596"/>
      <c r="D32" s="1596"/>
      <c r="E32" s="1596"/>
      <c r="F32" s="1596"/>
      <c r="G32" s="1596"/>
      <c r="H32" s="1596"/>
      <c r="I32" s="1596"/>
      <c r="J32" s="1596"/>
      <c r="K32" s="1596"/>
      <c r="L32" s="1597"/>
      <c r="M32" s="1596"/>
      <c r="N32" s="1596"/>
      <c r="O32" s="1596"/>
      <c r="P32" s="1596"/>
      <c r="Q32" s="1596"/>
      <c r="S32" s="2380" t="s">
        <v>422</v>
      </c>
      <c r="T32" s="2380"/>
      <c r="U32" s="1600"/>
      <c r="V32" s="2381" t="str">
        <f>IF(TITLE_DATE_PR_CHANGE="",IF(TITLE_DATE_PR="","",TITLE_DATE_PR),TITLE_DATE_PR_CHANGE)</f>
        <v>45281.66994212963</v>
      </c>
      <c r="W32" s="2381"/>
      <c r="X32" s="2381"/>
      <c r="Y32" s="2381"/>
      <c r="Z32" s="2381"/>
      <c r="AA32" s="2381"/>
      <c r="AB32" s="2381"/>
      <c r="AC32" s="549"/>
      <c r="AD32" s="2381" t="str">
        <f>IF(TITLE_DATE_PR_CHANGE="",IF(TITLE_DATE_PR="","",TITLE_DATE_PR),TITLE_DATE_PR_CHANGE)</f>
        <v>45281.66994212963</v>
      </c>
      <c r="AE32" s="2381"/>
      <c r="AF32" s="2381"/>
      <c r="AG32" s="2381"/>
      <c r="AH32" s="2381"/>
      <c r="AI32" s="2381"/>
      <c r="AJ32" s="2381"/>
      <c r="AK32" s="2381"/>
      <c r="AL32" s="2381"/>
      <c r="AM32" s="2381"/>
      <c r="AN32" s="2381"/>
      <c r="AO32" s="2381"/>
      <c r="AP32" s="2381"/>
      <c r="AQ32" s="2381"/>
      <c r="AR32" s="2381"/>
      <c r="AS32" s="2381"/>
      <c r="AT32" s="2381"/>
      <c r="AU32" s="2381"/>
      <c r="AV32" s="2381"/>
      <c r="AW32" s="2381"/>
      <c r="AX32" s="2381"/>
      <c r="AY32" s="2381"/>
      <c r="AZ32" s="2381"/>
      <c r="BA32" s="549"/>
      <c r="BB32" s="549"/>
      <c r="BC32" s="503"/>
      <c r="BD32" s="591"/>
      <c r="BE32" s="591"/>
      <c r="BF32" s="591"/>
      <c r="BG32" s="591"/>
      <c r="BH32" s="591"/>
    </row>
    <row s="13547" customFormat="1" customHeight="1" ht="18.75">
      <c r="A33" s="1596"/>
      <c r="B33" s="1596"/>
      <c r="C33" s="1596"/>
      <c r="D33" s="1596"/>
      <c r="E33" s="1596"/>
      <c r="F33" s="1596"/>
      <c r="G33" s="1596"/>
      <c r="H33" s="1596"/>
      <c r="I33" s="1596"/>
      <c r="J33" s="1596"/>
      <c r="K33" s="1596"/>
      <c r="L33" s="1597"/>
      <c r="M33" s="1596"/>
      <c r="N33" s="1596"/>
      <c r="O33" s="1596"/>
      <c r="P33" s="1596"/>
      <c r="Q33" s="1596"/>
      <c r="S33" s="2380" t="s">
        <v>423</v>
      </c>
      <c r="T33" s="2380"/>
      <c r="U33" s="1600"/>
      <c r="V33" s="2382" t="str">
        <f>IF(TITLE_NUMBER_PR_CHANGE="",IF(TITLE_NUMBER_PR="","",TITLE_NUMBER_PR),TITLE_NUMBER_PR_CHANGE)</f>
        <v>72/1</v>
      </c>
      <c r="W33" s="2382"/>
      <c r="X33" s="2382"/>
      <c r="Y33" s="2382"/>
      <c r="Z33" s="2382"/>
      <c r="AA33" s="2382"/>
      <c r="AB33" s="2382"/>
      <c r="AC33" s="549"/>
      <c r="AD33" s="2382" t="str">
        <f>IF(TITLE_NUMBER_PR_CHANGE="",IF(TITLE_NUMBER_PR="","",TITLE_NUMBER_PR),TITLE_NUMBER_PR_CHANGE)</f>
        <v>72/1</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549"/>
      <c r="BB33" s="549"/>
      <c r="BC33" s="503"/>
      <c r="BD33" s="591"/>
      <c r="BE33" s="591"/>
      <c r="BF33" s="591"/>
      <c r="BG33" s="591"/>
      <c r="BH33" s="591"/>
    </row>
    <row s="13547" customFormat="1" customHeight="1" ht="18.75">
      <c r="A34" s="1596"/>
      <c r="B34" s="1596"/>
      <c r="C34" s="1596"/>
      <c r="D34" s="1596"/>
      <c r="E34" s="1596"/>
      <c r="F34" s="1596"/>
      <c r="G34" s="1596"/>
      <c r="H34" s="1596"/>
      <c r="I34" s="1596"/>
      <c r="J34" s="1596"/>
      <c r="K34" s="1596"/>
      <c r="L34" s="1597"/>
      <c r="M34" s="1596"/>
      <c r="N34" s="1596"/>
      <c r="O34" s="1596"/>
      <c r="P34" s="1596"/>
      <c r="Q34" s="1596"/>
      <c r="S34" s="2380" t="s">
        <v>40</v>
      </c>
      <c r="T34" s="2380"/>
      <c r="U34" s="1600"/>
      <c r="V34" s="2382" t="str">
        <f>IF(TITLE_IST_PUB_CHANGE="",IF(TITLE_IST_PUB="","",TITLE_IST_PUB),TITLE_IST_PUB_CHANGE)</f>
        <v>http://pravo.gov.ru Номер опубликования: 2501202312270032 Дата опубликования: 27.12.2023</v>
      </c>
      <c r="W34" s="2382"/>
      <c r="X34" s="2382"/>
      <c r="Y34" s="2382"/>
      <c r="Z34" s="2382"/>
      <c r="AA34" s="2382"/>
      <c r="AB34" s="2382"/>
      <c r="AC34" s="549"/>
      <c r="AD34" s="2382" t="str">
        <f>IF(TITLE_IST_PUB_CHANGE="",IF(TITLE_IST_PUB="","",TITLE_IST_PUB),TITLE_IST_PUB_CHANGE)</f>
        <v>http://pravo.gov.ru Номер опубликования: 2501202312270032 Дата опубликования: 27.12.2023</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549"/>
      <c r="BB34" s="549"/>
      <c r="BC34" s="503"/>
      <c r="BD34" s="591"/>
      <c r="BE34" s="591"/>
      <c r="BF34" s="591"/>
      <c r="BG34" s="591"/>
      <c r="BH34" s="591"/>
    </row>
    <row customHeight="1" ht="14.25" hidden="1">
      <c r="Q35" s="514"/>
      <c r="R35" s="599"/>
      <c r="S35" s="1503"/>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13547" customFormat="1" customHeight="1" ht="18.75" hidden="1">
      <c r="A36" s="1596"/>
      <c r="B36" s="1596"/>
      <c r="C36" s="1596"/>
      <c r="D36" s="1596"/>
      <c r="E36" s="1596"/>
      <c r="F36" s="1596"/>
      <c r="G36" s="1596"/>
      <c r="H36" s="1596"/>
      <c r="I36" s="1596"/>
      <c r="J36" s="1596"/>
      <c r="K36" s="1596"/>
      <c r="L36" s="1597"/>
      <c r="M36" s="1596"/>
      <c r="N36" s="1596"/>
      <c r="O36" s="1596"/>
      <c r="P36" s="1596"/>
      <c r="Q36" s="1596"/>
      <c r="S36" s="2380" t="s">
        <v>422</v>
      </c>
      <c r="T36" s="2380"/>
      <c r="U36" s="1600"/>
      <c r="V36" s="2381" t="str">
        <f>IF(TITLE_DATE_PR_CHANGE="",IF(TITLE_DATE_PR="","",TITLE_DATE_PR),TITLE_DATE_PR_CHANGE)</f>
        <v>45281.66994212963</v>
      </c>
      <c r="W36" s="2381"/>
      <c r="X36" s="2381"/>
      <c r="Y36" s="2381"/>
      <c r="Z36" s="2381"/>
      <c r="AA36" s="2381"/>
      <c r="AB36" s="2381"/>
      <c r="AC36" s="549"/>
      <c r="AD36" s="2381" t="str">
        <f>IF(TITLE_DATE_PR_CHANGE="",IF(TITLE_DATE_PR="","",TITLE_DATE_PR),TITLE_DATE_PR_CHANGE)</f>
        <v>45281.66994212963</v>
      </c>
      <c r="AE36" s="2381"/>
      <c r="AF36" s="2381"/>
      <c r="AG36" s="2381"/>
      <c r="AH36" s="2381"/>
      <c r="AI36" s="2381"/>
      <c r="AJ36" s="2381"/>
      <c r="AK36" s="2381"/>
      <c r="AL36" s="2381"/>
      <c r="AM36" s="2381"/>
      <c r="AN36" s="2381"/>
      <c r="AO36" s="2381"/>
      <c r="AP36" s="2381"/>
      <c r="AQ36" s="2381"/>
      <c r="AR36" s="2381"/>
      <c r="AS36" s="2381"/>
      <c r="AT36" s="2381"/>
      <c r="AU36" s="2381"/>
      <c r="AV36" s="2381"/>
      <c r="AW36" s="2381"/>
      <c r="AX36" s="2381"/>
      <c r="AY36" s="2381"/>
      <c r="AZ36" s="2381"/>
      <c r="BA36" s="549"/>
      <c r="BB36" s="549"/>
      <c r="BC36" s="503"/>
      <c r="BD36" s="591"/>
      <c r="BE36" s="591"/>
      <c r="BF36" s="591"/>
      <c r="BG36" s="591"/>
      <c r="BH36" s="591"/>
    </row>
    <row s="13547" customFormat="1" customHeight="1" ht="18.75" hidden="1">
      <c r="A37" s="1596"/>
      <c r="B37" s="1596"/>
      <c r="C37" s="1596"/>
      <c r="D37" s="1596"/>
      <c r="E37" s="1596"/>
      <c r="F37" s="1596"/>
      <c r="G37" s="1596"/>
      <c r="H37" s="1596"/>
      <c r="I37" s="1596"/>
      <c r="J37" s="1596"/>
      <c r="K37" s="1596"/>
      <c r="L37" s="1597"/>
      <c r="M37" s="1596"/>
      <c r="N37" s="1596"/>
      <c r="O37" s="1596"/>
      <c r="P37" s="1596"/>
      <c r="Q37" s="1596"/>
      <c r="S37" s="2380" t="s">
        <v>423</v>
      </c>
      <c r="T37" s="2380"/>
      <c r="U37" s="1600"/>
      <c r="V37" s="2382" t="str">
        <f>IF(TITLE_NUMBER_PR_CHANGE="",IF(TITLE_NUMBER_PR="","",TITLE_NUMBER_PR),TITLE_NUMBER_PR_CHANGE)</f>
        <v>72/1</v>
      </c>
      <c r="W37" s="2382"/>
      <c r="X37" s="2382"/>
      <c r="Y37" s="2382"/>
      <c r="Z37" s="2382"/>
      <c r="AA37" s="2382"/>
      <c r="AB37" s="2382"/>
      <c r="AC37" s="549"/>
      <c r="AD37" s="2382" t="str">
        <f>IF(TITLE_NUMBER_PR_CHANGE="",IF(TITLE_NUMBER_PR="","",TITLE_NUMBER_PR),TITLE_NUMBER_PR_CHANGE)</f>
        <v>72/1</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549"/>
      <c r="BB37" s="549"/>
      <c r="BC37" s="503"/>
      <c r="BD37" s="591"/>
      <c r="BE37" s="591"/>
      <c r="BF37" s="591"/>
      <c r="BG37" s="591"/>
      <c r="BH37" s="591"/>
    </row>
    <row s="13547" customFormat="1" customHeight="1" ht="0">
      <c r="A38" s="1596"/>
      <c r="B38" s="1596"/>
      <c r="C38" s="1596"/>
      <c r="D38" s="1596"/>
      <c r="E38" s="1596"/>
      <c r="F38" s="1596"/>
      <c r="G38" s="1596"/>
      <c r="H38" s="1596"/>
      <c r="I38" s="1596"/>
      <c r="J38" s="1596"/>
      <c r="K38" s="1596"/>
      <c r="L38" s="1597"/>
      <c r="M38" s="1596"/>
      <c r="N38" s="1596"/>
      <c r="O38" s="1596"/>
      <c r="P38" s="1596"/>
      <c r="Q38" s="1596"/>
      <c r="S38" s="546"/>
      <c r="T38" s="546"/>
      <c r="U38" s="1682"/>
      <c r="V38" s="549"/>
      <c r="W38" s="549"/>
      <c r="X38" s="549"/>
      <c r="Y38" s="549"/>
      <c r="Z38" s="549"/>
      <c r="AA38" s="549"/>
      <c r="AB38" s="549"/>
      <c r="AC38" s="501" t="s">
        <v>426</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426</v>
      </c>
      <c r="BD38" s="591"/>
      <c r="BE38" s="591"/>
      <c r="BF38" s="591"/>
      <c r="BG38" s="591"/>
      <c r="BH38" s="591"/>
    </row>
    <row customHeight="1" ht="14.25">
      <c r="Q39" s="514"/>
      <c r="R39" s="599"/>
      <c r="S39" s="1503"/>
      <c r="T39" s="586"/>
      <c r="U39" s="1471"/>
      <c r="V39" s="2406"/>
      <c r="W39" s="2406"/>
      <c r="X39" s="2406"/>
      <c r="Y39" s="2406"/>
      <c r="Z39" s="2406"/>
      <c r="AA39" s="2406"/>
      <c r="AB39" s="2406"/>
      <c r="AC39" s="2406"/>
      <c r="AD39" s="2406"/>
      <c r="AE39" s="2406"/>
      <c r="AF39" s="2406"/>
      <c r="AG39" s="2406"/>
      <c r="AH39" s="2406"/>
      <c r="AI39" s="2406"/>
      <c r="AJ39" s="2406"/>
      <c r="AK39" s="2406"/>
      <c r="AL39" s="2406"/>
      <c r="AM39" s="2406"/>
      <c r="AN39" s="2406"/>
      <c r="AO39" s="2406"/>
      <c r="AP39" s="2406"/>
      <c r="AQ39" s="2406"/>
      <c r="AR39" s="2406"/>
      <c r="AS39" s="2406"/>
      <c r="AT39" s="2406"/>
      <c r="AU39" s="2406"/>
      <c r="AV39" s="2406"/>
      <c r="AW39" s="2406"/>
      <c r="AX39" s="2406"/>
      <c r="AY39" s="2406"/>
      <c r="AZ39" s="2406"/>
      <c r="BA39" s="2406"/>
    </row>
    <row customHeight="1" ht="14.25">
      <c r="Q40" s="514"/>
      <c r="R40" s="599"/>
      <c r="S40" s="2254" t="s">
        <v>301</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302</v>
      </c>
    </row>
    <row customHeight="1" ht="14.25">
      <c r="Q41" s="514"/>
      <c r="R41" s="599"/>
      <c r="S41" s="2407" t="s">
        <v>87</v>
      </c>
      <c r="T41" s="2344" t="s">
        <v>506</v>
      </c>
      <c r="U41" s="524"/>
      <c r="V41" s="2408" t="s">
        <v>428</v>
      </c>
      <c r="W41" s="2409"/>
      <c r="X41" s="2409"/>
      <c r="Y41" s="2409"/>
      <c r="Z41" s="2409"/>
      <c r="AA41" s="2409"/>
      <c r="AB41" s="2410"/>
      <c r="AC41" s="2411" t="s">
        <v>429</v>
      </c>
      <c r="AD41" s="2455" t="s">
        <v>507</v>
      </c>
      <c r="AE41" s="2430"/>
      <c r="AF41" s="2430"/>
      <c r="AG41" s="2456"/>
      <c r="AH41" s="2455" t="s">
        <v>508</v>
      </c>
      <c r="AI41" s="2430"/>
      <c r="AJ41" s="2430"/>
      <c r="AK41" s="2456"/>
      <c r="AL41" s="2455" t="s">
        <v>509</v>
      </c>
      <c r="AM41" s="2430"/>
      <c r="AN41" s="2430"/>
      <c r="AO41" s="2456"/>
      <c r="AP41" s="2455" t="s">
        <v>510</v>
      </c>
      <c r="AQ41" s="2430"/>
      <c r="AR41" s="2430"/>
      <c r="AS41" s="2456"/>
      <c r="AT41" s="2408" t="s">
        <v>428</v>
      </c>
      <c r="AU41" s="2409"/>
      <c r="AV41" s="2409"/>
      <c r="AW41" s="2409"/>
      <c r="AX41" s="2409"/>
      <c r="AY41" s="2409"/>
      <c r="AZ41" s="2410"/>
      <c r="BA41" s="2411" t="s">
        <v>429</v>
      </c>
      <c r="BB41" s="2414" t="s">
        <v>431</v>
      </c>
      <c r="BC41" s="2254"/>
    </row>
    <row customHeight="1" ht="33.75">
      <c r="Q42" s="514"/>
      <c r="R42" s="599"/>
      <c r="S42" s="2407"/>
      <c r="T42" s="2344"/>
      <c r="U42" s="1255"/>
      <c r="V42" s="2312" t="s">
        <v>511</v>
      </c>
      <c r="W42" s="2313"/>
      <c r="X42" s="2312" t="s">
        <v>512</v>
      </c>
      <c r="Y42" s="2313"/>
      <c r="Z42" s="2428" t="s">
        <v>513</v>
      </c>
      <c r="AA42" s="2446"/>
      <c r="AB42" s="2447"/>
      <c r="AC42" s="2412"/>
      <c r="AD42" s="2457"/>
      <c r="AE42" s="2458"/>
      <c r="AF42" s="2458"/>
      <c r="AG42" s="2470"/>
      <c r="AH42" s="2457"/>
      <c r="AI42" s="2458"/>
      <c r="AJ42" s="2458"/>
      <c r="AK42" s="2470"/>
      <c r="AL42" s="2457"/>
      <c r="AM42" s="2458"/>
      <c r="AN42" s="2458"/>
      <c r="AO42" s="2470"/>
      <c r="AP42" s="2457"/>
      <c r="AQ42" s="2458"/>
      <c r="AR42" s="2458"/>
      <c r="AS42" s="2470"/>
      <c r="AT42" s="2312" t="s">
        <v>511</v>
      </c>
      <c r="AU42" s="2313"/>
      <c r="AV42" s="2312" t="s">
        <v>512</v>
      </c>
      <c r="AW42" s="2313"/>
      <c r="AX42" s="2428" t="s">
        <v>513</v>
      </c>
      <c r="AY42" s="2446"/>
      <c r="AZ42" s="2447"/>
      <c r="BA42" s="2412"/>
      <c r="BB42" s="2415"/>
      <c r="BC42" s="2254"/>
    </row>
    <row customHeight="1" ht="14.25">
      <c r="Q43" s="514"/>
      <c r="R43" s="599"/>
      <c r="S43" s="2407"/>
      <c r="T43" s="2344"/>
      <c r="U43" s="1255"/>
      <c r="V43" s="2320"/>
      <c r="W43" s="2321"/>
      <c r="X43" s="2320"/>
      <c r="Y43" s="2321"/>
      <c r="Z43" s="2429"/>
      <c r="AA43" s="2448"/>
      <c r="AB43" s="2449"/>
      <c r="AC43" s="2412"/>
      <c r="AD43" s="2457"/>
      <c r="AE43" s="2458"/>
      <c r="AF43" s="2458"/>
      <c r="AG43" s="2470"/>
      <c r="AH43" s="2457"/>
      <c r="AI43" s="2458"/>
      <c r="AJ43" s="2458"/>
      <c r="AK43" s="2470"/>
      <c r="AL43" s="2457"/>
      <c r="AM43" s="2458"/>
      <c r="AN43" s="2458"/>
      <c r="AO43" s="2470"/>
      <c r="AP43" s="2457"/>
      <c r="AQ43" s="2458"/>
      <c r="AR43" s="2458"/>
      <c r="AS43" s="2470"/>
      <c r="AT43" s="2320"/>
      <c r="AU43" s="2321"/>
      <c r="AV43" s="2320"/>
      <c r="AW43" s="2321"/>
      <c r="AX43" s="2429"/>
      <c r="AY43" s="2448"/>
      <c r="AZ43" s="2449"/>
      <c r="BA43" s="2412"/>
      <c r="BB43" s="2415"/>
      <c r="BC43" s="2254"/>
    </row>
    <row customHeight="1" ht="14.25">
      <c r="A44" s="1598"/>
      <c r="B44" s="1598" t="s">
        <v>134</v>
      </c>
      <c r="C44" s="1598" t="s">
        <v>135</v>
      </c>
      <c r="D44" s="1598" t="s">
        <v>136</v>
      </c>
      <c r="E44" s="1592" t="s">
        <v>436</v>
      </c>
      <c r="F44" s="1592" t="s">
        <v>437</v>
      </c>
      <c r="G44" s="1592" t="s">
        <v>438</v>
      </c>
      <c r="H44" s="1592" t="s">
        <v>439</v>
      </c>
      <c r="I44" s="1592" t="s">
        <v>440</v>
      </c>
      <c r="J44" s="1592" t="s">
        <v>441</v>
      </c>
      <c r="K44" s="1592" t="s">
        <v>442</v>
      </c>
      <c r="L44" s="1592" t="s">
        <v>417</v>
      </c>
      <c r="Q44" s="514"/>
      <c r="R44" s="599"/>
      <c r="S44" s="2407"/>
      <c r="T44" s="2344"/>
      <c r="U44" s="525"/>
      <c r="V44" s="1676" t="s">
        <v>477</v>
      </c>
      <c r="W44" s="1676" t="s">
        <v>478</v>
      </c>
      <c r="X44" s="1676" t="s">
        <v>477</v>
      </c>
      <c r="Y44" s="1676" t="s">
        <v>478</v>
      </c>
      <c r="Z44" s="1683" t="s">
        <v>445</v>
      </c>
      <c r="AA44" s="2403" t="s">
        <v>446</v>
      </c>
      <c r="AB44" s="2404"/>
      <c r="AC44" s="2413"/>
      <c r="AD44" s="2459"/>
      <c r="AE44" s="2460"/>
      <c r="AF44" s="2460"/>
      <c r="AG44" s="2461"/>
      <c r="AH44" s="2459"/>
      <c r="AI44" s="2460"/>
      <c r="AJ44" s="2460"/>
      <c r="AK44" s="2461"/>
      <c r="AL44" s="2459"/>
      <c r="AM44" s="2460"/>
      <c r="AN44" s="2460"/>
      <c r="AO44" s="2461"/>
      <c r="AP44" s="2459"/>
      <c r="AQ44" s="2460"/>
      <c r="AR44" s="2460"/>
      <c r="AS44" s="2461"/>
      <c r="AT44" s="1676" t="s">
        <v>477</v>
      </c>
      <c r="AU44" s="1676" t="s">
        <v>478</v>
      </c>
      <c r="AV44" s="1676" t="s">
        <v>477</v>
      </c>
      <c r="AW44" s="1676" t="s">
        <v>478</v>
      </c>
      <c r="AX44" s="1683" t="s">
        <v>445</v>
      </c>
      <c r="AY44" s="2403" t="s">
        <v>446</v>
      </c>
      <c r="AZ44" s="2404"/>
      <c r="BA44" s="2413"/>
      <c r="BB44" s="2416"/>
      <c r="BC44" s="2254"/>
    </row>
    <row s="13364" customFormat="1" customHeight="1" ht="11.25" hidden="1">
      <c r="A45" s="1598"/>
      <c r="B45" s="1598"/>
      <c r="C45" s="1598"/>
      <c r="D45" s="1598"/>
      <c r="E45" s="1598"/>
      <c r="F45" s="1598"/>
      <c r="G45" s="1598"/>
      <c r="H45" s="1598"/>
      <c r="I45" s="1598"/>
      <c r="J45" s="1598"/>
      <c r="K45" s="1598"/>
      <c r="L45" s="1592"/>
      <c r="M45" s="1590"/>
      <c r="N45" s="1590"/>
      <c r="O45" s="1590"/>
      <c r="P45" s="733"/>
      <c r="Q45" s="1481"/>
      <c r="R45" s="1481">
        <v>1</v>
      </c>
      <c r="S45" s="1505" t="s">
        <v>108</v>
      </c>
      <c r="T45" s="1482" t="s">
        <v>109</v>
      </c>
      <c r="U45" s="1472" t="str">
        <f>OFFSET(U45,0,-1)</f>
        <v>2</v>
      </c>
      <c r="V45" s="1679">
        <f>OFFSET(V45,0,-1)+1</f>
        <v>3</v>
      </c>
      <c r="W45" s="1679">
        <f>OFFSET(W45,0,-1)+1</f>
        <v>4</v>
      </c>
      <c r="X45" s="1679">
        <f>OFFSET(X45,0,-1)+1</f>
        <v>5</v>
      </c>
      <c r="Y45" s="1679">
        <f>OFFSET(Y45,0,-1)+1</f>
        <v>6</v>
      </c>
      <c r="Z45" s="1679">
        <f>OFFSET(Z45,0,-1)+1</f>
        <v>7</v>
      </c>
      <c r="AA45" s="2405">
        <f>OFFSET(AA45,0,-1)+1</f>
        <v>8</v>
      </c>
      <c r="AB45" s="2405"/>
      <c r="AC45" s="1679">
        <f>OFFSET(AC45,0,-2)+1</f>
        <v>9</v>
      </c>
      <c r="AD45" s="1679">
        <f>OFFSET(AD45,0,-1)+1</f>
        <v>10</v>
      </c>
      <c r="AE45" s="1679"/>
      <c r="AF45" s="1679"/>
      <c r="AG45" s="1679"/>
      <c r="AH45" s="1679"/>
      <c r="AI45" s="1679"/>
      <c r="AJ45" s="1679"/>
      <c r="AK45" s="1679"/>
      <c r="AL45" s="1679"/>
      <c r="AM45" s="1679"/>
      <c r="AN45" s="1679"/>
      <c r="AO45" s="1679"/>
      <c r="AP45" s="1679"/>
      <c r="AQ45" s="1679"/>
      <c r="AR45" s="1679"/>
      <c r="AS45" s="1679"/>
      <c r="AT45" s="1679"/>
      <c r="AU45" s="1679"/>
      <c r="AV45" s="1679"/>
      <c r="AW45" s="1679">
        <f>OFFSET(AW45,0,-1)+1</f>
        <v>1</v>
      </c>
      <c r="AX45" s="1679">
        <f>OFFSET(AX45,0,-1)+1</f>
        <v>2</v>
      </c>
      <c r="AY45" s="2405">
        <f>OFFSET(AY45,0,-1)+1</f>
        <v>3</v>
      </c>
      <c r="AZ45" s="2405"/>
      <c r="BA45" s="1679">
        <f>OFFSET(BA45,0,-2)+1</f>
        <v>4</v>
      </c>
      <c r="BB45" s="1472">
        <f>OFFSET(BB45,0,-1)</f>
        <v>4</v>
      </c>
      <c r="BC45" s="1679">
        <f>OFFSET(BC45,0,-1)+1</f>
        <v>5</v>
      </c>
      <c r="BD45" s="734"/>
      <c r="BE45" s="734"/>
      <c r="BF45" s="734"/>
      <c r="BG45" s="734"/>
      <c r="BH45" s="734"/>
    </row>
    <row customHeight="1" ht="21">
      <c r="A46" s="1591" t="s">
        <v>243</v>
      </c>
      <c r="B46" s="1591"/>
      <c r="C46" s="1591"/>
      <c r="D46" s="1591"/>
      <c r="E46" s="2389">
        <v>1</v>
      </c>
      <c r="F46" s="1591"/>
      <c r="G46" s="1591"/>
      <c r="H46" s="1591"/>
      <c r="I46" s="1591"/>
      <c r="J46" s="1591"/>
      <c r="K46" s="1591"/>
      <c r="L46" s="1592"/>
      <c r="M46" s="1593"/>
      <c r="N46" s="1593"/>
      <c r="O46" s="1593"/>
      <c r="P46" s="1637"/>
      <c r="Q46" s="1096"/>
      <c r="R46" s="578"/>
      <c r="S46" s="1685">
        <f>INDEX(PT_DIFFERENTIATION_NUM_NTAR,MATCH(A46,PT_DIFFERENTIATION_NTAR_ID,0))</f>
        <v>0</v>
      </c>
      <c r="T46" s="521" t="s">
        <v>122</v>
      </c>
      <c r="U46" s="523"/>
      <c r="V46" s="2384"/>
      <c r="W46" s="2384"/>
      <c r="X46" s="2384"/>
      <c r="Y46" s="2384"/>
      <c r="Z46" s="2384"/>
      <c r="AA46" s="2384"/>
      <c r="AB46" s="2384"/>
      <c r="AC46" s="2385"/>
      <c r="AD46" s="2383" t="str">
        <f>INDEX(PT_DIFFERENTIATION_NTAR,MATCH(A46,PT_DIFFERENTIATION_NTAR_ID,0))</f>
        <v/>
      </c>
      <c r="AE46" s="2384"/>
      <c r="AF46" s="2384"/>
      <c r="AG46" s="2384"/>
      <c r="AH46" s="2384"/>
      <c r="AI46" s="2384"/>
      <c r="AJ46" s="2384"/>
      <c r="AK46" s="2384"/>
      <c r="AL46" s="2384"/>
      <c r="AM46" s="2384"/>
      <c r="AN46" s="2384"/>
      <c r="AO46" s="2384"/>
      <c r="AP46" s="2384"/>
      <c r="AQ46" s="2384"/>
      <c r="AR46" s="2384"/>
      <c r="AS46" s="2384"/>
      <c r="AT46" s="2384"/>
      <c r="AU46" s="2384"/>
      <c r="AV46" s="2384"/>
      <c r="AW46" s="2384"/>
      <c r="AX46" s="2384"/>
      <c r="AY46" s="2384"/>
      <c r="AZ46" s="2384"/>
      <c r="BA46" s="2384"/>
      <c r="BB46" s="2385"/>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91" t="s">
        <v>243</v>
      </c>
      <c r="B47" s="1591" t="s">
        <v>244</v>
      </c>
      <c r="C47" s="1591"/>
      <c r="D47" s="1591"/>
      <c r="E47" s="2390"/>
      <c r="F47" s="2389">
        <v>1</v>
      </c>
      <c r="G47" s="1591"/>
      <c r="H47" s="1591"/>
      <c r="I47" s="1591"/>
      <c r="J47" s="1591"/>
      <c r="K47" s="1591"/>
      <c r="L47" s="1592"/>
      <c r="M47" s="1593"/>
      <c r="N47" s="1593"/>
      <c r="O47" s="1593"/>
      <c r="P47" s="1638"/>
      <c r="Q47" s="1639"/>
      <c r="R47" s="576"/>
      <c r="S47" s="1685" t="str">
        <f>INDEX(PT_DIFFERENTIATION_NUM_TER,MATCH(B47,PT_DIFFERENTIATION_TER_ID,0))</f>
        <v>.</v>
      </c>
      <c r="T47" s="531" t="s">
        <v>398</v>
      </c>
      <c r="U47" s="523"/>
      <c r="V47" s="2384"/>
      <c r="W47" s="2384"/>
      <c r="X47" s="2384"/>
      <c r="Y47" s="2384"/>
      <c r="Z47" s="2384"/>
      <c r="AA47" s="2384"/>
      <c r="AB47" s="2384"/>
      <c r="AC47" s="2385"/>
      <c r="AD47" s="2383" t="str">
        <f>INDEX(PT_DIFFERENTIATION_TER,MATCH(B47,PT_DIFFERENTIATION_TER_ID,0))</f>
        <v/>
      </c>
      <c r="AE47" s="2384"/>
      <c r="AF47" s="2384"/>
      <c r="AG47" s="2384"/>
      <c r="AH47" s="2384"/>
      <c r="AI47" s="2384"/>
      <c r="AJ47" s="2384"/>
      <c r="AK47" s="2384"/>
      <c r="AL47" s="2384"/>
      <c r="AM47" s="2384"/>
      <c r="AN47" s="2384"/>
      <c r="AO47" s="2384"/>
      <c r="AP47" s="2384"/>
      <c r="AQ47" s="2384"/>
      <c r="AR47" s="2384"/>
      <c r="AS47" s="2384"/>
      <c r="AT47" s="2384"/>
      <c r="AU47" s="2384"/>
      <c r="AV47" s="2384"/>
      <c r="AW47" s="2384"/>
      <c r="AX47" s="2384"/>
      <c r="AY47" s="2384"/>
      <c r="AZ47" s="2384"/>
      <c r="BA47" s="2384"/>
      <c r="BB47" s="2385"/>
      <c r="BC47" s="1485" t="s">
        <v>399</v>
      </c>
      <c r="BE47" s="723"/>
      <c r="BF47" s="723" t="str">
        <f>IF(T47="","",T47)</f>
        <v>Территория действия тарифа</v>
      </c>
      <c r="BG47" s="723"/>
      <c r="BH47" s="723"/>
    </row>
    <row customHeight="1" ht="42">
      <c r="A48" s="1591" t="s">
        <v>243</v>
      </c>
      <c r="B48" s="1591" t="s">
        <v>244</v>
      </c>
      <c r="C48" s="1591" t="s">
        <v>245</v>
      </c>
      <c r="D48" s="1591"/>
      <c r="E48" s="2390"/>
      <c r="F48" s="2390"/>
      <c r="G48" s="2389">
        <v>1</v>
      </c>
      <c r="H48" s="1591"/>
      <c r="I48" s="1591"/>
      <c r="J48" s="1591"/>
      <c r="K48" s="1591"/>
      <c r="L48" s="1592"/>
      <c r="M48" s="1593"/>
      <c r="N48" s="1593"/>
      <c r="O48" s="1593"/>
      <c r="P48" s="1640"/>
      <c r="Q48" s="1639"/>
      <c r="R48" s="576"/>
      <c r="S48" s="1685" t="str">
        <f>INDEX(PT_DIFFERENTIATION_NUM_CS,MATCH(C48,PT_DIFFERENTIATION_CS_ID,0))</f>
        <v>..</v>
      </c>
      <c r="T48" s="532" t="s">
        <v>480</v>
      </c>
      <c r="U48" s="523"/>
      <c r="V48" s="2384"/>
      <c r="W48" s="2384"/>
      <c r="X48" s="2384"/>
      <c r="Y48" s="2384"/>
      <c r="Z48" s="2384"/>
      <c r="AA48" s="2384"/>
      <c r="AB48" s="2384"/>
      <c r="AC48" s="2385"/>
      <c r="AD48" s="2383" t="str">
        <f>INDEX(PT_DIFFERENTIATION_CS,MATCH(C48,PT_DIFFERENTIATION_CS_ID,0))</f>
        <v/>
      </c>
      <c r="AE48" s="2384"/>
      <c r="AF48" s="2384"/>
      <c r="AG48" s="2384"/>
      <c r="AH48" s="2384"/>
      <c r="AI48" s="2384"/>
      <c r="AJ48" s="2384"/>
      <c r="AK48" s="2384"/>
      <c r="AL48" s="2384"/>
      <c r="AM48" s="2384"/>
      <c r="AN48" s="2384"/>
      <c r="AO48" s="2384"/>
      <c r="AP48" s="2384"/>
      <c r="AQ48" s="2384"/>
      <c r="AR48" s="2384"/>
      <c r="AS48" s="2384"/>
      <c r="AT48" s="2384"/>
      <c r="AU48" s="2384"/>
      <c r="AV48" s="2384"/>
      <c r="AW48" s="2384"/>
      <c r="AX48" s="2384"/>
      <c r="AY48" s="2384"/>
      <c r="AZ48" s="2384"/>
      <c r="BA48" s="2384"/>
      <c r="BB48" s="2385"/>
      <c r="BC48" s="1485" t="s">
        <v>481</v>
      </c>
      <c r="BE48" s="723"/>
      <c r="BF48" s="723" t="str">
        <f>IF(T48="","",T48)</f>
        <v>Наименование централизованной системы холодного водоснабжения</v>
      </c>
      <c r="BG48" s="723"/>
      <c r="BH48" s="723"/>
    </row>
    <row s="13606" customFormat="1" customHeight="1" ht="0">
      <c r="A49" s="1571" t="s">
        <v>243</v>
      </c>
      <c r="B49" s="1571" t="s">
        <v>244</v>
      </c>
      <c r="C49" s="1571" t="s">
        <v>245</v>
      </c>
      <c r="D49" s="1571" t="s">
        <v>514</v>
      </c>
      <c r="E49" s="2390"/>
      <c r="F49" s="2390"/>
      <c r="G49" s="2390"/>
      <c r="H49" s="2389">
        <v>1</v>
      </c>
      <c r="I49" s="1571"/>
      <c r="J49" s="1571"/>
      <c r="K49" s="1571"/>
      <c r="L49" s="1574"/>
      <c r="M49" s="1543"/>
      <c r="N49" s="1543"/>
      <c r="O49" s="1543"/>
      <c r="P49" s="1725"/>
      <c r="Q49" s="1726"/>
      <c r="R49" s="580"/>
      <c r="S49" s="1266"/>
      <c r="T49" s="1727"/>
      <c r="U49" s="1612"/>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613" t="s">
        <v>403</v>
      </c>
      <c r="BE49" s="723"/>
      <c r="BF49" s="723" t="str">
        <f>IF(T49="","",T49)</f>
        <v/>
      </c>
      <c r="BG49" s="723"/>
      <c r="BH49" s="723"/>
    </row>
    <row s="13606" customFormat="1" customHeight="1" ht="0">
      <c r="A50" s="1571" t="s">
        <v>243</v>
      </c>
      <c r="B50" s="1571" t="s">
        <v>244</v>
      </c>
      <c r="C50" s="1571" t="s">
        <v>245</v>
      </c>
      <c r="D50" s="1571" t="s">
        <v>514</v>
      </c>
      <c r="E50" s="2390"/>
      <c r="F50" s="2390"/>
      <c r="G50" s="2390"/>
      <c r="H50" s="2390"/>
      <c r="I50" s="2391" t="str">
        <f>S49&amp;".1"</f>
        <v>.1</v>
      </c>
      <c r="J50" s="1571"/>
      <c r="K50" s="1571"/>
      <c r="L50" s="1574" t="s">
        <v>404</v>
      </c>
      <c r="M50" s="733"/>
      <c r="N50" s="733"/>
      <c r="O50" s="733"/>
      <c r="P50" s="2393">
        <v>1</v>
      </c>
      <c r="Q50" s="1690"/>
      <c r="R50" s="579"/>
      <c r="S50" s="1266"/>
      <c r="T50" s="1611"/>
      <c r="U50" s="1612"/>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613"/>
      <c r="BE50" s="723"/>
      <c r="BF50" s="723" t="str">
        <f>IF(T50="","",T50)</f>
        <v/>
      </c>
      <c r="BG50" s="723"/>
      <c r="BH50" s="723"/>
    </row>
    <row s="13606" customFormat="1" customHeight="1" ht="0">
      <c r="A51" s="1571" t="s">
        <v>243</v>
      </c>
      <c r="B51" s="1571" t="s">
        <v>244</v>
      </c>
      <c r="C51" s="1571" t="s">
        <v>245</v>
      </c>
      <c r="D51" s="1571" t="s">
        <v>514</v>
      </c>
      <c r="E51" s="2390"/>
      <c r="F51" s="2390"/>
      <c r="G51" s="2390"/>
      <c r="H51" s="2390"/>
      <c r="I51" s="2392"/>
      <c r="J51" s="2391" t="str">
        <f>S49&amp;".1"</f>
        <v>.1</v>
      </c>
      <c r="K51" s="1571"/>
      <c r="L51" s="1574"/>
      <c r="M51" s="733"/>
      <c r="N51" s="733"/>
      <c r="O51" s="733"/>
      <c r="P51" s="2393"/>
      <c r="Q51" s="2393">
        <v>1</v>
      </c>
      <c r="R51" s="580"/>
      <c r="S51" s="1266"/>
      <c r="T51" s="1627"/>
      <c r="U51" s="1612"/>
      <c r="V51" s="2432"/>
      <c r="W51" s="2432"/>
      <c r="X51" s="2432"/>
      <c r="Y51" s="2432"/>
      <c r="Z51" s="2432"/>
      <c r="AA51" s="2432"/>
      <c r="AB51" s="2432"/>
      <c r="AC51" s="2433"/>
      <c r="AD51" s="2431"/>
      <c r="AE51" s="2432"/>
      <c r="AF51" s="2432"/>
      <c r="AG51" s="2432"/>
      <c r="AH51" s="2432"/>
      <c r="AI51" s="2432"/>
      <c r="AJ51" s="2432"/>
      <c r="AK51" s="2432"/>
      <c r="AL51" s="2432"/>
      <c r="AM51" s="2432"/>
      <c r="AN51" s="2492"/>
      <c r="AO51" s="2492"/>
      <c r="AP51" s="2432"/>
      <c r="AQ51" s="2432"/>
      <c r="AR51" s="2432"/>
      <c r="AS51" s="2432"/>
      <c r="AT51" s="2432"/>
      <c r="AU51" s="2432"/>
      <c r="AV51" s="2432"/>
      <c r="AW51" s="2432"/>
      <c r="AX51" s="2432"/>
      <c r="AY51" s="2432"/>
      <c r="AZ51" s="2432"/>
      <c r="BA51" s="2432"/>
      <c r="BB51" s="2433"/>
      <c r="BC51" s="1613"/>
      <c r="BE51" s="723"/>
      <c r="BF51" s="723" t="str">
        <f>IF(T51="","",T51)</f>
        <v/>
      </c>
      <c r="BG51" s="723"/>
      <c r="BH51" s="723"/>
    </row>
    <row customHeight="1" ht="11.25">
      <c r="A52" s="1591" t="s">
        <v>243</v>
      </c>
      <c r="B52" s="1591" t="s">
        <v>244</v>
      </c>
      <c r="C52" s="1591" t="s">
        <v>245</v>
      </c>
      <c r="D52" s="1591" t="s">
        <v>514</v>
      </c>
      <c r="E52" s="2390"/>
      <c r="F52" s="2390"/>
      <c r="G52" s="2390"/>
      <c r="H52" s="2390"/>
      <c r="I52" s="2392"/>
      <c r="J52" s="2392"/>
      <c r="K52" s="2391" t="str">
        <f>S48&amp;".1"</f>
        <v>...1</v>
      </c>
      <c r="L52" s="1592"/>
      <c r="P52" s="2393"/>
      <c r="Q52" s="2393"/>
      <c r="R52" s="580">
        <v>1</v>
      </c>
      <c r="S52" s="2466" t="str">
        <f>$K52</f>
        <v>...1</v>
      </c>
      <c r="T52" s="2486"/>
      <c r="U52" s="523"/>
      <c r="V52" s="974"/>
      <c r="W52" s="1484"/>
      <c r="X52" s="974"/>
      <c r="Y52" s="1484"/>
      <c r="Z52" s="1962"/>
      <c r="AA52" s="1687" t="s">
        <v>66</v>
      </c>
      <c r="AB52" s="1962"/>
      <c r="AC52" s="1687" t="s">
        <v>66</v>
      </c>
      <c r="AD52" s="2327" t="s">
        <v>66</v>
      </c>
      <c r="AE52" s="2462"/>
      <c r="AF52" s="2340">
        <v>1</v>
      </c>
      <c r="AG52" s="2485"/>
      <c r="AH52" s="2264" t="s">
        <v>66</v>
      </c>
      <c r="AI52" s="2462"/>
      <c r="AJ52" s="2340">
        <v>1</v>
      </c>
      <c r="AK52" s="2484" t="s">
        <v>24</v>
      </c>
      <c r="AL52" s="2264" t="s">
        <v>66</v>
      </c>
      <c r="AM52" s="2312"/>
      <c r="AN52" s="2340">
        <v>1</v>
      </c>
      <c r="AO52" s="2489"/>
      <c r="AP52" s="2490" t="s">
        <v>66</v>
      </c>
      <c r="AQ52" s="534"/>
      <c r="AR52" s="1691">
        <v>1</v>
      </c>
      <c r="AS52" s="1694" t="s">
        <v>24</v>
      </c>
      <c r="AT52" s="974"/>
      <c r="AU52" s="1484"/>
      <c r="AV52" s="974"/>
      <c r="AW52" s="1484"/>
      <c r="AX52" s="1962"/>
      <c r="AY52" s="1687" t="s">
        <v>66</v>
      </c>
      <c r="AZ52" s="1962"/>
      <c r="BA52" s="1687" t="s">
        <v>66</v>
      </c>
      <c r="BB52" s="1576"/>
      <c r="BC52" s="2419" t="s">
        <v>500</v>
      </c>
      <c r="BE52" s="723"/>
      <c r="BF52" s="723" t="str">
        <f>IF(T52="","",T52)</f>
        <v/>
      </c>
      <c r="BG52" s="723"/>
      <c r="BH52" s="723"/>
    </row>
    <row customHeight="1" ht="11.25">
      <c r="A53" s="1591"/>
      <c r="B53" s="1591"/>
      <c r="C53" s="1591"/>
      <c r="D53" s="1591"/>
      <c r="E53" s="2390"/>
      <c r="F53" s="2390"/>
      <c r="G53" s="2390"/>
      <c r="H53" s="2390"/>
      <c r="I53" s="2392"/>
      <c r="J53" s="2392"/>
      <c r="K53" s="2391"/>
      <c r="L53" s="1592"/>
      <c r="P53" s="2393"/>
      <c r="Q53" s="2393"/>
      <c r="R53" s="580"/>
      <c r="S53" s="2467"/>
      <c r="T53" s="2487"/>
      <c r="U53" s="523"/>
      <c r="V53" s="1621"/>
      <c r="W53" s="1724"/>
      <c r="X53" s="1621"/>
      <c r="Y53" s="1724"/>
      <c r="Z53" s="1621"/>
      <c r="AA53" s="1621"/>
      <c r="AB53" s="1621"/>
      <c r="AC53" s="1621"/>
      <c r="AD53" s="2328"/>
      <c r="AE53" s="2462"/>
      <c r="AF53" s="2340"/>
      <c r="AG53" s="2485"/>
      <c r="AH53" s="2264"/>
      <c r="AI53" s="2462"/>
      <c r="AJ53" s="2340"/>
      <c r="AK53" s="2484"/>
      <c r="AL53" s="2264"/>
      <c r="AM53" s="2320"/>
      <c r="AN53" s="2340"/>
      <c r="AO53" s="2489"/>
      <c r="AP53" s="2491"/>
      <c r="AQ53" s="539"/>
      <c r="AR53" s="639"/>
      <c r="AS53" s="639" t="s">
        <v>501</v>
      </c>
      <c r="AT53" s="1621"/>
      <c r="AU53" s="1724"/>
      <c r="AV53" s="1621"/>
      <c r="AW53" s="1724"/>
      <c r="AX53" s="1621"/>
      <c r="AY53" s="1621"/>
      <c r="AZ53" s="1621"/>
      <c r="BA53" s="1621"/>
      <c r="BB53" s="1625"/>
      <c r="BC53" s="2420"/>
      <c r="BE53" s="723"/>
      <c r="BF53" s="723"/>
      <c r="BG53" s="723"/>
      <c r="BH53" s="723"/>
    </row>
    <row customHeight="1" ht="11.25">
      <c r="A54" s="1591" t="s">
        <v>243</v>
      </c>
      <c r="B54" s="1591"/>
      <c r="C54" s="1591"/>
      <c r="D54" s="1591"/>
      <c r="E54" s="2390"/>
      <c r="F54" s="2390"/>
      <c r="G54" s="2390"/>
      <c r="H54" s="2390"/>
      <c r="I54" s="2392"/>
      <c r="J54" s="2392"/>
      <c r="K54" s="2391"/>
      <c r="L54" s="1592"/>
      <c r="P54" s="2393"/>
      <c r="Q54" s="2393"/>
      <c r="R54" s="580"/>
      <c r="S54" s="2467"/>
      <c r="T54" s="2487"/>
      <c r="U54" s="523"/>
      <c r="V54" s="1621"/>
      <c r="W54" s="1724"/>
      <c r="X54" s="1621"/>
      <c r="Y54" s="1724"/>
      <c r="Z54" s="1621"/>
      <c r="AA54" s="1621"/>
      <c r="AB54" s="1621"/>
      <c r="AC54" s="1621"/>
      <c r="AD54" s="2328"/>
      <c r="AE54" s="2462"/>
      <c r="AF54" s="2340"/>
      <c r="AG54" s="2485"/>
      <c r="AH54" s="2264"/>
      <c r="AI54" s="2462"/>
      <c r="AJ54" s="2340"/>
      <c r="AK54" s="2484"/>
      <c r="AL54" s="2264"/>
      <c r="AM54" s="539"/>
      <c r="AN54" s="1728"/>
      <c r="AO54" s="1728" t="s">
        <v>502</v>
      </c>
      <c r="AP54" s="639"/>
      <c r="AQ54" s="639"/>
      <c r="AR54" s="639"/>
      <c r="AS54" s="1621"/>
      <c r="AT54" s="1621"/>
      <c r="AU54" s="1724"/>
      <c r="AV54" s="1621"/>
      <c r="AW54" s="1724"/>
      <c r="AX54" s="1621"/>
      <c r="AY54" s="1621"/>
      <c r="AZ54" s="1621"/>
      <c r="BA54" s="1621"/>
      <c r="BB54" s="1625"/>
      <c r="BC54" s="2420"/>
      <c r="BE54" s="723"/>
      <c r="BF54" s="723"/>
      <c r="BG54" s="723"/>
      <c r="BH54" s="723"/>
    </row>
    <row customHeight="1" ht="11.25">
      <c r="A55" s="1591" t="s">
        <v>243</v>
      </c>
      <c r="B55" s="1591"/>
      <c r="C55" s="1591"/>
      <c r="D55" s="1591"/>
      <c r="E55" s="2390"/>
      <c r="F55" s="2390"/>
      <c r="G55" s="2390"/>
      <c r="H55" s="2390"/>
      <c r="I55" s="2392"/>
      <c r="J55" s="2392"/>
      <c r="K55" s="2391"/>
      <c r="L55" s="1592"/>
      <c r="P55" s="2393"/>
      <c r="Q55" s="2393"/>
      <c r="R55" s="580"/>
      <c r="S55" s="2467"/>
      <c r="T55" s="2487"/>
      <c r="U55" s="523"/>
      <c r="V55" s="1621"/>
      <c r="W55" s="1724"/>
      <c r="X55" s="1621"/>
      <c r="Y55" s="1724"/>
      <c r="Z55" s="1621"/>
      <c r="AA55" s="1621"/>
      <c r="AB55" s="1621"/>
      <c r="AC55" s="1621"/>
      <c r="AD55" s="2328"/>
      <c r="AE55" s="2462"/>
      <c r="AF55" s="2340"/>
      <c r="AG55" s="2485"/>
      <c r="AH55" s="2264"/>
      <c r="AI55" s="517"/>
      <c r="AJ55" s="638"/>
      <c r="AK55" s="536" t="s">
        <v>503</v>
      </c>
      <c r="AL55" s="1621"/>
      <c r="AM55" s="1621"/>
      <c r="AN55" s="1621"/>
      <c r="AO55" s="1621"/>
      <c r="AP55" s="1621"/>
      <c r="AQ55" s="1621"/>
      <c r="AR55" s="1621"/>
      <c r="AS55" s="1621"/>
      <c r="AT55" s="1621"/>
      <c r="AU55" s="1724"/>
      <c r="AV55" s="1621"/>
      <c r="AW55" s="1724"/>
      <c r="AX55" s="1621"/>
      <c r="AY55" s="1621"/>
      <c r="AZ55" s="1621"/>
      <c r="BA55" s="1621"/>
      <c r="BB55" s="1625"/>
      <c r="BC55" s="2420"/>
      <c r="BE55" s="723"/>
      <c r="BF55" s="723"/>
      <c r="BG55" s="723"/>
      <c r="BH55" s="723"/>
    </row>
    <row customHeight="1" ht="11.25">
      <c r="A56" s="1591" t="s">
        <v>243</v>
      </c>
      <c r="B56" s="1591" t="s">
        <v>244</v>
      </c>
      <c r="C56" s="1591" t="s">
        <v>245</v>
      </c>
      <c r="D56" s="1591" t="s">
        <v>514</v>
      </c>
      <c r="E56" s="2390"/>
      <c r="F56" s="2390"/>
      <c r="G56" s="2390"/>
      <c r="H56" s="2390"/>
      <c r="I56" s="2392"/>
      <c r="J56" s="2392"/>
      <c r="K56" s="2391"/>
      <c r="L56" s="1592"/>
      <c r="P56" s="2393"/>
      <c r="Q56" s="2393"/>
      <c r="R56" s="580"/>
      <c r="S56" s="2468"/>
      <c r="T56" s="2488"/>
      <c r="U56" s="523"/>
      <c r="V56" s="1621"/>
      <c r="W56" s="1622" t="str">
        <f>Z52&amp;"-"&amp;AB52</f>
        <v>-</v>
      </c>
      <c r="X56" s="1621"/>
      <c r="Y56" s="1622" t="str">
        <f>AB52&amp;"-"&amp;AD52</f>
        <v>-да</v>
      </c>
      <c r="Z56" s="1621"/>
      <c r="AA56" s="1621"/>
      <c r="AB56" s="1621"/>
      <c r="AC56" s="1621"/>
      <c r="AD56" s="2269"/>
      <c r="AE56" s="535"/>
      <c r="AF56" s="537"/>
      <c r="AG56" s="639" t="s">
        <v>504</v>
      </c>
      <c r="AH56" s="1621"/>
      <c r="AI56" s="1621"/>
      <c r="AJ56" s="1621"/>
      <c r="AK56" s="1621"/>
      <c r="AL56" s="1621"/>
      <c r="AM56" s="1621"/>
      <c r="AN56" s="1621"/>
      <c r="AO56" s="1621"/>
      <c r="AP56" s="1621"/>
      <c r="AQ56" s="1621"/>
      <c r="AR56" s="1621"/>
      <c r="AS56" s="1621"/>
      <c r="AT56" s="1621"/>
      <c r="AU56" s="1622" t="str">
        <f>AX52&amp;"-"&amp;AZ52</f>
        <v>-</v>
      </c>
      <c r="AV56" s="1621"/>
      <c r="AW56" s="1622" t="str">
        <f>AZ52&amp;"-"&amp;BB52</f>
        <v>-</v>
      </c>
      <c r="AX56" s="1621"/>
      <c r="AY56" s="1621"/>
      <c r="AZ56" s="1621"/>
      <c r="BA56" s="1621"/>
      <c r="BB56" s="1624" t="str">
        <f>BE52&amp;"-"&amp;BG52</f>
        <v>-</v>
      </c>
      <c r="BC56" s="2420"/>
      <c r="BE56" s="723"/>
      <c r="BF56" s="723" t="str">
        <f>IF(T56="","",T56)</f>
        <v/>
      </c>
      <c r="BG56" s="723"/>
      <c r="BH56" s="723"/>
    </row>
    <row customHeight="1" ht="11.25">
      <c r="A57" s="1591" t="s">
        <v>243</v>
      </c>
      <c r="B57" s="1591" t="s">
        <v>244</v>
      </c>
      <c r="C57" s="1591" t="s">
        <v>245</v>
      </c>
      <c r="D57" s="1591" t="s">
        <v>514</v>
      </c>
      <c r="E57" s="2390"/>
      <c r="F57" s="2390"/>
      <c r="G57" s="2390"/>
      <c r="H57" s="2390"/>
      <c r="I57" s="2392"/>
      <c r="J57" s="2391"/>
      <c r="K57" s="1591"/>
      <c r="L57" s="1592"/>
      <c r="P57" s="2393"/>
      <c r="Q57" s="2393"/>
      <c r="R57" s="579"/>
      <c r="S57" s="1506"/>
      <c r="T57" s="510" t="s">
        <v>466</v>
      </c>
      <c r="U57" s="590"/>
      <c r="V57" s="590"/>
      <c r="W57" s="590"/>
      <c r="X57" s="590"/>
      <c r="Y57" s="590"/>
      <c r="Z57" s="590"/>
      <c r="AA57" s="590"/>
      <c r="AB57" s="590"/>
      <c r="AC57" s="547"/>
      <c r="AD57" s="1733"/>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1"/>
      <c r="BE57" s="723"/>
      <c r="BF57" s="723" t="str">
        <f>IF(T57="","",T57)</f>
        <v>Добавить строку</v>
      </c>
      <c r="BG57" s="723"/>
      <c r="BH57" s="723"/>
    </row>
    <row s="13606" customFormat="1" customHeight="1" ht="0">
      <c r="A58" s="1571" t="s">
        <v>243</v>
      </c>
      <c r="B58" s="1571" t="s">
        <v>244</v>
      </c>
      <c r="C58" s="1571" t="s">
        <v>245</v>
      </c>
      <c r="D58" s="1571" t="s">
        <v>514</v>
      </c>
      <c r="E58" s="2390"/>
      <c r="F58" s="2390"/>
      <c r="G58" s="2390"/>
      <c r="H58" s="2390"/>
      <c r="I58" s="2391"/>
      <c r="J58" s="1571"/>
      <c r="K58" s="1571"/>
      <c r="L58" s="1574"/>
      <c r="M58" s="733"/>
      <c r="N58" s="733"/>
      <c r="O58" s="733"/>
      <c r="P58" s="2393"/>
      <c r="Q58" s="1690"/>
      <c r="R58" s="579"/>
      <c r="S58" s="1614"/>
      <c r="T58" s="1615"/>
      <c r="U58" s="1616"/>
      <c r="V58" s="1616"/>
      <c r="W58" s="1616"/>
      <c r="X58" s="1616"/>
      <c r="Y58" s="1616"/>
      <c r="Z58" s="1616"/>
      <c r="AA58" s="1616"/>
      <c r="AB58" s="1616"/>
      <c r="AC58" s="1616"/>
      <c r="AD58" s="1616"/>
      <c r="AE58" s="1616"/>
      <c r="AF58" s="1616"/>
      <c r="AG58" s="1616"/>
      <c r="AH58" s="1616"/>
      <c r="AI58" s="1616"/>
      <c r="AJ58" s="1616"/>
      <c r="AK58" s="1616"/>
      <c r="AL58" s="1616"/>
      <c r="AM58" s="1616"/>
      <c r="AN58" s="1616"/>
      <c r="AO58" s="1616"/>
      <c r="AP58" s="1616"/>
      <c r="AQ58" s="1616"/>
      <c r="AR58" s="1616"/>
      <c r="AS58" s="1616"/>
      <c r="AT58" s="1616"/>
      <c r="AU58" s="1616"/>
      <c r="AV58" s="1616"/>
      <c r="AW58" s="1616"/>
      <c r="AX58" s="1616"/>
      <c r="AY58" s="1616"/>
      <c r="AZ58" s="1616"/>
      <c r="BA58" s="1616"/>
      <c r="BB58" s="1616"/>
      <c r="BC58" s="1617"/>
      <c r="BE58" s="723"/>
      <c r="BF58" s="723" t="str">
        <f>IF(T58="","",T58)</f>
        <v/>
      </c>
      <c r="BG58" s="723"/>
      <c r="BH58" s="723"/>
    </row>
    <row s="13606" customFormat="1" customHeight="1" ht="0">
      <c r="A59" s="1571" t="s">
        <v>243</v>
      </c>
      <c r="B59" s="1571" t="s">
        <v>244</v>
      </c>
      <c r="C59" s="1571" t="s">
        <v>245</v>
      </c>
      <c r="D59" s="1571" t="s">
        <v>514</v>
      </c>
      <c r="E59" s="2390"/>
      <c r="F59" s="2390"/>
      <c r="G59" s="2390"/>
      <c r="H59" s="2389"/>
      <c r="I59" s="1571"/>
      <c r="J59" s="1571"/>
      <c r="K59" s="1571"/>
      <c r="L59" s="1574"/>
      <c r="M59" s="1543"/>
      <c r="N59" s="1543"/>
      <c r="O59" s="741"/>
      <c r="P59" s="603"/>
      <c r="Q59" s="1572"/>
      <c r="R59" s="1629"/>
      <c r="S59" s="1614"/>
      <c r="T59" s="1615"/>
      <c r="U59" s="1616"/>
      <c r="V59" s="1616"/>
      <c r="W59" s="1616"/>
      <c r="X59" s="1616"/>
      <c r="Y59" s="1616"/>
      <c r="Z59" s="1616"/>
      <c r="AA59" s="1616"/>
      <c r="AB59" s="1616"/>
      <c r="AC59" s="1616"/>
      <c r="AD59" s="1616"/>
      <c r="AE59" s="1616"/>
      <c r="AF59" s="1616"/>
      <c r="AG59" s="1616"/>
      <c r="AH59" s="1616"/>
      <c r="AI59" s="1616"/>
      <c r="AJ59" s="1616"/>
      <c r="AK59" s="1616"/>
      <c r="AL59" s="1616"/>
      <c r="AM59" s="1616"/>
      <c r="AN59" s="1616"/>
      <c r="AO59" s="1616"/>
      <c r="AP59" s="1616"/>
      <c r="AQ59" s="1616"/>
      <c r="AR59" s="1616"/>
      <c r="AS59" s="1616"/>
      <c r="AT59" s="1616"/>
      <c r="AU59" s="1616"/>
      <c r="AV59" s="1616"/>
      <c r="AW59" s="1616"/>
      <c r="AX59" s="1616"/>
      <c r="AY59" s="1616"/>
      <c r="AZ59" s="1616"/>
      <c r="BA59" s="1616"/>
      <c r="BB59" s="1616"/>
      <c r="BC59" s="1617"/>
      <c r="BE59" s="723"/>
      <c r="BF59" s="723" t="str">
        <f>IF(T59="","",T59)</f>
        <v/>
      </c>
      <c r="BG59" s="723"/>
      <c r="BH59" s="723"/>
    </row>
    <row s="13514" customFormat="1" customHeight="1" ht="0">
      <c r="A60" s="1571" t="s">
        <v>243</v>
      </c>
      <c r="B60" s="1571" t="s">
        <v>244</v>
      </c>
      <c r="C60" s="1571" t="s">
        <v>245</v>
      </c>
      <c r="D60" s="1542"/>
      <c r="E60" s="2390"/>
      <c r="F60" s="2390"/>
      <c r="G60" s="2389"/>
      <c r="H60" s="1542"/>
      <c r="I60" s="1542"/>
      <c r="J60" s="1542"/>
      <c r="K60" s="1542"/>
      <c r="L60" s="1692"/>
      <c r="M60" s="1543"/>
      <c r="N60" s="1543"/>
      <c r="P60" s="1544"/>
      <c r="Q60" s="1545"/>
      <c r="R60" s="1544"/>
      <c r="S60" s="1550"/>
      <c r="T60" s="1553"/>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V60" s="1552"/>
      <c r="AW60" s="1552"/>
      <c r="AX60" s="1552"/>
      <c r="AY60" s="1552"/>
      <c r="AZ60" s="1552"/>
      <c r="BA60" s="1552"/>
      <c r="BB60" s="1552"/>
      <c r="BC60" s="1552"/>
      <c r="BE60" s="1012"/>
      <c r="BF60" s="1012" t="str">
        <f>IF(T60="","",T60)</f>
        <v/>
      </c>
      <c r="BG60" s="1012"/>
      <c r="BH60" s="1012"/>
    </row>
    <row s="13514" customFormat="1" customHeight="1" ht="0">
      <c r="A61" s="1571" t="s">
        <v>243</v>
      </c>
      <c r="B61" s="1571" t="s">
        <v>244</v>
      </c>
      <c r="C61" s="1542"/>
      <c r="D61" s="1542"/>
      <c r="E61" s="2390"/>
      <c r="F61" s="2389"/>
      <c r="G61" s="1542"/>
      <c r="H61" s="1542"/>
      <c r="I61" s="1542"/>
      <c r="J61" s="1542"/>
      <c r="K61" s="1542"/>
      <c r="L61" s="1692"/>
      <c r="M61" s="1549"/>
      <c r="N61" s="1549"/>
      <c r="P61" s="1544"/>
      <c r="Q61" s="1545"/>
      <c r="R61" s="1544"/>
      <c r="S61" s="1550"/>
      <c r="T61" s="1553" t="s">
        <v>252</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V61" s="1552"/>
      <c r="AW61" s="1552"/>
      <c r="AX61" s="1552"/>
      <c r="AY61" s="1552"/>
      <c r="AZ61" s="1552"/>
      <c r="BA61" s="1552"/>
      <c r="BB61" s="1552"/>
      <c r="BC61" s="1552"/>
      <c r="BE61" s="1012"/>
      <c r="BF61" s="1012" t="str">
        <f>IF(T61="","",T61)</f>
        <v>Добавить централизованную систему для дифференциации</v>
      </c>
      <c r="BG61" s="1012"/>
      <c r="BH61" s="1012"/>
    </row>
    <row s="13606" customFormat="1" customHeight="1" ht="0">
      <c r="A62" s="1571" t="s">
        <v>243</v>
      </c>
      <c r="B62" s="1571"/>
      <c r="C62" s="1571"/>
      <c r="D62" s="1571"/>
      <c r="E62" s="2389"/>
      <c r="F62" s="1571"/>
      <c r="G62" s="1571"/>
      <c r="H62" s="1571"/>
      <c r="I62" s="1571"/>
      <c r="J62" s="1571"/>
      <c r="K62" s="1571"/>
      <c r="L62" s="1574"/>
      <c r="M62" s="1549"/>
      <c r="N62" s="1549"/>
      <c r="O62" s="741"/>
      <c r="P62" s="603"/>
      <c r="Q62" s="1572"/>
      <c r="R62" s="603"/>
      <c r="S62" s="1550"/>
      <c r="T62" s="1553" t="s">
        <v>253</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V62" s="1552"/>
      <c r="AW62" s="1552"/>
      <c r="AX62" s="1552"/>
      <c r="AY62" s="1552"/>
      <c r="AZ62" s="1552"/>
      <c r="BA62" s="1552"/>
      <c r="BB62" s="1552"/>
      <c r="BC62" s="1552"/>
      <c r="BE62" s="723"/>
      <c r="BF62" s="723" t="str">
        <f>IF(T62="","",T62)</f>
        <v>Добавить территорию для дифференциации</v>
      </c>
      <c r="BG62" s="723"/>
      <c r="BH62" s="723"/>
    </row>
    <row s="13514" customFormat="1" customHeight="1" ht="0">
      <c r="A63" s="1542"/>
      <c r="B63" s="1542"/>
      <c r="C63" s="1542"/>
      <c r="D63" s="1542"/>
      <c r="E63" s="1571"/>
      <c r="F63" s="1542"/>
      <c r="G63" s="1542"/>
      <c r="H63" s="1542"/>
      <c r="I63" s="1542"/>
      <c r="J63" s="1542"/>
      <c r="K63" s="1542"/>
      <c r="L63" s="1692"/>
      <c r="M63" s="1549"/>
      <c r="N63" s="1549"/>
      <c r="P63" s="1544"/>
      <c r="Q63" s="1545"/>
      <c r="R63" s="1544"/>
      <c r="S63" s="1550"/>
      <c r="T63" s="1553" t="s">
        <v>254</v>
      </c>
      <c r="U63" s="1552"/>
      <c r="V63" s="1552"/>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R63" s="1552"/>
      <c r="AS63" s="1552"/>
      <c r="AT63" s="1552"/>
      <c r="AU63" s="1552"/>
      <c r="AV63" s="1552"/>
      <c r="AW63" s="1552"/>
      <c r="AX63" s="1552"/>
      <c r="AY63" s="1552"/>
      <c r="AZ63" s="1552"/>
      <c r="BA63" s="1552"/>
      <c r="BB63" s="1552"/>
      <c r="BC63" s="1552"/>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8.75">
      <c r="O65" s="760"/>
      <c r="S65" s="148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c r="AV65" s="2388"/>
      <c r="AW65" s="2388"/>
      <c r="AX65" s="2388"/>
      <c r="AY65" s="2388"/>
      <c r="AZ65" s="2388"/>
      <c r="BA65" s="2388"/>
      <c r="BB65" s="2388"/>
      <c r="BC65" s="2388"/>
    </row>
    <row customHeight="1" ht="14.25">
      <c r="O66" s="760"/>
      <c r="T66" s="1677"/>
      <c r="U66" s="1677"/>
      <c r="V66" s="1677"/>
      <c r="W66" s="1677"/>
      <c r="X66" s="1677"/>
      <c r="Y66" s="1677"/>
      <c r="Z66" s="1677"/>
      <c r="AA66" s="1677"/>
      <c r="AB66" s="1677"/>
      <c r="AC66" s="1677"/>
      <c r="AD66" s="1677"/>
      <c r="AE66" s="1677"/>
      <c r="AF66" s="1677"/>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row>
    <row customHeight="1" ht="18.75">
      <c r="O67" s="760"/>
      <c r="S67" s="148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c r="AV67" s="2388"/>
      <c r="AW67" s="2388"/>
      <c r="AX67" s="2388"/>
      <c r="AY67" s="2388"/>
      <c r="AZ67" s="2388"/>
      <c r="BA67" s="2388"/>
      <c r="BB67" s="2388"/>
      <c r="BC67" s="2388"/>
    </row>
    <row customHeight="1" ht="14.25">
      <c r="O68" s="7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A3E3B-4B22-3D3A-8EDB-BB5293E390D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533" width="10.57421875" hidden="1"/>
    <col min="2" max="2" style="13533" width="11.00390625" hidden="1" customWidth="1"/>
    <col min="3" max="3" style="13533" width="10.57421875" hidden="1"/>
    <col min="4" max="4" style="13533" width="11.8515625" hidden="1" customWidth="1"/>
    <col min="5" max="5" style="13533" width="10.00390625" hidden="1" customWidth="1"/>
    <col min="6" max="6" style="13533" width="8.7109375" hidden="1" customWidth="1"/>
    <col min="7" max="7" style="13533" width="7.57421875" hidden="1" customWidth="1"/>
    <col min="8" max="8" style="13533" width="11.421875" hidden="1" customWidth="1"/>
    <col min="9" max="9" style="13533" width="14.140625" hidden="1" customWidth="1"/>
    <col min="10" max="10" style="13533" width="9.8515625" hidden="1" customWidth="1"/>
    <col min="11" max="11" style="13533" width="14.7109375" hidden="1" customWidth="1"/>
    <col min="12" max="12" style="13884" width="19.140625" hidden="1" customWidth="1"/>
    <col min="13" max="14" style="13615" width="12.28125" hidden="1" customWidth="1"/>
    <col min="15" max="15" style="13615" width="23.421875" hidden="1" customWidth="1"/>
    <col min="16" max="16" style="13885" width="3.7109375" customWidth="1"/>
    <col min="17" max="18" style="13617" width="3.7109375" customWidth="1"/>
    <col min="19" max="19" style="13618" width="12.7109375" customWidth="1"/>
    <col min="20" max="20" style="13619" width="35.7109375" customWidth="1"/>
    <col min="21" max="21" style="13619" width="0.140625" customWidth="1"/>
    <col min="22" max="24" style="13619" width="24.7109375" hidden="1" customWidth="1"/>
    <col min="25" max="25" style="13619" width="11.7109375" hidden="1" customWidth="1"/>
    <col min="26" max="26" style="13619" width="3.7109375" hidden="1" customWidth="1"/>
    <col min="27" max="27" style="13619" width="11.7109375" hidden="1" customWidth="1"/>
    <col min="28" max="28" style="13619" width="8.57421875" hidden="1" customWidth="1"/>
    <col min="29" max="31" style="13619" width="24.7109375" customWidth="1"/>
    <col min="32" max="32" style="13619" width="11.7109375" customWidth="1"/>
    <col min="33" max="33" style="13619" width="3.7109375" customWidth="1"/>
    <col min="34" max="34" style="13619" width="11.7109375" customWidth="1"/>
    <col min="35" max="35" style="13619" width="8.57421875" hidden="1" customWidth="1"/>
    <col min="36" max="36" style="13619" width="4.7109375" customWidth="1"/>
    <col min="37" max="37" style="13619" width="115.7109375" customWidth="1"/>
    <col min="38" max="39" style="13606" width="10.57421875"/>
    <col min="40" max="40" style="13606" width="11.140625" customWidth="1"/>
    <col min="41" max="42" style="13606"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122</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398</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399</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515</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516</v>
      </c>
      <c r="AM4" s="723"/>
      <c r="AN4" s="723" t="str">
        <f>IF(T4="","",T4)</f>
        <v>Наименование централизованной системы водоотведения</v>
      </c>
      <c r="AO4" s="723"/>
      <c r="AP4" s="723"/>
    </row>
    <row customHeight="1" ht="23.25" hidden="1">
      <c r="A5" s="1591"/>
      <c r="B5" s="1591"/>
      <c r="C5" s="1591"/>
      <c r="D5" s="1591"/>
      <c r="E5" s="2390"/>
      <c r="F5" s="2390"/>
      <c r="G5" s="2390"/>
      <c r="H5" s="2390"/>
      <c r="I5" s="2391">
        <f>S4&amp;".1"</f>
      </c>
      <c r="J5" s="1591"/>
      <c r="K5" s="1591"/>
      <c r="L5" s="1592"/>
      <c r="P5" s="2393">
        <v>1</v>
      </c>
      <c r="Q5" s="1709"/>
      <c r="R5" s="579"/>
      <c r="S5" s="1721">
        <f>$I5</f>
      </c>
      <c r="T5" s="508" t="s">
        <v>482</v>
      </c>
      <c r="U5" s="523"/>
      <c r="V5" s="2476"/>
      <c r="W5" s="2477"/>
      <c r="X5" s="2477"/>
      <c r="Y5" s="2477"/>
      <c r="Z5" s="2477"/>
      <c r="AA5" s="2477"/>
      <c r="AB5" s="2478"/>
      <c r="AC5" s="2479"/>
      <c r="AD5" s="2480"/>
      <c r="AE5" s="2480"/>
      <c r="AF5" s="2480"/>
      <c r="AG5" s="2480"/>
      <c r="AH5" s="2480"/>
      <c r="AI5" s="2480"/>
      <c r="AJ5" s="2481"/>
      <c r="AK5" s="1485" t="s">
        <v>483</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407</v>
      </c>
      <c r="P6" s="2393"/>
      <c r="Q6" s="2393">
        <v>1</v>
      </c>
      <c r="R6" s="580"/>
      <c r="S6" s="1721">
        <f>$J6</f>
      </c>
      <c r="T6" s="509" t="s">
        <v>408</v>
      </c>
      <c r="U6" s="523"/>
      <c r="V6" s="2377"/>
      <c r="W6" s="2378"/>
      <c r="X6" s="2378"/>
      <c r="Y6" s="2378"/>
      <c r="Z6" s="2378"/>
      <c r="AA6" s="2378"/>
      <c r="AB6" s="2379"/>
      <c r="AC6" s="2377"/>
      <c r="AD6" s="2378"/>
      <c r="AE6" s="2378"/>
      <c r="AF6" s="2378"/>
      <c r="AG6" s="2378"/>
      <c r="AH6" s="2378"/>
      <c r="AI6" s="2378"/>
      <c r="AJ6" s="2379"/>
      <c r="AK6" s="1535" t="s">
        <v>484</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1484"/>
      <c r="Y7" s="2394"/>
      <c r="Z7" s="2264" t="s">
        <v>66</v>
      </c>
      <c r="AA7" s="2394"/>
      <c r="AB7" s="2264" t="s">
        <v>66</v>
      </c>
      <c r="AC7" s="974"/>
      <c r="AD7" s="974"/>
      <c r="AE7" s="1484"/>
      <c r="AF7" s="2394"/>
      <c r="AG7" s="2264" t="s">
        <v>66</v>
      </c>
      <c r="AH7" s="2396"/>
      <c r="AI7" s="2264" t="s">
        <v>66</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485</v>
      </c>
      <c r="U9" s="590"/>
      <c r="V9" s="590"/>
      <c r="W9" s="590"/>
      <c r="X9" s="590"/>
      <c r="Y9" s="590"/>
      <c r="Z9" s="590"/>
      <c r="AA9" s="590"/>
      <c r="AB9" s="590"/>
      <c r="AC9" s="590"/>
      <c r="AD9" s="590"/>
      <c r="AE9" s="590"/>
      <c r="AF9" s="590"/>
      <c r="AG9" s="590"/>
      <c r="AH9" s="590"/>
      <c r="AI9" s="590"/>
      <c r="AJ9" s="590"/>
      <c r="AK9" s="1485" t="s">
        <v>486</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709"/>
      <c r="R10" s="579"/>
      <c r="S10" s="1506"/>
      <c r="T10" s="588" t="s">
        <v>413</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487</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3514"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252</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3606"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253</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66</v>
      </c>
      <c r="AH15" s="2387"/>
      <c r="AI15" s="2386" t="s">
        <v>66</v>
      </c>
    </row>
    <row customHeight="1" ht="14.25" hidden="1">
      <c r="AC16" s="1588"/>
      <c r="AD16" s="1588"/>
      <c r="AE16" s="551" t="str">
        <f>AF15&amp;"-"&amp;AH15</f>
        <v>-</v>
      </c>
      <c r="AF16" s="2386"/>
      <c r="AG16" s="2386"/>
      <c r="AH16" s="2386"/>
      <c r="AI16" s="2386"/>
    </row>
    <row customHeight="1" ht="14.25" hidden="1">
      <c r="AI17" s="550"/>
    </row>
    <row s="13533" customFormat="1" customHeight="1" ht="22.5" hidden="1">
      <c r="L18" s="1706"/>
      <c r="M18" s="1590"/>
      <c r="N18" s="1590"/>
      <c r="O18" s="1595" t="s">
        <v>416</v>
      </c>
      <c r="P18" s="1590"/>
      <c r="Q18" s="1599"/>
      <c r="R18" s="1599"/>
      <c r="S18" s="952"/>
      <c r="Y18" s="1595"/>
      <c r="AA18" s="1595"/>
      <c r="AB18" s="1594"/>
      <c r="AF18" s="1595"/>
      <c r="AH18" s="1595"/>
      <c r="AI18" s="1594"/>
      <c r="AL18" s="734"/>
      <c r="AM18" s="734"/>
      <c r="AN18" s="734"/>
      <c r="AO18" s="734"/>
      <c r="AP18" s="734"/>
    </row>
    <row s="13533" customFormat="1" customHeight="1" ht="14.25" hidden="1">
      <c r="L19" s="1706"/>
      <c r="M19" s="1590"/>
      <c r="N19" s="1590"/>
      <c r="O19" s="1590"/>
      <c r="P19" s="1590"/>
      <c r="Q19" s="1599"/>
      <c r="R19" s="1599"/>
      <c r="S19" s="952"/>
      <c r="AB19" s="1594"/>
      <c r="AI19" s="1594"/>
      <c r="AL19" s="734"/>
      <c r="AM19" s="734"/>
      <c r="AN19" s="734"/>
      <c r="AO19" s="734"/>
      <c r="AP19" s="734"/>
    </row>
    <row s="13533" customFormat="1" customHeight="1" ht="12" hidden="1">
      <c r="L20" s="1706"/>
      <c r="M20" s="1590"/>
      <c r="N20" s="1590"/>
      <c r="O20" s="1592" t="s">
        <v>417</v>
      </c>
      <c r="P20" s="1590"/>
      <c r="Q20" s="1670"/>
      <c r="R20" s="1670"/>
      <c r="S20" s="952"/>
      <c r="T20" s="1385" t="s">
        <v>418</v>
      </c>
      <c r="Z20" s="409" t="s">
        <v>419</v>
      </c>
      <c r="AB20" s="409" t="s">
        <v>420</v>
      </c>
      <c r="AC20" s="1385" t="s">
        <v>418</v>
      </c>
      <c r="AG20" s="409" t="s">
        <v>421</v>
      </c>
      <c r="AI20" s="409" t="s">
        <v>420</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ООО "Новая Энергетика"</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3547"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Агенство по тарифам Приморского края</v>
      </c>
      <c r="W27" s="2382"/>
      <c r="X27" s="2382"/>
      <c r="Y27" s="2382"/>
      <c r="Z27" s="2382"/>
      <c r="AA27" s="2382"/>
      <c r="AB27" s="549"/>
      <c r="AC27" s="2382" t="str">
        <f>IF(TITLE_NAME_OR_PR_CHANGE="",IF(TITLE_NAME_OR_PR="","",TITLE_NAME_OR_PR),TITLE_NAME_OR_PR_CHANGE)</f>
        <v>Агенство по тарифам Приморского края</v>
      </c>
      <c r="AD27" s="2382"/>
      <c r="AE27" s="2382"/>
      <c r="AF27" s="2382"/>
      <c r="AG27" s="2382"/>
      <c r="AH27" s="2382"/>
      <c r="AI27" s="549"/>
      <c r="AJ27" s="549"/>
      <c r="AK27" s="503"/>
      <c r="AL27" s="591"/>
      <c r="AM27" s="591"/>
      <c r="AN27" s="591"/>
      <c r="AO27" s="591"/>
      <c r="AP27" s="591"/>
    </row>
    <row s="13547" customFormat="1" customHeight="1" ht="18.75">
      <c r="A28" s="1596"/>
      <c r="B28" s="1596"/>
      <c r="C28" s="1596"/>
      <c r="D28" s="1596"/>
      <c r="E28" s="1596"/>
      <c r="F28" s="1596"/>
      <c r="G28" s="1596"/>
      <c r="H28" s="1596"/>
      <c r="I28" s="1596"/>
      <c r="J28" s="1596"/>
      <c r="K28" s="1596"/>
      <c r="L28" s="1597"/>
      <c r="M28" s="1596"/>
      <c r="N28" s="1596"/>
      <c r="O28" s="1596"/>
      <c r="S28" s="2380" t="s">
        <v>422</v>
      </c>
      <c r="T28" s="2380"/>
      <c r="U28" s="1600"/>
      <c r="V28" s="2381" t="str">
        <f>IF(TITLE_DATE_PR_CHANGE="",IF(TITLE_DATE_PR="","",TITLE_DATE_PR),TITLE_DATE_PR_CHANGE)</f>
        <v>45281.66994212963</v>
      </c>
      <c r="W28" s="2381"/>
      <c r="X28" s="2381"/>
      <c r="Y28" s="2381"/>
      <c r="Z28" s="2381"/>
      <c r="AA28" s="2381"/>
      <c r="AB28" s="549"/>
      <c r="AC28" s="2381" t="str">
        <f>IF(TITLE_DATE_PR_CHANGE="",IF(TITLE_DATE_PR="","",TITLE_DATE_PR),TITLE_DATE_PR_CHANGE)</f>
        <v>45281.66994212963</v>
      </c>
      <c r="AD28" s="2381"/>
      <c r="AE28" s="2381"/>
      <c r="AF28" s="2381"/>
      <c r="AG28" s="2381"/>
      <c r="AH28" s="2381"/>
      <c r="AI28" s="549"/>
      <c r="AJ28" s="549"/>
      <c r="AK28" s="503"/>
      <c r="AL28" s="591"/>
      <c r="AM28" s="591"/>
      <c r="AN28" s="591"/>
      <c r="AO28" s="591"/>
      <c r="AP28" s="591"/>
    </row>
    <row s="13547" customFormat="1" customHeight="1" ht="18.75">
      <c r="A29" s="1596"/>
      <c r="B29" s="1596"/>
      <c r="C29" s="1596"/>
      <c r="D29" s="1596"/>
      <c r="E29" s="1596"/>
      <c r="F29" s="1596"/>
      <c r="G29" s="1596"/>
      <c r="H29" s="1596"/>
      <c r="I29" s="1596"/>
      <c r="J29" s="1596"/>
      <c r="K29" s="1596"/>
      <c r="L29" s="1597"/>
      <c r="M29" s="1596"/>
      <c r="N29" s="1596"/>
      <c r="O29" s="1596"/>
      <c r="S29" s="2380" t="s">
        <v>423</v>
      </c>
      <c r="T29" s="2380"/>
      <c r="U29" s="1600"/>
      <c r="V29" s="2382" t="str">
        <f>IF(TITLE_NUMBER_PR_CHANGE="",IF(TITLE_NUMBER_PR="","",TITLE_NUMBER_PR),TITLE_NUMBER_PR_CHANGE)</f>
        <v>72/1</v>
      </c>
      <c r="W29" s="2382"/>
      <c r="X29" s="2382"/>
      <c r="Y29" s="2382"/>
      <c r="Z29" s="2382"/>
      <c r="AA29" s="2382"/>
      <c r="AB29" s="549"/>
      <c r="AC29" s="2382" t="str">
        <f>IF(TITLE_NUMBER_PR_CHANGE="",IF(TITLE_NUMBER_PR="","",TITLE_NUMBER_PR),TITLE_NUMBER_PR_CHANGE)</f>
        <v>72/1</v>
      </c>
      <c r="AD29" s="2382"/>
      <c r="AE29" s="2382"/>
      <c r="AF29" s="2382"/>
      <c r="AG29" s="2382"/>
      <c r="AH29" s="2382"/>
      <c r="AI29" s="549"/>
      <c r="AJ29" s="549"/>
      <c r="AK29" s="503"/>
      <c r="AL29" s="591"/>
      <c r="AM29" s="591"/>
      <c r="AN29" s="591"/>
      <c r="AO29" s="591"/>
      <c r="AP29" s="591"/>
    </row>
    <row s="13547"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http://pravo.gov.ru Номер опубликования: 2501202312270032 Дата опубликования: 27.12.2023</v>
      </c>
      <c r="W30" s="2382"/>
      <c r="X30" s="2382"/>
      <c r="Y30" s="2382"/>
      <c r="Z30" s="2382"/>
      <c r="AA30" s="2382"/>
      <c r="AB30" s="549"/>
      <c r="AC30" s="2382" t="str">
        <f>IF(TITLE_IST_PUB_CHANGE="",IF(TITLE_IST_PUB="","",TITLE_IST_PUB),TITLE_IST_PUB_CHANGE)</f>
        <v>http://pravo.gov.ru Номер опубликования: 2501202312270032 Дата опубликования: 27.12.2023</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3547" customFormat="1" customHeight="1" ht="18.75" hidden="1">
      <c r="A32" s="1596"/>
      <c r="B32" s="1596"/>
      <c r="C32" s="1596"/>
      <c r="D32" s="1596"/>
      <c r="E32" s="1596"/>
      <c r="F32" s="1596"/>
      <c r="G32" s="1596"/>
      <c r="H32" s="1596"/>
      <c r="I32" s="1596"/>
      <c r="J32" s="1596"/>
      <c r="K32" s="1596"/>
      <c r="L32" s="1597"/>
      <c r="M32" s="1596"/>
      <c r="N32" s="1596"/>
      <c r="O32" s="1596"/>
      <c r="S32" s="2380" t="s">
        <v>424</v>
      </c>
      <c r="T32" s="2380"/>
      <c r="U32" s="1600"/>
      <c r="V32" s="2381" t="str">
        <f>IF(TITLE_DATE_PR_CHANGE="",IF(TITLE_DATE_PR="","",TITLE_DATE_PR),TITLE_DATE_PR_CHANGE)</f>
        <v>45281.66994212963</v>
      </c>
      <c r="W32" s="2381"/>
      <c r="X32" s="2381"/>
      <c r="Y32" s="2381"/>
      <c r="Z32" s="2381"/>
      <c r="AA32" s="2381"/>
      <c r="AB32" s="549"/>
      <c r="AC32" s="2381" t="str">
        <f>IF(TITLE_DATE_PR_CHANGE="",IF(TITLE_DATE_PR="","",TITLE_DATE_PR),TITLE_DATE_PR_CHANGE)</f>
        <v>45281.66994212963</v>
      </c>
      <c r="AD32" s="2381"/>
      <c r="AE32" s="2381"/>
      <c r="AF32" s="2381"/>
      <c r="AG32" s="2381"/>
      <c r="AH32" s="2381"/>
      <c r="AI32" s="549"/>
      <c r="AJ32" s="549"/>
      <c r="AK32" s="503"/>
      <c r="AL32" s="591"/>
      <c r="AM32" s="591"/>
      <c r="AN32" s="591"/>
      <c r="AO32" s="591"/>
      <c r="AP32" s="591"/>
    </row>
    <row s="13547" customFormat="1" customHeight="1" ht="18.75" hidden="1">
      <c r="A33" s="1596"/>
      <c r="B33" s="1596"/>
      <c r="C33" s="1596"/>
      <c r="D33" s="1596"/>
      <c r="E33" s="1596"/>
      <c r="F33" s="1596"/>
      <c r="G33" s="1596"/>
      <c r="H33" s="1596"/>
      <c r="I33" s="1596"/>
      <c r="J33" s="1596"/>
      <c r="K33" s="1596"/>
      <c r="L33" s="1597"/>
      <c r="M33" s="1596"/>
      <c r="N33" s="1596"/>
      <c r="O33" s="1596"/>
      <c r="S33" s="2380" t="s">
        <v>425</v>
      </c>
      <c r="T33" s="2380"/>
      <c r="U33" s="1600"/>
      <c r="V33" s="2382" t="str">
        <f>IF(TITLE_NUMBER_PR_CHANGE="",IF(TITLE_NUMBER_PR="","",TITLE_NUMBER_PR),TITLE_NUMBER_PR_CHANGE)</f>
        <v>72/1</v>
      </c>
      <c r="W33" s="2382"/>
      <c r="X33" s="2382"/>
      <c r="Y33" s="2382"/>
      <c r="Z33" s="2382"/>
      <c r="AA33" s="2382"/>
      <c r="AB33" s="549"/>
      <c r="AC33" s="2382" t="str">
        <f>IF(TITLE_NUMBER_PR_CHANGE="",IF(TITLE_NUMBER_PR="","",TITLE_NUMBER_PR),TITLE_NUMBER_PR_CHANGE)</f>
        <v>72/1</v>
      </c>
      <c r="AD33" s="2382"/>
      <c r="AE33" s="2382"/>
      <c r="AF33" s="2382"/>
      <c r="AG33" s="2382"/>
      <c r="AH33" s="2382"/>
      <c r="AI33" s="549"/>
      <c r="AJ33" s="549"/>
      <c r="AK33" s="503"/>
      <c r="AL33" s="591"/>
      <c r="AM33" s="591"/>
      <c r="AN33" s="591"/>
      <c r="AO33" s="591"/>
      <c r="AP33" s="591"/>
    </row>
    <row s="13547"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549"/>
      <c r="X34" s="549"/>
      <c r="Y34" s="549"/>
      <c r="Z34" s="549"/>
      <c r="AA34" s="549"/>
      <c r="AB34" s="501" t="s">
        <v>426</v>
      </c>
      <c r="AC34" s="549"/>
      <c r="AD34" s="549"/>
      <c r="AE34" s="549"/>
      <c r="AF34" s="549"/>
      <c r="AG34" s="549"/>
      <c r="AH34" s="549"/>
      <c r="AI34" s="501" t="s">
        <v>426</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301</v>
      </c>
      <c r="T36" s="2254"/>
      <c r="U36" s="2254"/>
      <c r="V36" s="2254"/>
      <c r="W36" s="2254"/>
      <c r="X36" s="2254"/>
      <c r="Y36" s="2254"/>
      <c r="Z36" s="2254"/>
      <c r="AA36" s="2254"/>
      <c r="AB36" s="2254"/>
      <c r="AC36" s="2254"/>
      <c r="AD36" s="2254"/>
      <c r="AE36" s="2254"/>
      <c r="AF36" s="2254"/>
      <c r="AG36" s="2254"/>
      <c r="AH36" s="2254"/>
      <c r="AI36" s="2254"/>
      <c r="AJ36" s="2254"/>
      <c r="AK36" s="2254" t="s">
        <v>302</v>
      </c>
    </row>
    <row customHeight="1" ht="14.25">
      <c r="Q37" s="599"/>
      <c r="R37" s="599"/>
      <c r="S37" s="2407" t="s">
        <v>87</v>
      </c>
      <c r="T37" s="2344" t="s">
        <v>427</v>
      </c>
      <c r="U37" s="524"/>
      <c r="V37" s="2408" t="s">
        <v>428</v>
      </c>
      <c r="W37" s="2409"/>
      <c r="X37" s="2409"/>
      <c r="Y37" s="2409"/>
      <c r="Z37" s="2409"/>
      <c r="AA37" s="2410"/>
      <c r="AB37" s="2411" t="s">
        <v>429</v>
      </c>
      <c r="AC37" s="2408" t="s">
        <v>428</v>
      </c>
      <c r="AD37" s="2409"/>
      <c r="AE37" s="2409"/>
      <c r="AF37" s="2409"/>
      <c r="AG37" s="2409"/>
      <c r="AH37" s="2410"/>
      <c r="AI37" s="2411" t="s">
        <v>430</v>
      </c>
      <c r="AJ37" s="2414" t="s">
        <v>431</v>
      </c>
      <c r="AK37" s="2254"/>
    </row>
    <row customHeight="1" ht="33.75">
      <c r="Q38" s="599"/>
      <c r="R38" s="599"/>
      <c r="S38" s="2407"/>
      <c r="T38" s="2344"/>
      <c r="U38" s="1255"/>
      <c r="V38" s="1711" t="s">
        <v>488</v>
      </c>
      <c r="W38" s="2400" t="s">
        <v>434</v>
      </c>
      <c r="X38" s="2402"/>
      <c r="Y38" s="2400" t="s">
        <v>435</v>
      </c>
      <c r="Z38" s="2401"/>
      <c r="AA38" s="2402"/>
      <c r="AB38" s="2412"/>
      <c r="AC38" s="1711" t="s">
        <v>488</v>
      </c>
      <c r="AD38" s="2400" t="s">
        <v>434</v>
      </c>
      <c r="AE38" s="2402"/>
      <c r="AF38" s="2400" t="s">
        <v>435</v>
      </c>
      <c r="AG38" s="2401"/>
      <c r="AH38" s="2402"/>
      <c r="AI38" s="2412"/>
      <c r="AJ38" s="2415"/>
      <c r="AK38" s="2254"/>
    </row>
    <row customHeight="1" ht="86.25">
      <c r="A39" s="1598"/>
      <c r="B39" s="1598" t="s">
        <v>134</v>
      </c>
      <c r="C39" s="1598" t="s">
        <v>135</v>
      </c>
      <c r="D39" s="1598" t="s">
        <v>136</v>
      </c>
      <c r="E39" s="1592" t="s">
        <v>436</v>
      </c>
      <c r="F39" s="1592" t="s">
        <v>437</v>
      </c>
      <c r="G39" s="1592" t="s">
        <v>438</v>
      </c>
      <c r="H39" s="1592"/>
      <c r="I39" s="1592" t="s">
        <v>489</v>
      </c>
      <c r="J39" s="1592" t="s">
        <v>441</v>
      </c>
      <c r="K39" s="1592" t="s">
        <v>490</v>
      </c>
      <c r="L39" s="1592" t="s">
        <v>417</v>
      </c>
      <c r="Q39" s="599"/>
      <c r="R39" s="599"/>
      <c r="S39" s="2407"/>
      <c r="T39" s="2344"/>
      <c r="U39" s="525"/>
      <c r="V39" s="1711" t="s">
        <v>517</v>
      </c>
      <c r="W39" s="1449" t="s">
        <v>518</v>
      </c>
      <c r="X39" s="1449" t="s">
        <v>493</v>
      </c>
      <c r="Y39" s="1717" t="s">
        <v>445</v>
      </c>
      <c r="Z39" s="2403" t="s">
        <v>446</v>
      </c>
      <c r="AA39" s="2404"/>
      <c r="AB39" s="2413"/>
      <c r="AC39" s="1711" t="s">
        <v>517</v>
      </c>
      <c r="AD39" s="1449" t="s">
        <v>518</v>
      </c>
      <c r="AE39" s="1449" t="s">
        <v>493</v>
      </c>
      <c r="AF39" s="1717" t="s">
        <v>445</v>
      </c>
      <c r="AG39" s="2403" t="s">
        <v>446</v>
      </c>
      <c r="AH39" s="2404"/>
      <c r="AI39" s="2413"/>
      <c r="AJ39" s="2416"/>
      <c r="AK39" s="2254"/>
    </row>
    <row s="13364" customFormat="1" customHeight="1" ht="11.25" hidden="1">
      <c r="A40" s="1598"/>
      <c r="B40" s="1598"/>
      <c r="C40" s="1598"/>
      <c r="D40" s="1598"/>
      <c r="E40" s="1598"/>
      <c r="F40" s="1598"/>
      <c r="G40" s="1598"/>
      <c r="H40" s="1598"/>
      <c r="I40" s="1598"/>
      <c r="J40" s="1598"/>
      <c r="K40" s="1598"/>
      <c r="L40" s="1592"/>
      <c r="M40" s="1590"/>
      <c r="N40" s="1590"/>
      <c r="O40" s="1590"/>
      <c r="P40" s="1473"/>
      <c r="Q40" s="1474"/>
      <c r="R40" s="1481">
        <v>1</v>
      </c>
      <c r="S40" s="1505" t="s">
        <v>108</v>
      </c>
      <c r="T40" s="1482" t="s">
        <v>109</v>
      </c>
      <c r="U40" s="1472" t="str">
        <f>OFFSET(U40,0,-1)</f>
        <v>2</v>
      </c>
      <c r="V40" s="1710">
        <f>OFFSET(V40,0,-1)+1</f>
        <v>3</v>
      </c>
      <c r="W40" s="1710">
        <f>OFFSET(W40,0,-1)+1</f>
        <v>4</v>
      </c>
      <c r="X40" s="1710">
        <f>OFFSET(X40,0,-1)+1</f>
        <v>5</v>
      </c>
      <c r="Y40" s="1710">
        <f>OFFSET(Y40,0,-1)+1</f>
        <v>6</v>
      </c>
      <c r="Z40" s="2405">
        <f>OFFSET(Z40,0,-1)+1</f>
        <v>7</v>
      </c>
      <c r="AA40" s="2405"/>
      <c r="AB40" s="1710">
        <f>OFFSET(AB40,0,-2)+1</f>
        <v>8</v>
      </c>
      <c r="AC40" s="1710">
        <f>OFFSET(AC40,0,-1)+1</f>
        <v>9</v>
      </c>
      <c r="AD40" s="1710">
        <f>OFFSET(AD40,0,-1)+1</f>
        <v>10</v>
      </c>
      <c r="AE40" s="1710">
        <f>OFFSET(AE40,0,-1)+1</f>
        <v>11</v>
      </c>
      <c r="AF40" s="1710">
        <f>OFFSET(AF40,0,-1)+1</f>
        <v>12</v>
      </c>
      <c r="AG40" s="2405">
        <f>OFFSET(AG40,0,-1)+1</f>
        <v>13</v>
      </c>
      <c r="AH40" s="2405"/>
      <c r="AI40" s="1710">
        <f>OFFSET(AI40,0,-2)+1</f>
        <v>14</v>
      </c>
      <c r="AJ40" s="1472">
        <f>OFFSET(AJ40,0,-1)</f>
        <v>14</v>
      </c>
      <c r="AK40" s="1710">
        <f>OFFSET(AK40,0,-1)+1</f>
        <v>15</v>
      </c>
      <c r="AL40" s="734"/>
      <c r="AM40" s="734"/>
      <c r="AN40" s="734"/>
      <c r="AO40" s="734"/>
      <c r="AP40" s="734"/>
    </row>
    <row customHeight="1" ht="23.25">
      <c r="A41" s="1591" t="s">
        <v>267</v>
      </c>
      <c r="B41" s="1591"/>
      <c r="C41" s="1591"/>
      <c r="D41" s="1591"/>
      <c r="E41" s="2389">
        <v>1</v>
      </c>
      <c r="F41" s="1591"/>
      <c r="G41" s="1591"/>
      <c r="H41" s="1591"/>
      <c r="I41" s="1591"/>
      <c r="J41" s="1591"/>
      <c r="K41" s="1591"/>
      <c r="L41" s="1592"/>
      <c r="M41" s="1593"/>
      <c r="N41" s="1593"/>
      <c r="O41" s="1593"/>
      <c r="P41" s="584"/>
      <c r="Q41" s="583"/>
      <c r="R41" s="578"/>
      <c r="S41" s="1721">
        <f>INDEX(PT_DIFFERENTIATION_NUM_NTAR,MATCH(A41,PT_DIFFERENTIATION_NTAR_ID,0))</f>
        <v>0</v>
      </c>
      <c r="T41" s="521" t="s">
        <v>122</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267</v>
      </c>
      <c r="B42" s="1591" t="s">
        <v>268</v>
      </c>
      <c r="C42" s="1591"/>
      <c r="D42" s="1591"/>
      <c r="E42" s="2390"/>
      <c r="F42" s="2389">
        <v>1</v>
      </c>
      <c r="G42" s="1591"/>
      <c r="H42" s="1591"/>
      <c r="I42" s="1591"/>
      <c r="J42" s="1591"/>
      <c r="K42" s="1591"/>
      <c r="L42" s="1592"/>
      <c r="M42" s="1593"/>
      <c r="N42" s="1593"/>
      <c r="O42" s="1593"/>
      <c r="P42" s="1715"/>
      <c r="Q42" s="575"/>
      <c r="R42" s="576"/>
      <c r="S42" s="1721" t="str">
        <f>INDEX(PT_DIFFERENTIATION_NUM_TER,MATCH(B42,PT_DIFFERENTIATION_TER_ID,0))</f>
        <v>.</v>
      </c>
      <c r="T42" s="531" t="s">
        <v>398</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399</v>
      </c>
      <c r="AM42" s="723"/>
      <c r="AN42" s="723" t="str">
        <f>IF(T42="","",T42)</f>
        <v>Территория действия тарифа</v>
      </c>
      <c r="AO42" s="723"/>
      <c r="AP42" s="723"/>
    </row>
    <row customHeight="1" ht="23.25">
      <c r="A43" s="1591" t="s">
        <v>267</v>
      </c>
      <c r="B43" s="1591" t="s">
        <v>268</v>
      </c>
      <c r="C43" s="1591" t="s">
        <v>269</v>
      </c>
      <c r="D43" s="1591"/>
      <c r="E43" s="2390"/>
      <c r="F43" s="2390"/>
      <c r="G43" s="2389">
        <v>1</v>
      </c>
      <c r="H43" s="1591"/>
      <c r="I43" s="1591"/>
      <c r="J43" s="1591"/>
      <c r="K43" s="1591"/>
      <c r="L43" s="1592"/>
      <c r="M43" s="1593"/>
      <c r="N43" s="1593"/>
      <c r="O43" s="1593"/>
      <c r="P43" s="577"/>
      <c r="Q43" s="575"/>
      <c r="R43" s="576"/>
      <c r="S43" s="1721" t="str">
        <f>INDEX(PT_DIFFERENTIATION_NUM_CS,MATCH(C43,PT_DIFFERENTIATION_CS_ID,0))</f>
        <v>..</v>
      </c>
      <c r="T43" s="532" t="s">
        <v>515</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516</v>
      </c>
      <c r="AM43" s="723"/>
      <c r="AN43" s="723" t="str">
        <f>IF(T43="","",T43)</f>
        <v>Наименование централизованной системы водоотведения</v>
      </c>
      <c r="AO43" s="723"/>
      <c r="AP43" s="723"/>
    </row>
    <row customHeight="1" ht="23.25">
      <c r="A44" s="1591" t="s">
        <v>267</v>
      </c>
      <c r="B44" s="1591" t="s">
        <v>268</v>
      </c>
      <c r="C44" s="1591" t="s">
        <v>269</v>
      </c>
      <c r="D44" s="1591" t="s">
        <v>519</v>
      </c>
      <c r="E44" s="2390"/>
      <c r="F44" s="2390"/>
      <c r="G44" s="2390"/>
      <c r="H44" s="2390"/>
      <c r="I44" s="2391" t="str">
        <f>S43&amp;".1"</f>
        <v>...1</v>
      </c>
      <c r="J44" s="1591"/>
      <c r="K44" s="1591"/>
      <c r="L44" s="1592"/>
      <c r="P44" s="2393">
        <v>1</v>
      </c>
      <c r="Q44" s="1709"/>
      <c r="R44" s="579"/>
      <c r="S44" s="1721" t="str">
        <f>$I44</f>
        <v>...1</v>
      </c>
      <c r="T44" s="508" t="s">
        <v>482</v>
      </c>
      <c r="U44" s="523"/>
      <c r="V44" s="2476"/>
      <c r="W44" s="2477"/>
      <c r="X44" s="2477"/>
      <c r="Y44" s="2477"/>
      <c r="Z44" s="2477"/>
      <c r="AA44" s="2477"/>
      <c r="AB44" s="2478"/>
      <c r="AC44" s="2479"/>
      <c r="AD44" s="2480"/>
      <c r="AE44" s="2480"/>
      <c r="AF44" s="2480"/>
      <c r="AG44" s="2480"/>
      <c r="AH44" s="2480"/>
      <c r="AI44" s="2480"/>
      <c r="AJ44" s="2481"/>
      <c r="AK44" s="1485" t="s">
        <v>483</v>
      </c>
      <c r="AM44" s="723"/>
      <c r="AN44" s="723" t="str">
        <f>IF(T44="","",T44)</f>
        <v>Наименование признака дифференциации</v>
      </c>
      <c r="AO44" s="723"/>
      <c r="AP44" s="723"/>
    </row>
    <row customHeight="1" ht="23.25">
      <c r="A45" s="1591" t="s">
        <v>267</v>
      </c>
      <c r="B45" s="1591" t="s">
        <v>268</v>
      </c>
      <c r="C45" s="1591" t="s">
        <v>269</v>
      </c>
      <c r="D45" s="1591" t="s">
        <v>519</v>
      </c>
      <c r="E45" s="2390"/>
      <c r="F45" s="2390"/>
      <c r="G45" s="2390"/>
      <c r="H45" s="2390"/>
      <c r="I45" s="2392"/>
      <c r="J45" s="2391" t="str">
        <f>I44&amp;".1"</f>
        <v>...1.1</v>
      </c>
      <c r="K45" s="1591"/>
      <c r="L45" s="1592" t="s">
        <v>407</v>
      </c>
      <c r="P45" s="2393"/>
      <c r="Q45" s="2393">
        <v>1</v>
      </c>
      <c r="R45" s="580"/>
      <c r="S45" s="1721" t="str">
        <f>$J45</f>
        <v>...1.1</v>
      </c>
      <c r="T45" s="509" t="s">
        <v>408</v>
      </c>
      <c r="U45" s="523"/>
      <c r="V45" s="2377"/>
      <c r="W45" s="2378"/>
      <c r="X45" s="2378"/>
      <c r="Y45" s="2378"/>
      <c r="Z45" s="2378"/>
      <c r="AA45" s="2378"/>
      <c r="AB45" s="2379"/>
      <c r="AC45" s="2377"/>
      <c r="AD45" s="2378"/>
      <c r="AE45" s="2378"/>
      <c r="AF45" s="2378"/>
      <c r="AG45" s="2378"/>
      <c r="AH45" s="2378"/>
      <c r="AI45" s="2378"/>
      <c r="AJ45" s="2379"/>
      <c r="AK45" s="1535" t="s">
        <v>484</v>
      </c>
      <c r="AM45" s="723"/>
      <c r="AN45" s="723" t="str">
        <f>IF(T45="","",T45)</f>
        <v>Группа потребителей</v>
      </c>
      <c r="AO45" s="723"/>
      <c r="AP45" s="723"/>
    </row>
    <row customHeight="1" ht="23.25">
      <c r="A46" s="1591" t="s">
        <v>267</v>
      </c>
      <c r="B46" s="1591" t="s">
        <v>268</v>
      </c>
      <c r="C46" s="1591" t="s">
        <v>269</v>
      </c>
      <c r="D46" s="1591" t="s">
        <v>519</v>
      </c>
      <c r="E46" s="2390"/>
      <c r="F46" s="2390"/>
      <c r="G46" s="2390"/>
      <c r="H46" s="2390"/>
      <c r="I46" s="2392"/>
      <c r="J46" s="2392"/>
      <c r="K46" s="2391" t="str">
        <f>J45&amp;".1"</f>
        <v>...1.1.1</v>
      </c>
      <c r="L46" s="1592"/>
      <c r="P46" s="2393"/>
      <c r="Q46" s="2393"/>
      <c r="R46" s="580">
        <v>1</v>
      </c>
      <c r="S46" s="1721" t="str">
        <f>$K46</f>
        <v>...1.1.1</v>
      </c>
      <c r="T46" s="1665"/>
      <c r="U46" s="523"/>
      <c r="V46" s="1588"/>
      <c r="W46" s="1588"/>
      <c r="X46" s="1589"/>
      <c r="Y46" s="2387"/>
      <c r="Z46" s="2386" t="s">
        <v>66</v>
      </c>
      <c r="AA46" s="2387"/>
      <c r="AB46" s="2386" t="s">
        <v>66</v>
      </c>
      <c r="AC46" s="974"/>
      <c r="AD46" s="974"/>
      <c r="AE46" s="1484"/>
      <c r="AF46" s="2394"/>
      <c r="AG46" s="2264" t="s">
        <v>66</v>
      </c>
      <c r="AH46" s="2396"/>
      <c r="AI46" s="2264" t="s">
        <v>56</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267</v>
      </c>
      <c r="B47" s="1591" t="s">
        <v>268</v>
      </c>
      <c r="C47" s="1591" t="s">
        <v>269</v>
      </c>
      <c r="D47" s="1591" t="s">
        <v>519</v>
      </c>
      <c r="E47" s="2390"/>
      <c r="F47" s="2390"/>
      <c r="G47" s="2390"/>
      <c r="H47" s="2390"/>
      <c r="I47" s="2392"/>
      <c r="J47" s="2392"/>
      <c r="K47" s="2391"/>
      <c r="L47" s="1592"/>
      <c r="P47" s="2393"/>
      <c r="Q47" s="2393"/>
      <c r="R47" s="580"/>
      <c r="S47" s="1718"/>
      <c r="T47" s="523"/>
      <c r="U47" s="523"/>
      <c r="V47" s="1588"/>
      <c r="W47" s="1588"/>
      <c r="X47" s="551" t="str">
        <f>Y46&amp;"-"&amp;AA46</f>
        <v>-</v>
      </c>
      <c r="Y47" s="2386"/>
      <c r="Z47" s="2386"/>
      <c r="AA47" s="2386"/>
      <c r="AB47" s="2386"/>
      <c r="AC47" s="548"/>
      <c r="AD47" s="548"/>
      <c r="AE47" s="551" t="str">
        <f>AF46&amp;"-"&amp;AH46</f>
        <v>-</v>
      </c>
      <c r="AF47" s="2395"/>
      <c r="AG47" s="2264"/>
      <c r="AH47" s="2397"/>
      <c r="AI47" s="2264"/>
      <c r="AJ47" s="1667"/>
      <c r="AK47" s="2482"/>
      <c r="AM47" s="723"/>
      <c r="AN47" s="723" t="str">
        <f>IF(T47="","",T47)</f>
        <v/>
      </c>
      <c r="AO47" s="723"/>
      <c r="AP47" s="723"/>
    </row>
    <row customHeight="1" ht="21">
      <c r="A48" s="1591" t="s">
        <v>267</v>
      </c>
      <c r="B48" s="1591" t="s">
        <v>268</v>
      </c>
      <c r="C48" s="1591" t="s">
        <v>269</v>
      </c>
      <c r="D48" s="1591" t="s">
        <v>519</v>
      </c>
      <c r="E48" s="2390"/>
      <c r="F48" s="2390"/>
      <c r="G48" s="2390"/>
      <c r="H48" s="2390"/>
      <c r="I48" s="2392"/>
      <c r="J48" s="2391"/>
      <c r="K48" s="1591"/>
      <c r="L48" s="1592"/>
      <c r="P48" s="2393"/>
      <c r="Q48" s="2393"/>
      <c r="R48" s="579"/>
      <c r="S48" s="1506"/>
      <c r="T48" s="510" t="s">
        <v>485</v>
      </c>
      <c r="U48" s="590"/>
      <c r="V48" s="590"/>
      <c r="W48" s="590"/>
      <c r="X48" s="590"/>
      <c r="Y48" s="590"/>
      <c r="Z48" s="590"/>
      <c r="AA48" s="590"/>
      <c r="AB48" s="590"/>
      <c r="AC48" s="590"/>
      <c r="AD48" s="590"/>
      <c r="AE48" s="590"/>
      <c r="AF48" s="590"/>
      <c r="AG48" s="590"/>
      <c r="AH48" s="590"/>
      <c r="AI48" s="590"/>
      <c r="AJ48" s="590"/>
      <c r="AK48" s="1485" t="s">
        <v>486</v>
      </c>
      <c r="AM48" s="723"/>
      <c r="AN48" s="723" t="str">
        <f>IF(T48="","",T48)</f>
        <v>Добавить значение признака дифференциации</v>
      </c>
      <c r="AO48" s="723"/>
      <c r="AP48" s="723"/>
    </row>
    <row customHeight="1" ht="21">
      <c r="A49" s="1591" t="s">
        <v>267</v>
      </c>
      <c r="B49" s="1591" t="s">
        <v>268</v>
      </c>
      <c r="C49" s="1591" t="s">
        <v>269</v>
      </c>
      <c r="D49" s="1591" t="s">
        <v>519</v>
      </c>
      <c r="E49" s="2390"/>
      <c r="F49" s="2390"/>
      <c r="G49" s="2390"/>
      <c r="H49" s="2390"/>
      <c r="I49" s="2391"/>
      <c r="J49" s="1591"/>
      <c r="K49" s="1591"/>
      <c r="L49" s="1592"/>
      <c r="P49" s="2393"/>
      <c r="Q49" s="1709"/>
      <c r="R49" s="579"/>
      <c r="S49" s="1506"/>
      <c r="T49" s="588" t="s">
        <v>413</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267</v>
      </c>
      <c r="B50" s="1591" t="s">
        <v>268</v>
      </c>
      <c r="C50" s="1591" t="s">
        <v>269</v>
      </c>
      <c r="D50" s="1591" t="s">
        <v>519</v>
      </c>
      <c r="E50" s="2390"/>
      <c r="F50" s="2390"/>
      <c r="G50" s="2390"/>
      <c r="H50" s="2389"/>
      <c r="I50" s="1591"/>
      <c r="J50" s="1591"/>
      <c r="K50" s="1591"/>
      <c r="L50" s="1592"/>
      <c r="M50" s="1593"/>
      <c r="N50" s="1593"/>
      <c r="O50" s="760"/>
      <c r="P50" s="583"/>
      <c r="Q50" s="598"/>
      <c r="R50" s="578"/>
      <c r="S50" s="1506"/>
      <c r="T50" s="595" t="s">
        <v>487</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3514" customFormat="1" customHeight="1" ht="0">
      <c r="A51" s="1571" t="s">
        <v>267</v>
      </c>
      <c r="B51" s="1571" t="s">
        <v>268</v>
      </c>
      <c r="C51" s="1542"/>
      <c r="D51" s="1542"/>
      <c r="E51" s="2390"/>
      <c r="F51" s="2389"/>
      <c r="G51" s="1542"/>
      <c r="H51" s="1542"/>
      <c r="I51" s="1542"/>
      <c r="J51" s="1542"/>
      <c r="K51" s="1542"/>
      <c r="L51" s="1722"/>
      <c r="M51" s="1549"/>
      <c r="N51" s="1549"/>
      <c r="P51" s="1544"/>
      <c r="Q51" s="1545"/>
      <c r="R51" s="1544"/>
      <c r="S51" s="1550"/>
      <c r="T51" s="1553" t="s">
        <v>252</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3606" customFormat="1" customHeight="1" ht="0">
      <c r="A52" s="1571" t="s">
        <v>267</v>
      </c>
      <c r="B52" s="1571"/>
      <c r="C52" s="1571"/>
      <c r="D52" s="1571"/>
      <c r="E52" s="2389"/>
      <c r="F52" s="1571"/>
      <c r="G52" s="1571"/>
      <c r="H52" s="1571"/>
      <c r="I52" s="1571"/>
      <c r="J52" s="1571"/>
      <c r="K52" s="1571"/>
      <c r="L52" s="1574"/>
      <c r="M52" s="1549"/>
      <c r="N52" s="1549"/>
      <c r="O52" s="741"/>
      <c r="P52" s="603"/>
      <c r="Q52" s="1572"/>
      <c r="R52" s="603"/>
      <c r="S52" s="1550"/>
      <c r="T52" s="1553" t="s">
        <v>253</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3514" customFormat="1" customHeight="1" ht="0">
      <c r="A53" s="1542"/>
      <c r="B53" s="1542"/>
      <c r="C53" s="1542"/>
      <c r="D53" s="1542"/>
      <c r="E53" s="1571"/>
      <c r="F53" s="1542"/>
      <c r="G53" s="1542"/>
      <c r="H53" s="1542"/>
      <c r="I53" s="1542"/>
      <c r="J53" s="1542"/>
      <c r="K53" s="1542"/>
      <c r="L53" s="1722"/>
      <c r="M53" s="1549"/>
      <c r="N53" s="1549"/>
      <c r="P53" s="1544"/>
      <c r="Q53" s="1545"/>
      <c r="R53" s="1544"/>
      <c r="S53" s="1550"/>
      <c r="T53" s="1553" t="s">
        <v>254</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C4106-63F5-6716-DA9E-31FFF168CFA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533" width="10.57421875" hidden="1"/>
    <col min="2" max="2" style="13533" width="11.00390625" hidden="1" customWidth="1"/>
    <col min="3" max="3" style="13533" width="10.57421875" hidden="1"/>
    <col min="4" max="4" style="13533" width="11.8515625" hidden="1" customWidth="1"/>
    <col min="5" max="5" style="13533" width="10.00390625" hidden="1" customWidth="1"/>
    <col min="6" max="6" style="13533" width="8.7109375" hidden="1" customWidth="1"/>
    <col min="7" max="7" style="13533" width="7.57421875" hidden="1" customWidth="1"/>
    <col min="8" max="8" style="13533" width="11.421875" hidden="1" customWidth="1"/>
    <col min="9" max="9" style="13533" width="14.140625" hidden="1" customWidth="1"/>
    <col min="10" max="10" style="13533" width="9.8515625" hidden="1" customWidth="1"/>
    <col min="11" max="11" style="13533" width="14.7109375" hidden="1" customWidth="1"/>
    <col min="12" max="12" style="13884" width="19.140625" hidden="1" customWidth="1"/>
    <col min="13" max="14" style="13615" width="12.28125" hidden="1" customWidth="1"/>
    <col min="15" max="15" style="13615" width="23.421875" hidden="1" customWidth="1"/>
    <col min="16" max="16" style="13885" width="3.7109375" customWidth="1"/>
    <col min="17" max="18" style="13617" width="3.7109375" customWidth="1"/>
    <col min="19" max="19" style="13618" width="12.7109375" customWidth="1"/>
    <col min="20" max="20" style="13619" width="35.7109375" customWidth="1"/>
    <col min="21" max="21" style="13619" width="0.140625" customWidth="1"/>
    <col min="22" max="24" style="13619" width="24.7109375" hidden="1" customWidth="1"/>
    <col min="25" max="25" style="13619" width="11.7109375" hidden="1" customWidth="1"/>
    <col min="26" max="26" style="13619" width="3.7109375" hidden="1" customWidth="1"/>
    <col min="27" max="27" style="13619" width="11.7109375" hidden="1" customWidth="1"/>
    <col min="28" max="28" style="13619" width="8.57421875" hidden="1" customWidth="1"/>
    <col min="29" max="31" style="13619" width="24.7109375" customWidth="1"/>
    <col min="32" max="32" style="13619" width="11.7109375" customWidth="1"/>
    <col min="33" max="33" style="13619" width="3.7109375" customWidth="1"/>
    <col min="34" max="34" style="13619" width="11.7109375" customWidth="1"/>
    <col min="35" max="35" style="13619" width="8.57421875" hidden="1" customWidth="1"/>
    <col min="36" max="36" style="13619" width="4.7109375" customWidth="1"/>
    <col min="37" max="37" style="13619" width="115.7109375" customWidth="1"/>
    <col min="38" max="39" style="13606" width="10.57421875"/>
    <col min="40" max="40" style="13606" width="11.140625" customWidth="1"/>
    <col min="41" max="42" style="13606"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122</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398</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399</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515</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516</v>
      </c>
      <c r="AM4" s="723"/>
      <c r="AN4" s="723" t="str">
        <f>IF(T4="","",T4)</f>
        <v>Наименование централизованной системы водоотведения</v>
      </c>
      <c r="AO4" s="723"/>
      <c r="AP4" s="723"/>
    </row>
    <row customHeight="1" ht="23.25" hidden="1">
      <c r="A5" s="1591"/>
      <c r="B5" s="1591"/>
      <c r="C5" s="1591"/>
      <c r="D5" s="1591"/>
      <c r="E5" s="2390"/>
      <c r="F5" s="2390"/>
      <c r="G5" s="2390"/>
      <c r="H5" s="2390"/>
      <c r="I5" s="2391">
        <f>S4&amp;".1"</f>
      </c>
      <c r="J5" s="1591"/>
      <c r="K5" s="1591"/>
      <c r="L5" s="1592"/>
      <c r="P5" s="2393">
        <v>1</v>
      </c>
      <c r="Q5" s="1709"/>
      <c r="R5" s="579"/>
      <c r="S5" s="1721">
        <f>$I5</f>
      </c>
      <c r="T5" s="508" t="s">
        <v>482</v>
      </c>
      <c r="U5" s="523"/>
      <c r="V5" s="2476"/>
      <c r="W5" s="2477"/>
      <c r="X5" s="2477"/>
      <c r="Y5" s="2477"/>
      <c r="Z5" s="2477"/>
      <c r="AA5" s="2477"/>
      <c r="AB5" s="2478"/>
      <c r="AC5" s="2479"/>
      <c r="AD5" s="2480"/>
      <c r="AE5" s="2480"/>
      <c r="AF5" s="2480"/>
      <c r="AG5" s="2480"/>
      <c r="AH5" s="2480"/>
      <c r="AI5" s="2480"/>
      <c r="AJ5" s="2481"/>
      <c r="AK5" s="1485" t="s">
        <v>483</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407</v>
      </c>
      <c r="P6" s="2393"/>
      <c r="Q6" s="2393">
        <v>1</v>
      </c>
      <c r="R6" s="580"/>
      <c r="S6" s="1721">
        <f>$J6</f>
      </c>
      <c r="T6" s="509" t="s">
        <v>408</v>
      </c>
      <c r="U6" s="523"/>
      <c r="V6" s="2377"/>
      <c r="W6" s="2378"/>
      <c r="X6" s="2378"/>
      <c r="Y6" s="2378"/>
      <c r="Z6" s="2378"/>
      <c r="AA6" s="2378"/>
      <c r="AB6" s="2379"/>
      <c r="AC6" s="2377"/>
      <c r="AD6" s="2378"/>
      <c r="AE6" s="2378"/>
      <c r="AF6" s="2378"/>
      <c r="AG6" s="2378"/>
      <c r="AH6" s="2378"/>
      <c r="AI6" s="2378"/>
      <c r="AJ6" s="2379"/>
      <c r="AK6" s="1535" t="s">
        <v>484</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1484"/>
      <c r="Y7" s="2394"/>
      <c r="Z7" s="2264" t="s">
        <v>66</v>
      </c>
      <c r="AA7" s="2394"/>
      <c r="AB7" s="2264" t="s">
        <v>66</v>
      </c>
      <c r="AC7" s="974"/>
      <c r="AD7" s="974"/>
      <c r="AE7" s="1484"/>
      <c r="AF7" s="2394"/>
      <c r="AG7" s="2264" t="s">
        <v>66</v>
      </c>
      <c r="AH7" s="2396"/>
      <c r="AI7" s="2264" t="s">
        <v>66</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485</v>
      </c>
      <c r="U9" s="590"/>
      <c r="V9" s="590"/>
      <c r="W9" s="590"/>
      <c r="X9" s="590"/>
      <c r="Y9" s="590"/>
      <c r="Z9" s="590"/>
      <c r="AA9" s="590"/>
      <c r="AB9" s="590"/>
      <c r="AC9" s="590"/>
      <c r="AD9" s="590"/>
      <c r="AE9" s="590"/>
      <c r="AF9" s="590"/>
      <c r="AG9" s="590"/>
      <c r="AH9" s="590"/>
      <c r="AI9" s="590"/>
      <c r="AJ9" s="590"/>
      <c r="AK9" s="1485" t="s">
        <v>486</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709"/>
      <c r="R10" s="579"/>
      <c r="S10" s="1506"/>
      <c r="T10" s="588" t="s">
        <v>413</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487</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3514"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252</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13606"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253</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66</v>
      </c>
      <c r="AH15" s="2387"/>
      <c r="AI15" s="2386" t="s">
        <v>66</v>
      </c>
    </row>
    <row customHeight="1" ht="14.25" hidden="1">
      <c r="AC16" s="1588"/>
      <c r="AD16" s="1588"/>
      <c r="AE16" s="551" t="str">
        <f>AF15&amp;"-"&amp;AH15</f>
        <v>-</v>
      </c>
      <c r="AF16" s="2386"/>
      <c r="AG16" s="2386"/>
      <c r="AH16" s="2386"/>
      <c r="AI16" s="2386"/>
    </row>
    <row customHeight="1" ht="14.25" hidden="1">
      <c r="AI17" s="550"/>
    </row>
    <row s="13533" customFormat="1" customHeight="1" ht="22.5" hidden="1">
      <c r="L18" s="1706"/>
      <c r="M18" s="1590"/>
      <c r="N18" s="1590"/>
      <c r="O18" s="1595" t="s">
        <v>416</v>
      </c>
      <c r="P18" s="1590"/>
      <c r="Q18" s="1599"/>
      <c r="R18" s="1599"/>
      <c r="S18" s="952"/>
      <c r="Y18" s="1595"/>
      <c r="AA18" s="1595"/>
      <c r="AB18" s="1594"/>
      <c r="AF18" s="1595"/>
      <c r="AH18" s="1595"/>
      <c r="AI18" s="1594"/>
      <c r="AL18" s="734"/>
      <c r="AM18" s="734"/>
      <c r="AN18" s="734"/>
      <c r="AO18" s="734"/>
      <c r="AP18" s="734"/>
    </row>
    <row s="13533" customFormat="1" customHeight="1" ht="14.25" hidden="1">
      <c r="L19" s="1706"/>
      <c r="M19" s="1590"/>
      <c r="N19" s="1590"/>
      <c r="O19" s="1590"/>
      <c r="P19" s="1590"/>
      <c r="Q19" s="1599"/>
      <c r="R19" s="1599"/>
      <c r="S19" s="952"/>
      <c r="AB19" s="1594"/>
      <c r="AI19" s="1594"/>
      <c r="AL19" s="734"/>
      <c r="AM19" s="734"/>
      <c r="AN19" s="734"/>
      <c r="AO19" s="734"/>
      <c r="AP19" s="734"/>
    </row>
    <row s="13533" customFormat="1" customHeight="1" ht="12" hidden="1">
      <c r="L20" s="1706"/>
      <c r="M20" s="1590"/>
      <c r="N20" s="1590"/>
      <c r="O20" s="1592" t="s">
        <v>417</v>
      </c>
      <c r="P20" s="1590"/>
      <c r="Q20" s="1670"/>
      <c r="R20" s="1670"/>
      <c r="S20" s="952"/>
      <c r="T20" s="1385" t="s">
        <v>418</v>
      </c>
      <c r="Z20" s="409" t="s">
        <v>419</v>
      </c>
      <c r="AB20" s="409" t="s">
        <v>420</v>
      </c>
      <c r="AC20" s="1385" t="s">
        <v>418</v>
      </c>
      <c r="AG20" s="409" t="s">
        <v>421</v>
      </c>
      <c r="AI20" s="409" t="s">
        <v>420</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ООО "Новая Энергетика"</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13547"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Агенство по тарифам Приморского края</v>
      </c>
      <c r="W27" s="2382"/>
      <c r="X27" s="2382"/>
      <c r="Y27" s="2382"/>
      <c r="Z27" s="2382"/>
      <c r="AA27" s="2382"/>
      <c r="AB27" s="549"/>
      <c r="AC27" s="2382" t="str">
        <f>IF(TITLE_NAME_OR_PR_CHANGE="",IF(TITLE_NAME_OR_PR="","",TITLE_NAME_OR_PR),TITLE_NAME_OR_PR_CHANGE)</f>
        <v>Агенство по тарифам Приморского края</v>
      </c>
      <c r="AD27" s="2382"/>
      <c r="AE27" s="2382"/>
      <c r="AF27" s="2382"/>
      <c r="AG27" s="2382"/>
      <c r="AH27" s="2382"/>
      <c r="AI27" s="549"/>
      <c r="AJ27" s="549"/>
      <c r="AK27" s="503"/>
      <c r="AL27" s="591"/>
      <c r="AM27" s="591"/>
      <c r="AN27" s="591"/>
      <c r="AO27" s="591"/>
      <c r="AP27" s="591"/>
    </row>
    <row s="13547" customFormat="1" customHeight="1" ht="18.75">
      <c r="A28" s="1596"/>
      <c r="B28" s="1596"/>
      <c r="C28" s="1596"/>
      <c r="D28" s="1596"/>
      <c r="E28" s="1596"/>
      <c r="F28" s="1596"/>
      <c r="G28" s="1596"/>
      <c r="H28" s="1596"/>
      <c r="I28" s="1596"/>
      <c r="J28" s="1596"/>
      <c r="K28" s="1596"/>
      <c r="L28" s="1597"/>
      <c r="M28" s="1596"/>
      <c r="N28" s="1596"/>
      <c r="O28" s="1596"/>
      <c r="S28" s="2380" t="s">
        <v>422</v>
      </c>
      <c r="T28" s="2380"/>
      <c r="U28" s="1600"/>
      <c r="V28" s="2381" t="str">
        <f>IF(TITLE_DATE_PR_CHANGE="",IF(TITLE_DATE_PR="","",TITLE_DATE_PR),TITLE_DATE_PR_CHANGE)</f>
        <v>45281.66994212963</v>
      </c>
      <c r="W28" s="2381"/>
      <c r="X28" s="2381"/>
      <c r="Y28" s="2381"/>
      <c r="Z28" s="2381"/>
      <c r="AA28" s="2381"/>
      <c r="AB28" s="549"/>
      <c r="AC28" s="2381" t="str">
        <f>IF(TITLE_DATE_PR_CHANGE="",IF(TITLE_DATE_PR="","",TITLE_DATE_PR),TITLE_DATE_PR_CHANGE)</f>
        <v>45281.66994212963</v>
      </c>
      <c r="AD28" s="2381"/>
      <c r="AE28" s="2381"/>
      <c r="AF28" s="2381"/>
      <c r="AG28" s="2381"/>
      <c r="AH28" s="2381"/>
      <c r="AI28" s="549"/>
      <c r="AJ28" s="549"/>
      <c r="AK28" s="503"/>
      <c r="AL28" s="591"/>
      <c r="AM28" s="591"/>
      <c r="AN28" s="591"/>
      <c r="AO28" s="591"/>
      <c r="AP28" s="591"/>
    </row>
    <row s="13547" customFormat="1" customHeight="1" ht="18.75">
      <c r="A29" s="1596"/>
      <c r="B29" s="1596"/>
      <c r="C29" s="1596"/>
      <c r="D29" s="1596"/>
      <c r="E29" s="1596"/>
      <c r="F29" s="1596"/>
      <c r="G29" s="1596"/>
      <c r="H29" s="1596"/>
      <c r="I29" s="1596"/>
      <c r="J29" s="1596"/>
      <c r="K29" s="1596"/>
      <c r="L29" s="1597"/>
      <c r="M29" s="1596"/>
      <c r="N29" s="1596"/>
      <c r="O29" s="1596"/>
      <c r="S29" s="2380" t="s">
        <v>423</v>
      </c>
      <c r="T29" s="2380"/>
      <c r="U29" s="1600"/>
      <c r="V29" s="2382" t="str">
        <f>IF(TITLE_NUMBER_PR_CHANGE="",IF(TITLE_NUMBER_PR="","",TITLE_NUMBER_PR),TITLE_NUMBER_PR_CHANGE)</f>
        <v>72/1</v>
      </c>
      <c r="W29" s="2382"/>
      <c r="X29" s="2382"/>
      <c r="Y29" s="2382"/>
      <c r="Z29" s="2382"/>
      <c r="AA29" s="2382"/>
      <c r="AB29" s="549"/>
      <c r="AC29" s="2382" t="str">
        <f>IF(TITLE_NUMBER_PR_CHANGE="",IF(TITLE_NUMBER_PR="","",TITLE_NUMBER_PR),TITLE_NUMBER_PR_CHANGE)</f>
        <v>72/1</v>
      </c>
      <c r="AD29" s="2382"/>
      <c r="AE29" s="2382"/>
      <c r="AF29" s="2382"/>
      <c r="AG29" s="2382"/>
      <c r="AH29" s="2382"/>
      <c r="AI29" s="549"/>
      <c r="AJ29" s="549"/>
      <c r="AK29" s="503"/>
      <c r="AL29" s="591"/>
      <c r="AM29" s="591"/>
      <c r="AN29" s="591"/>
      <c r="AO29" s="591"/>
      <c r="AP29" s="591"/>
    </row>
    <row s="13547"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http://pravo.gov.ru Номер опубликования: 2501202312270032 Дата опубликования: 27.12.2023</v>
      </c>
      <c r="W30" s="2382"/>
      <c r="X30" s="2382"/>
      <c r="Y30" s="2382"/>
      <c r="Z30" s="2382"/>
      <c r="AA30" s="2382"/>
      <c r="AB30" s="549"/>
      <c r="AC30" s="2382" t="str">
        <f>IF(TITLE_IST_PUB_CHANGE="",IF(TITLE_IST_PUB="","",TITLE_IST_PUB),TITLE_IST_PUB_CHANGE)</f>
        <v>http://pravo.gov.ru Номер опубликования: 2501202312270032 Дата опубликования: 27.12.2023</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13547" customFormat="1" customHeight="1" ht="18.75" hidden="1">
      <c r="A32" s="1596"/>
      <c r="B32" s="1596"/>
      <c r="C32" s="1596"/>
      <c r="D32" s="1596"/>
      <c r="E32" s="1596"/>
      <c r="F32" s="1596"/>
      <c r="G32" s="1596"/>
      <c r="H32" s="1596"/>
      <c r="I32" s="1596"/>
      <c r="J32" s="1596"/>
      <c r="K32" s="1596"/>
      <c r="L32" s="1597"/>
      <c r="M32" s="1596"/>
      <c r="N32" s="1596"/>
      <c r="O32" s="1596"/>
      <c r="S32" s="2380" t="s">
        <v>424</v>
      </c>
      <c r="T32" s="2380"/>
      <c r="U32" s="1600"/>
      <c r="V32" s="2381" t="str">
        <f>IF(TITLE_DATE_PR_CHANGE="",IF(TITLE_DATE_PR="","",TITLE_DATE_PR),TITLE_DATE_PR_CHANGE)</f>
        <v>45281.66994212963</v>
      </c>
      <c r="W32" s="2381"/>
      <c r="X32" s="2381"/>
      <c r="Y32" s="2381"/>
      <c r="Z32" s="2381"/>
      <c r="AA32" s="2381"/>
      <c r="AB32" s="549"/>
      <c r="AC32" s="2381" t="str">
        <f>IF(TITLE_DATE_PR_CHANGE="",IF(TITLE_DATE_PR="","",TITLE_DATE_PR),TITLE_DATE_PR_CHANGE)</f>
        <v>45281.66994212963</v>
      </c>
      <c r="AD32" s="2381"/>
      <c r="AE32" s="2381"/>
      <c r="AF32" s="2381"/>
      <c r="AG32" s="2381"/>
      <c r="AH32" s="2381"/>
      <c r="AI32" s="549"/>
      <c r="AJ32" s="549"/>
      <c r="AK32" s="503"/>
      <c r="AL32" s="591"/>
      <c r="AM32" s="591"/>
      <c r="AN32" s="591"/>
      <c r="AO32" s="591"/>
      <c r="AP32" s="591"/>
    </row>
    <row s="13547" customFormat="1" customHeight="1" ht="18.75" hidden="1">
      <c r="A33" s="1596"/>
      <c r="B33" s="1596"/>
      <c r="C33" s="1596"/>
      <c r="D33" s="1596"/>
      <c r="E33" s="1596"/>
      <c r="F33" s="1596"/>
      <c r="G33" s="1596"/>
      <c r="H33" s="1596"/>
      <c r="I33" s="1596"/>
      <c r="J33" s="1596"/>
      <c r="K33" s="1596"/>
      <c r="L33" s="1597"/>
      <c r="M33" s="1596"/>
      <c r="N33" s="1596"/>
      <c r="O33" s="1596"/>
      <c r="S33" s="2380" t="s">
        <v>425</v>
      </c>
      <c r="T33" s="2380"/>
      <c r="U33" s="1600"/>
      <c r="V33" s="2382" t="str">
        <f>IF(TITLE_NUMBER_PR_CHANGE="",IF(TITLE_NUMBER_PR="","",TITLE_NUMBER_PR),TITLE_NUMBER_PR_CHANGE)</f>
        <v>72/1</v>
      </c>
      <c r="W33" s="2382"/>
      <c r="X33" s="2382"/>
      <c r="Y33" s="2382"/>
      <c r="Z33" s="2382"/>
      <c r="AA33" s="2382"/>
      <c r="AB33" s="549"/>
      <c r="AC33" s="2382" t="str">
        <f>IF(TITLE_NUMBER_PR_CHANGE="",IF(TITLE_NUMBER_PR="","",TITLE_NUMBER_PR),TITLE_NUMBER_PR_CHANGE)</f>
        <v>72/1</v>
      </c>
      <c r="AD33" s="2382"/>
      <c r="AE33" s="2382"/>
      <c r="AF33" s="2382"/>
      <c r="AG33" s="2382"/>
      <c r="AH33" s="2382"/>
      <c r="AI33" s="549"/>
      <c r="AJ33" s="549"/>
      <c r="AK33" s="503"/>
      <c r="AL33" s="591"/>
      <c r="AM33" s="591"/>
      <c r="AN33" s="591"/>
      <c r="AO33" s="591"/>
      <c r="AP33" s="591"/>
    </row>
    <row s="13547"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549"/>
      <c r="X34" s="549"/>
      <c r="Y34" s="549"/>
      <c r="Z34" s="549"/>
      <c r="AA34" s="549"/>
      <c r="AB34" s="501" t="s">
        <v>426</v>
      </c>
      <c r="AC34" s="549"/>
      <c r="AD34" s="549"/>
      <c r="AE34" s="549"/>
      <c r="AF34" s="549"/>
      <c r="AG34" s="549"/>
      <c r="AH34" s="549"/>
      <c r="AI34" s="501" t="s">
        <v>426</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301</v>
      </c>
      <c r="T36" s="2254"/>
      <c r="U36" s="2254"/>
      <c r="V36" s="2254"/>
      <c r="W36" s="2254"/>
      <c r="X36" s="2254"/>
      <c r="Y36" s="2254"/>
      <c r="Z36" s="2254"/>
      <c r="AA36" s="2254"/>
      <c r="AB36" s="2254"/>
      <c r="AC36" s="2254"/>
      <c r="AD36" s="2254"/>
      <c r="AE36" s="2254"/>
      <c r="AF36" s="2254"/>
      <c r="AG36" s="2254"/>
      <c r="AH36" s="2254"/>
      <c r="AI36" s="2254"/>
      <c r="AJ36" s="2254"/>
      <c r="AK36" s="2254" t="s">
        <v>302</v>
      </c>
    </row>
    <row customHeight="1" ht="14.25">
      <c r="Q37" s="599"/>
      <c r="R37" s="599"/>
      <c r="S37" s="2407" t="s">
        <v>87</v>
      </c>
      <c r="T37" s="2344" t="s">
        <v>427</v>
      </c>
      <c r="U37" s="524"/>
      <c r="V37" s="2408" t="s">
        <v>428</v>
      </c>
      <c r="W37" s="2409"/>
      <c r="X37" s="2409"/>
      <c r="Y37" s="2409"/>
      <c r="Z37" s="2409"/>
      <c r="AA37" s="2410"/>
      <c r="AB37" s="2411" t="s">
        <v>429</v>
      </c>
      <c r="AC37" s="2408" t="s">
        <v>428</v>
      </c>
      <c r="AD37" s="2409"/>
      <c r="AE37" s="2409"/>
      <c r="AF37" s="2409"/>
      <c r="AG37" s="2409"/>
      <c r="AH37" s="2410"/>
      <c r="AI37" s="2411" t="s">
        <v>430</v>
      </c>
      <c r="AJ37" s="2414" t="s">
        <v>431</v>
      </c>
      <c r="AK37" s="2254"/>
    </row>
    <row customHeight="1" ht="33.75">
      <c r="Q38" s="599"/>
      <c r="R38" s="599"/>
      <c r="S38" s="2407"/>
      <c r="T38" s="2344"/>
      <c r="U38" s="1255"/>
      <c r="V38" s="1711" t="s">
        <v>488</v>
      </c>
      <c r="W38" s="2400" t="s">
        <v>434</v>
      </c>
      <c r="X38" s="2402"/>
      <c r="Y38" s="2400" t="s">
        <v>435</v>
      </c>
      <c r="Z38" s="2401"/>
      <c r="AA38" s="2402"/>
      <c r="AB38" s="2412"/>
      <c r="AC38" s="1711" t="s">
        <v>488</v>
      </c>
      <c r="AD38" s="2400" t="s">
        <v>434</v>
      </c>
      <c r="AE38" s="2402"/>
      <c r="AF38" s="2400" t="s">
        <v>435</v>
      </c>
      <c r="AG38" s="2401"/>
      <c r="AH38" s="2402"/>
      <c r="AI38" s="2412"/>
      <c r="AJ38" s="2415"/>
      <c r="AK38" s="2254"/>
    </row>
    <row customHeight="1" ht="86.25">
      <c r="A39" s="1598"/>
      <c r="B39" s="1598" t="s">
        <v>134</v>
      </c>
      <c r="C39" s="1598" t="s">
        <v>135</v>
      </c>
      <c r="D39" s="1598" t="s">
        <v>136</v>
      </c>
      <c r="E39" s="1592" t="s">
        <v>436</v>
      </c>
      <c r="F39" s="1592" t="s">
        <v>437</v>
      </c>
      <c r="G39" s="1592" t="s">
        <v>438</v>
      </c>
      <c r="H39" s="1592"/>
      <c r="I39" s="1592" t="s">
        <v>489</v>
      </c>
      <c r="J39" s="1592" t="s">
        <v>441</v>
      </c>
      <c r="K39" s="1592" t="s">
        <v>490</v>
      </c>
      <c r="L39" s="1592" t="s">
        <v>417</v>
      </c>
      <c r="Q39" s="599"/>
      <c r="R39" s="599"/>
      <c r="S39" s="2407"/>
      <c r="T39" s="2344"/>
      <c r="U39" s="525"/>
      <c r="V39" s="1711" t="s">
        <v>517</v>
      </c>
      <c r="W39" s="1449" t="s">
        <v>518</v>
      </c>
      <c r="X39" s="1449" t="s">
        <v>493</v>
      </c>
      <c r="Y39" s="1717" t="s">
        <v>445</v>
      </c>
      <c r="Z39" s="2403" t="s">
        <v>446</v>
      </c>
      <c r="AA39" s="2404"/>
      <c r="AB39" s="2413"/>
      <c r="AC39" s="1711" t="s">
        <v>517</v>
      </c>
      <c r="AD39" s="1449" t="s">
        <v>518</v>
      </c>
      <c r="AE39" s="1449" t="s">
        <v>493</v>
      </c>
      <c r="AF39" s="1717" t="s">
        <v>445</v>
      </c>
      <c r="AG39" s="2403" t="s">
        <v>446</v>
      </c>
      <c r="AH39" s="2404"/>
      <c r="AI39" s="2413"/>
      <c r="AJ39" s="2416"/>
      <c r="AK39" s="2254"/>
    </row>
    <row s="13364"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108</v>
      </c>
      <c r="T40" s="1482" t="s">
        <v>109</v>
      </c>
      <c r="U40" s="1472" t="str">
        <f>OFFSET(U40,0,-1)</f>
        <v>2</v>
      </c>
      <c r="V40" s="1710">
        <f>OFFSET(V40,0,-1)+1</f>
        <v>3</v>
      </c>
      <c r="W40" s="1710">
        <f>OFFSET(W40,0,-1)+1</f>
        <v>4</v>
      </c>
      <c r="X40" s="1710">
        <f>OFFSET(X40,0,-1)+1</f>
        <v>5</v>
      </c>
      <c r="Y40" s="1710">
        <f>OFFSET(Y40,0,-1)+1</f>
        <v>6</v>
      </c>
      <c r="Z40" s="2405">
        <f>OFFSET(Z40,0,-1)+1</f>
        <v>7</v>
      </c>
      <c r="AA40" s="2405"/>
      <c r="AB40" s="1710">
        <f>OFFSET(AB40,0,-2)+1</f>
        <v>8</v>
      </c>
      <c r="AC40" s="1710">
        <f>OFFSET(AC40,0,-1)+1</f>
        <v>9</v>
      </c>
      <c r="AD40" s="1710">
        <f>OFFSET(AD40,0,-1)+1</f>
        <v>10</v>
      </c>
      <c r="AE40" s="1710">
        <f>OFFSET(AE40,0,-1)+1</f>
        <v>11</v>
      </c>
      <c r="AF40" s="1710">
        <f>OFFSET(AF40,0,-1)+1</f>
        <v>12</v>
      </c>
      <c r="AG40" s="2405">
        <f>OFFSET(AG40,0,-1)+1</f>
        <v>13</v>
      </c>
      <c r="AH40" s="2405"/>
      <c r="AI40" s="1710">
        <f>OFFSET(AI40,0,-2)+1</f>
        <v>14</v>
      </c>
      <c r="AJ40" s="1472">
        <f>OFFSET(AJ40,0,-1)</f>
        <v>14</v>
      </c>
      <c r="AK40" s="1710">
        <f>OFFSET(AK40,0,-1)+1</f>
        <v>15</v>
      </c>
      <c r="AL40" s="734"/>
      <c r="AM40" s="734"/>
      <c r="AN40" s="734"/>
      <c r="AO40" s="734"/>
      <c r="AP40" s="734"/>
    </row>
    <row customHeight="1" ht="23.25">
      <c r="A41" s="1591" t="s">
        <v>272</v>
      </c>
      <c r="B41" s="1591"/>
      <c r="C41" s="1591"/>
      <c r="D41" s="1591"/>
      <c r="E41" s="2389">
        <v>1</v>
      </c>
      <c r="F41" s="1591"/>
      <c r="G41" s="1591"/>
      <c r="H41" s="1591"/>
      <c r="I41" s="1591"/>
      <c r="J41" s="1591"/>
      <c r="K41" s="1591"/>
      <c r="L41" s="1592"/>
      <c r="M41" s="1593"/>
      <c r="N41" s="1593"/>
      <c r="O41" s="1593"/>
      <c r="P41" s="584"/>
      <c r="Q41" s="583"/>
      <c r="R41" s="578"/>
      <c r="S41" s="1721">
        <f>INDEX(PT_DIFFERENTIATION_NUM_NTAR,MATCH(A41,PT_DIFFERENTIATION_NTAR_ID,0))</f>
        <v>0</v>
      </c>
      <c r="T41" s="521" t="s">
        <v>122</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272</v>
      </c>
      <c r="B42" s="1591" t="s">
        <v>273</v>
      </c>
      <c r="C42" s="1591"/>
      <c r="D42" s="1591"/>
      <c r="E42" s="2390"/>
      <c r="F42" s="2389">
        <v>1</v>
      </c>
      <c r="G42" s="1591"/>
      <c r="H42" s="1591"/>
      <c r="I42" s="1591"/>
      <c r="J42" s="1591"/>
      <c r="K42" s="1591"/>
      <c r="L42" s="1592"/>
      <c r="M42" s="1593"/>
      <c r="N42" s="1593"/>
      <c r="O42" s="1593"/>
      <c r="P42" s="1715"/>
      <c r="Q42" s="575"/>
      <c r="R42" s="576"/>
      <c r="S42" s="1721" t="str">
        <f>INDEX(PT_DIFFERENTIATION_NUM_TER,MATCH(B42,PT_DIFFERENTIATION_TER_ID,0))</f>
        <v>.</v>
      </c>
      <c r="T42" s="531" t="s">
        <v>398</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399</v>
      </c>
      <c r="AM42" s="723"/>
      <c r="AN42" s="723" t="str">
        <f>IF(T42="","",T42)</f>
        <v>Территория действия тарифа</v>
      </c>
      <c r="AO42" s="723"/>
      <c r="AP42" s="723"/>
    </row>
    <row customHeight="1" ht="23.25">
      <c r="A43" s="1591" t="s">
        <v>272</v>
      </c>
      <c r="B43" s="1591" t="s">
        <v>273</v>
      </c>
      <c r="C43" s="1591" t="s">
        <v>274</v>
      </c>
      <c r="D43" s="1591"/>
      <c r="E43" s="2390"/>
      <c r="F43" s="2390"/>
      <c r="G43" s="2389">
        <v>1</v>
      </c>
      <c r="H43" s="1591"/>
      <c r="I43" s="1591"/>
      <c r="J43" s="1591"/>
      <c r="K43" s="1591"/>
      <c r="L43" s="1592"/>
      <c r="M43" s="1593"/>
      <c r="N43" s="1593"/>
      <c r="O43" s="1593"/>
      <c r="P43" s="577"/>
      <c r="Q43" s="575"/>
      <c r="R43" s="576"/>
      <c r="S43" s="1721" t="str">
        <f>INDEX(PT_DIFFERENTIATION_NUM_CS,MATCH(C43,PT_DIFFERENTIATION_CS_ID,0))</f>
        <v>..</v>
      </c>
      <c r="T43" s="532" t="s">
        <v>515</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516</v>
      </c>
      <c r="AM43" s="723"/>
      <c r="AN43" s="723" t="str">
        <f>IF(T43="","",T43)</f>
        <v>Наименование централизованной системы водоотведения</v>
      </c>
      <c r="AO43" s="723"/>
      <c r="AP43" s="723"/>
    </row>
    <row customHeight="1" ht="23.25">
      <c r="A44" s="1591" t="s">
        <v>272</v>
      </c>
      <c r="B44" s="1591" t="s">
        <v>273</v>
      </c>
      <c r="C44" s="1591" t="s">
        <v>274</v>
      </c>
      <c r="D44" s="1591" t="s">
        <v>520</v>
      </c>
      <c r="E44" s="2390"/>
      <c r="F44" s="2390"/>
      <c r="G44" s="2390"/>
      <c r="H44" s="2390"/>
      <c r="I44" s="2391" t="str">
        <f>S43&amp;".1"</f>
        <v>...1</v>
      </c>
      <c r="J44" s="1591"/>
      <c r="K44" s="1591"/>
      <c r="L44" s="1592"/>
      <c r="P44" s="2393">
        <v>1</v>
      </c>
      <c r="Q44" s="1709"/>
      <c r="R44" s="579"/>
      <c r="S44" s="1721" t="str">
        <f>$I44</f>
        <v>...1</v>
      </c>
      <c r="T44" s="508" t="s">
        <v>482</v>
      </c>
      <c r="U44" s="523"/>
      <c r="V44" s="2476"/>
      <c r="W44" s="2477"/>
      <c r="X44" s="2477"/>
      <c r="Y44" s="2477"/>
      <c r="Z44" s="2477"/>
      <c r="AA44" s="2477"/>
      <c r="AB44" s="2478"/>
      <c r="AC44" s="2479"/>
      <c r="AD44" s="2480"/>
      <c r="AE44" s="2480"/>
      <c r="AF44" s="2480"/>
      <c r="AG44" s="2480"/>
      <c r="AH44" s="2480"/>
      <c r="AI44" s="2480"/>
      <c r="AJ44" s="2481"/>
      <c r="AK44" s="1485" t="s">
        <v>483</v>
      </c>
      <c r="AM44" s="723"/>
      <c r="AN44" s="723" t="str">
        <f>IF(T44="","",T44)</f>
        <v>Наименование признака дифференциации</v>
      </c>
      <c r="AO44" s="723"/>
      <c r="AP44" s="723"/>
    </row>
    <row customHeight="1" ht="23.25">
      <c r="A45" s="1591" t="s">
        <v>272</v>
      </c>
      <c r="B45" s="1591" t="s">
        <v>273</v>
      </c>
      <c r="C45" s="1591" t="s">
        <v>274</v>
      </c>
      <c r="D45" s="1591" t="s">
        <v>520</v>
      </c>
      <c r="E45" s="2390"/>
      <c r="F45" s="2390"/>
      <c r="G45" s="2390"/>
      <c r="H45" s="2390"/>
      <c r="I45" s="2392"/>
      <c r="J45" s="2391" t="str">
        <f>I44&amp;".1"</f>
        <v>...1.1</v>
      </c>
      <c r="K45" s="1591"/>
      <c r="L45" s="1592" t="s">
        <v>407</v>
      </c>
      <c r="P45" s="2393"/>
      <c r="Q45" s="2393">
        <v>1</v>
      </c>
      <c r="R45" s="580"/>
      <c r="S45" s="1721" t="str">
        <f>$J45</f>
        <v>...1.1</v>
      </c>
      <c r="T45" s="509" t="s">
        <v>408</v>
      </c>
      <c r="U45" s="523"/>
      <c r="V45" s="2377"/>
      <c r="W45" s="2378"/>
      <c r="X45" s="2378"/>
      <c r="Y45" s="2378"/>
      <c r="Z45" s="2378"/>
      <c r="AA45" s="2378"/>
      <c r="AB45" s="2379"/>
      <c r="AC45" s="2377"/>
      <c r="AD45" s="2378"/>
      <c r="AE45" s="2378"/>
      <c r="AF45" s="2378"/>
      <c r="AG45" s="2378"/>
      <c r="AH45" s="2378"/>
      <c r="AI45" s="2378"/>
      <c r="AJ45" s="2379"/>
      <c r="AK45" s="1535" t="s">
        <v>484</v>
      </c>
      <c r="AM45" s="723"/>
      <c r="AN45" s="723" t="str">
        <f>IF(T45="","",T45)</f>
        <v>Группа потребителей</v>
      </c>
      <c r="AO45" s="723"/>
      <c r="AP45" s="723"/>
    </row>
    <row customHeight="1" ht="23.25">
      <c r="A46" s="1591" t="s">
        <v>272</v>
      </c>
      <c r="B46" s="1591" t="s">
        <v>273</v>
      </c>
      <c r="C46" s="1591" t="s">
        <v>274</v>
      </c>
      <c r="D46" s="1591" t="s">
        <v>520</v>
      </c>
      <c r="E46" s="2390"/>
      <c r="F46" s="2390"/>
      <c r="G46" s="2390"/>
      <c r="H46" s="2390"/>
      <c r="I46" s="2392"/>
      <c r="J46" s="2392"/>
      <c r="K46" s="2391" t="str">
        <f>J45&amp;".1"</f>
        <v>...1.1.1</v>
      </c>
      <c r="L46" s="1592"/>
      <c r="P46" s="2393"/>
      <c r="Q46" s="2393"/>
      <c r="R46" s="580">
        <v>1</v>
      </c>
      <c r="S46" s="1721" t="str">
        <f>$K46</f>
        <v>...1.1.1</v>
      </c>
      <c r="T46" s="1665"/>
      <c r="U46" s="523"/>
      <c r="V46" s="1588"/>
      <c r="W46" s="1588"/>
      <c r="X46" s="1589"/>
      <c r="Y46" s="2387"/>
      <c r="Z46" s="2386" t="s">
        <v>66</v>
      </c>
      <c r="AA46" s="2387"/>
      <c r="AB46" s="2386" t="s">
        <v>66</v>
      </c>
      <c r="AC46" s="974"/>
      <c r="AD46" s="974"/>
      <c r="AE46" s="1484"/>
      <c r="AF46" s="2394"/>
      <c r="AG46" s="2264" t="s">
        <v>66</v>
      </c>
      <c r="AH46" s="2396"/>
      <c r="AI46" s="2264" t="s">
        <v>56</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272</v>
      </c>
      <c r="B47" s="1591" t="s">
        <v>273</v>
      </c>
      <c r="C47" s="1591" t="s">
        <v>274</v>
      </c>
      <c r="D47" s="1591" t="s">
        <v>520</v>
      </c>
      <c r="E47" s="2390"/>
      <c r="F47" s="2390"/>
      <c r="G47" s="2390"/>
      <c r="H47" s="2390"/>
      <c r="I47" s="2392"/>
      <c r="J47" s="2392"/>
      <c r="K47" s="2391"/>
      <c r="L47" s="1592"/>
      <c r="P47" s="2393"/>
      <c r="Q47" s="2393"/>
      <c r="R47" s="580"/>
      <c r="S47" s="1718"/>
      <c r="T47" s="523"/>
      <c r="U47" s="523"/>
      <c r="V47" s="1588"/>
      <c r="W47" s="1588"/>
      <c r="X47" s="551" t="str">
        <f>Y46&amp;"-"&amp;AA46</f>
        <v>-</v>
      </c>
      <c r="Y47" s="2386"/>
      <c r="Z47" s="2386"/>
      <c r="AA47" s="2386"/>
      <c r="AB47" s="2386"/>
      <c r="AC47" s="548"/>
      <c r="AD47" s="548"/>
      <c r="AE47" s="551" t="str">
        <f>AF46&amp;"-"&amp;AH46</f>
        <v>-</v>
      </c>
      <c r="AF47" s="2395"/>
      <c r="AG47" s="2264"/>
      <c r="AH47" s="2397"/>
      <c r="AI47" s="2264"/>
      <c r="AJ47" s="1667"/>
      <c r="AK47" s="2482"/>
      <c r="AM47" s="723"/>
      <c r="AN47" s="723" t="str">
        <f>IF(T47="","",T47)</f>
        <v/>
      </c>
      <c r="AO47" s="723"/>
      <c r="AP47" s="723"/>
    </row>
    <row customHeight="1" ht="21">
      <c r="A48" s="1591" t="s">
        <v>272</v>
      </c>
      <c r="B48" s="1591" t="s">
        <v>273</v>
      </c>
      <c r="C48" s="1591" t="s">
        <v>274</v>
      </c>
      <c r="D48" s="1591" t="s">
        <v>520</v>
      </c>
      <c r="E48" s="2390"/>
      <c r="F48" s="2390"/>
      <c r="G48" s="2390"/>
      <c r="H48" s="2390"/>
      <c r="I48" s="2392"/>
      <c r="J48" s="2391"/>
      <c r="K48" s="1591"/>
      <c r="L48" s="1592"/>
      <c r="P48" s="2393"/>
      <c r="Q48" s="2393"/>
      <c r="R48" s="579"/>
      <c r="S48" s="1506"/>
      <c r="T48" s="510" t="s">
        <v>485</v>
      </c>
      <c r="U48" s="590"/>
      <c r="V48" s="590"/>
      <c r="W48" s="590"/>
      <c r="X48" s="590"/>
      <c r="Y48" s="590"/>
      <c r="Z48" s="590"/>
      <c r="AA48" s="590"/>
      <c r="AB48" s="590"/>
      <c r="AC48" s="590"/>
      <c r="AD48" s="590"/>
      <c r="AE48" s="590"/>
      <c r="AF48" s="590"/>
      <c r="AG48" s="590"/>
      <c r="AH48" s="590"/>
      <c r="AI48" s="590"/>
      <c r="AJ48" s="590"/>
      <c r="AK48" s="1485" t="s">
        <v>486</v>
      </c>
      <c r="AM48" s="723"/>
      <c r="AN48" s="723" t="str">
        <f>IF(T48="","",T48)</f>
        <v>Добавить значение признака дифференциации</v>
      </c>
      <c r="AO48" s="723"/>
      <c r="AP48" s="723"/>
    </row>
    <row customHeight="1" ht="21">
      <c r="A49" s="1591" t="s">
        <v>272</v>
      </c>
      <c r="B49" s="1591" t="s">
        <v>273</v>
      </c>
      <c r="C49" s="1591" t="s">
        <v>274</v>
      </c>
      <c r="D49" s="1591" t="s">
        <v>520</v>
      </c>
      <c r="E49" s="2390"/>
      <c r="F49" s="2390"/>
      <c r="G49" s="2390"/>
      <c r="H49" s="2390"/>
      <c r="I49" s="2391"/>
      <c r="J49" s="1591"/>
      <c r="K49" s="1591"/>
      <c r="L49" s="1592"/>
      <c r="P49" s="2393"/>
      <c r="Q49" s="1709"/>
      <c r="R49" s="579"/>
      <c r="S49" s="1506"/>
      <c r="T49" s="588" t="s">
        <v>413</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272</v>
      </c>
      <c r="B50" s="1591" t="s">
        <v>273</v>
      </c>
      <c r="C50" s="1591" t="s">
        <v>274</v>
      </c>
      <c r="D50" s="1591" t="s">
        <v>520</v>
      </c>
      <c r="E50" s="2390"/>
      <c r="F50" s="2390"/>
      <c r="G50" s="2390"/>
      <c r="H50" s="2389"/>
      <c r="I50" s="1591"/>
      <c r="J50" s="1591"/>
      <c r="K50" s="1591"/>
      <c r="L50" s="1592"/>
      <c r="M50" s="1593"/>
      <c r="N50" s="1593"/>
      <c r="O50" s="760"/>
      <c r="P50" s="583"/>
      <c r="Q50" s="598"/>
      <c r="R50" s="578"/>
      <c r="S50" s="1506"/>
      <c r="T50" s="595" t="s">
        <v>487</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3514" customFormat="1" customHeight="1" ht="0">
      <c r="A51" s="1571" t="s">
        <v>272</v>
      </c>
      <c r="B51" s="1571" t="s">
        <v>273</v>
      </c>
      <c r="C51" s="1542"/>
      <c r="D51" s="1542"/>
      <c r="E51" s="2390"/>
      <c r="F51" s="2389"/>
      <c r="G51" s="1542"/>
      <c r="H51" s="1542"/>
      <c r="I51" s="1542"/>
      <c r="J51" s="1542"/>
      <c r="K51" s="1542"/>
      <c r="L51" s="1722"/>
      <c r="M51" s="1549"/>
      <c r="N51" s="1549"/>
      <c r="P51" s="1544"/>
      <c r="Q51" s="1545"/>
      <c r="R51" s="1544"/>
      <c r="S51" s="1550"/>
      <c r="T51" s="1553" t="s">
        <v>252</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13606" customFormat="1" customHeight="1" ht="0">
      <c r="A52" s="1571" t="s">
        <v>272</v>
      </c>
      <c r="B52" s="1571"/>
      <c r="C52" s="1571"/>
      <c r="D52" s="1571"/>
      <c r="E52" s="2389"/>
      <c r="F52" s="1571"/>
      <c r="G52" s="1571"/>
      <c r="H52" s="1571"/>
      <c r="I52" s="1571"/>
      <c r="J52" s="1571"/>
      <c r="K52" s="1571"/>
      <c r="L52" s="1574"/>
      <c r="M52" s="1549"/>
      <c r="N52" s="1549"/>
      <c r="O52" s="741"/>
      <c r="P52" s="603"/>
      <c r="Q52" s="1572"/>
      <c r="R52" s="603"/>
      <c r="S52" s="1550"/>
      <c r="T52" s="1553" t="s">
        <v>253</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13514" customFormat="1" customHeight="1" ht="0">
      <c r="A53" s="1542"/>
      <c r="B53" s="1542"/>
      <c r="C53" s="1542"/>
      <c r="D53" s="1542"/>
      <c r="E53" s="1571"/>
      <c r="F53" s="1542"/>
      <c r="G53" s="1542"/>
      <c r="H53" s="1542"/>
      <c r="I53" s="1542"/>
      <c r="J53" s="1542"/>
      <c r="K53" s="1542"/>
      <c r="L53" s="1722"/>
      <c r="M53" s="1549"/>
      <c r="N53" s="1549"/>
      <c r="P53" s="1544"/>
      <c r="Q53" s="1545"/>
      <c r="R53" s="1544"/>
      <c r="S53" s="1550"/>
      <c r="T53" s="1553" t="s">
        <v>254</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76474-11BD-37FD-F3DA-B1DDD915AAE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533" width="11.57421875" hidden="1" customWidth="1"/>
    <col min="2" max="2" style="13533" width="11.00390625" hidden="1" customWidth="1"/>
    <col min="3" max="3" style="13533" width="10.57421875" hidden="1"/>
    <col min="4" max="4" style="13533" width="12.8515625" hidden="1" customWidth="1"/>
    <col min="5" max="5" style="13533" width="10.00390625" hidden="1" customWidth="1"/>
    <col min="6" max="6" style="13533" width="8.7109375" hidden="1" customWidth="1"/>
    <col min="7" max="7" style="13533" width="7.57421875" hidden="1" customWidth="1"/>
    <col min="8" max="8" style="13533" width="11.421875" hidden="1" customWidth="1"/>
    <col min="9" max="9" style="13533" width="12.00390625" hidden="1" customWidth="1"/>
    <col min="10" max="10" style="13533" width="9.8515625" hidden="1" customWidth="1"/>
    <col min="11" max="11" style="13533" width="11.421875" hidden="1" customWidth="1"/>
    <col min="12" max="12" style="13884" width="19.140625" hidden="1" customWidth="1"/>
    <col min="13" max="14" style="13615" width="12.28125" hidden="1" customWidth="1"/>
    <col min="15" max="15" style="13615" width="23.421875" hidden="1" customWidth="1"/>
    <col min="16" max="16" style="13615" width="3.7109375" hidden="1" customWidth="1"/>
    <col min="17" max="17" style="13788" width="3.7109375" hidden="1" customWidth="1"/>
    <col min="18" max="18" style="13617" width="3.7109375" customWidth="1"/>
    <col min="19" max="19" style="13618" width="12.7109375" customWidth="1"/>
    <col min="20" max="20" style="13619" width="32.00390625" customWidth="1"/>
    <col min="21" max="21" style="13619" width="0.140625" customWidth="1"/>
    <col min="22" max="25" style="13619" width="21.7109375" hidden="1" customWidth="1"/>
    <col min="26" max="26" style="13619" width="11.7109375" hidden="1" customWidth="1"/>
    <col min="27" max="27" style="13619" width="3.7109375" hidden="1" customWidth="1"/>
    <col min="28" max="28" style="13619" width="11.7109375" hidden="1" customWidth="1"/>
    <col min="29" max="29" style="13619" width="8.57421875" hidden="1" customWidth="1"/>
    <col min="30" max="32" style="13619" width="3.7109375" customWidth="1"/>
    <col min="33" max="33" style="13619" width="24.7109375" customWidth="1"/>
    <col min="34" max="36" style="13619" width="3.7109375" customWidth="1"/>
    <col min="37" max="37" style="13619" width="24.7109375" customWidth="1"/>
    <col min="38" max="40" style="13619" width="3.7109375" customWidth="1"/>
    <col min="41" max="41" style="13619" width="18.8515625" customWidth="1"/>
    <col min="42" max="44" style="13619" width="3.7109375" customWidth="1"/>
    <col min="45" max="45" style="13619" width="18.8515625" customWidth="1"/>
    <col min="46" max="49" style="13619" width="21.7109375" customWidth="1"/>
    <col min="50" max="50" style="13619" width="11.7109375" customWidth="1"/>
    <col min="51" max="51" style="13619" width="3.7109375" customWidth="1"/>
    <col min="52" max="52" style="13619" width="11.7109375" customWidth="1"/>
    <col min="53" max="53" style="13619" width="8.57421875" hidden="1" customWidth="1"/>
    <col min="54" max="54" style="13619" width="4.7109375" customWidth="1"/>
    <col min="55" max="55" style="13619" width="115.7109375" customWidth="1"/>
    <col min="56" max="57" style="13606" width="10.57421875"/>
    <col min="58" max="58" style="13606" width="11.140625" customWidth="1"/>
    <col min="59" max="60" style="13606" width="10.57421875"/>
  </cols>
  <sheetData>
    <row customHeight="1" ht="14.25" hidden="1">
      <c r="W1" s="550"/>
      <c r="Y1" s="550"/>
      <c r="Z1" s="550"/>
      <c r="AW1" s="550"/>
      <c r="AX1" s="550"/>
    </row>
    <row customHeight="1" ht="21" hidden="1">
      <c r="A2" s="1591"/>
      <c r="B2" s="1591"/>
      <c r="C2" s="1591"/>
      <c r="D2" s="1591"/>
      <c r="E2" s="2389">
        <v>1</v>
      </c>
      <c r="F2" s="1591"/>
      <c r="G2" s="1591"/>
      <c r="H2" s="1591"/>
      <c r="I2" s="1591"/>
      <c r="J2" s="1591"/>
      <c r="K2" s="1591"/>
      <c r="L2" s="1592"/>
      <c r="M2" s="1593"/>
      <c r="N2" s="1593"/>
      <c r="O2" s="1593"/>
      <c r="P2" s="1637"/>
      <c r="Q2" s="1096"/>
      <c r="R2" s="578"/>
      <c r="S2" s="1721">
        <f>INDEX(PT_DIFFERENTIATION_NUM_NTAR,MATCH(A2,PT_DIFFERENTIATION_NTAR_ID,0))</f>
      </c>
      <c r="T2" s="521" t="s">
        <v>122</v>
      </c>
      <c r="U2" s="523"/>
      <c r="V2" s="2384"/>
      <c r="W2" s="2384"/>
      <c r="X2" s="2384"/>
      <c r="Y2" s="2384"/>
      <c r="Z2" s="2384"/>
      <c r="AA2" s="2384"/>
      <c r="AB2" s="2384"/>
      <c r="AC2" s="2385"/>
      <c r="AD2" s="2383">
        <f>INDEX(PT_DIFFERENTIATION_NTAR,MATCH(A2,PT_DIFFERENTIATION_NTAR_ID,0))</f>
      </c>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5"/>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91"/>
      <c r="B3" s="1591"/>
      <c r="C3" s="1591"/>
      <c r="D3" s="1591"/>
      <c r="E3" s="2390"/>
      <c r="F3" s="2389">
        <v>1</v>
      </c>
      <c r="G3" s="1591"/>
      <c r="H3" s="1591"/>
      <c r="I3" s="1591"/>
      <c r="J3" s="1591"/>
      <c r="K3" s="1591"/>
      <c r="L3" s="1592"/>
      <c r="M3" s="1593"/>
      <c r="N3" s="1593"/>
      <c r="O3" s="1593"/>
      <c r="P3" s="1638"/>
      <c r="Q3" s="1639"/>
      <c r="R3" s="576"/>
      <c r="S3" s="1721">
        <f>INDEX(PT_DIFFERENTIATION_NUM_TER,MATCH(B3,PT_DIFFERENTIATION_TER_ID,0))</f>
      </c>
      <c r="T3" s="531" t="s">
        <v>398</v>
      </c>
      <c r="U3" s="523"/>
      <c r="V3" s="2384"/>
      <c r="W3" s="2384"/>
      <c r="X3" s="2384"/>
      <c r="Y3" s="2384"/>
      <c r="Z3" s="2384"/>
      <c r="AA3" s="2384"/>
      <c r="AB3" s="2384"/>
      <c r="AC3" s="2385"/>
      <c r="AD3" s="2383">
        <f>INDEX(PT_DIFFERENTIATION_TER,MATCH(B3,PT_DIFFERENTIATION_TER_ID,0))</f>
      </c>
      <c r="AE3" s="2384"/>
      <c r="AF3" s="2384"/>
      <c r="AG3" s="2384"/>
      <c r="AH3" s="2384"/>
      <c r="AI3" s="2384"/>
      <c r="AJ3" s="2384"/>
      <c r="AK3" s="2384"/>
      <c r="AL3" s="2384"/>
      <c r="AM3" s="2384"/>
      <c r="AN3" s="2384"/>
      <c r="AO3" s="2384"/>
      <c r="AP3" s="2384"/>
      <c r="AQ3" s="2384"/>
      <c r="AR3" s="2384"/>
      <c r="AS3" s="2384"/>
      <c r="AT3" s="2384"/>
      <c r="AU3" s="2384"/>
      <c r="AV3" s="2384"/>
      <c r="AW3" s="2384"/>
      <c r="AX3" s="2384"/>
      <c r="AY3" s="2384"/>
      <c r="AZ3" s="2384"/>
      <c r="BA3" s="2384"/>
      <c r="BB3" s="2385"/>
      <c r="BC3" s="1485" t="s">
        <v>399</v>
      </c>
      <c r="BE3" s="723"/>
      <c r="BF3" s="723" t="str">
        <f>IF(T3="","",T3)</f>
        <v>Территория действия тарифа</v>
      </c>
      <c r="BG3" s="723"/>
      <c r="BH3" s="723"/>
    </row>
    <row customHeight="1" ht="33.75" hidden="1">
      <c r="A4" s="1591"/>
      <c r="B4" s="1591"/>
      <c r="C4" s="1591"/>
      <c r="D4" s="1591"/>
      <c r="E4" s="2390"/>
      <c r="F4" s="2390"/>
      <c r="G4" s="2389">
        <v>1</v>
      </c>
      <c r="H4" s="1591"/>
      <c r="I4" s="1591"/>
      <c r="J4" s="1591"/>
      <c r="K4" s="1591"/>
      <c r="L4" s="1592"/>
      <c r="M4" s="1593"/>
      <c r="N4" s="1593"/>
      <c r="O4" s="1593"/>
      <c r="P4" s="1640"/>
      <c r="Q4" s="1639"/>
      <c r="R4" s="576"/>
      <c r="S4" s="1721">
        <f>INDEX(PT_DIFFERENTIATION_NUM_CS,MATCH(C4,PT_DIFFERENTIATION_CS_ID,0))</f>
      </c>
      <c r="T4" s="532" t="s">
        <v>515</v>
      </c>
      <c r="U4" s="523"/>
      <c r="V4" s="2384"/>
      <c r="W4" s="2384"/>
      <c r="X4" s="2384"/>
      <c r="Y4" s="2384"/>
      <c r="Z4" s="2384"/>
      <c r="AA4" s="2384"/>
      <c r="AB4" s="2384"/>
      <c r="AC4" s="2385"/>
      <c r="AD4" s="2383">
        <f>INDEX(PT_DIFFERENTIATION_CS,MATCH(C4,PT_DIFFERENTIATION_CS_ID,0))</f>
      </c>
      <c r="AE4" s="2384"/>
      <c r="AF4" s="2384"/>
      <c r="AG4" s="2384"/>
      <c r="AH4" s="2384"/>
      <c r="AI4" s="2384"/>
      <c r="AJ4" s="2384"/>
      <c r="AK4" s="2384"/>
      <c r="AL4" s="2384"/>
      <c r="AM4" s="2384"/>
      <c r="AN4" s="2384"/>
      <c r="AO4" s="2384"/>
      <c r="AP4" s="2384"/>
      <c r="AQ4" s="2384"/>
      <c r="AR4" s="2384"/>
      <c r="AS4" s="2384"/>
      <c r="AT4" s="2384"/>
      <c r="AU4" s="2384"/>
      <c r="AV4" s="2384"/>
      <c r="AW4" s="2384"/>
      <c r="AX4" s="2384"/>
      <c r="AY4" s="2384"/>
      <c r="AZ4" s="2384"/>
      <c r="BA4" s="2384"/>
      <c r="BB4" s="2385"/>
      <c r="BC4" s="1485" t="s">
        <v>516</v>
      </c>
      <c r="BE4" s="723"/>
      <c r="BF4" s="723" t="str">
        <f>IF(T4="","",T4)</f>
        <v>Наименование централизованной системы водоотведения</v>
      </c>
      <c r="BG4" s="723"/>
      <c r="BH4" s="723"/>
    </row>
    <row s="13606" customFormat="1" customHeight="1" ht="14.25" hidden="1">
      <c r="A5" s="1571"/>
      <c r="B5" s="1571"/>
      <c r="C5" s="1571"/>
      <c r="D5" s="1571"/>
      <c r="E5" s="2390"/>
      <c r="F5" s="2390"/>
      <c r="G5" s="2390"/>
      <c r="H5" s="2389">
        <v>1</v>
      </c>
      <c r="I5" s="1571"/>
      <c r="J5" s="1571"/>
      <c r="K5" s="1571"/>
      <c r="L5" s="1574"/>
      <c r="M5" s="1543"/>
      <c r="N5" s="1543"/>
      <c r="O5" s="1543"/>
      <c r="P5" s="1725"/>
      <c r="Q5" s="1726"/>
      <c r="R5" s="580"/>
      <c r="S5" s="1266"/>
      <c r="T5" s="1727"/>
      <c r="U5" s="1612"/>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613" t="s">
        <v>403</v>
      </c>
      <c r="BE5" s="723"/>
      <c r="BF5" s="723" t="str">
        <f>IF(T5="","",T5)</f>
        <v/>
      </c>
      <c r="BG5" s="723"/>
      <c r="BH5" s="723"/>
    </row>
    <row s="13606" customFormat="1" customHeight="1" ht="14.25" hidden="1">
      <c r="A6" s="1571"/>
      <c r="B6" s="1571"/>
      <c r="C6" s="1571"/>
      <c r="D6" s="1571"/>
      <c r="E6" s="2390"/>
      <c r="F6" s="2390"/>
      <c r="G6" s="2390"/>
      <c r="H6" s="2390"/>
      <c r="I6" s="2391" t="str">
        <f>S5&amp;".1"</f>
        <v>.1</v>
      </c>
      <c r="J6" s="1571"/>
      <c r="K6" s="1571"/>
      <c r="L6" s="1574" t="s">
        <v>404</v>
      </c>
      <c r="M6" s="733"/>
      <c r="N6" s="733"/>
      <c r="O6" s="733"/>
      <c r="P6" s="2393">
        <v>1</v>
      </c>
      <c r="Q6" s="1709"/>
      <c r="R6" s="579"/>
      <c r="S6" s="1266"/>
      <c r="T6" s="1611"/>
      <c r="U6" s="1612"/>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613"/>
      <c r="BE6" s="723"/>
      <c r="BF6" s="723" t="str">
        <f>IF(T6="","",T6)</f>
        <v/>
      </c>
      <c r="BG6" s="723"/>
      <c r="BH6" s="723"/>
    </row>
    <row s="13606" customFormat="1" customHeight="1" ht="14.25" hidden="1">
      <c r="A7" s="1571"/>
      <c r="B7" s="1571"/>
      <c r="C7" s="1571"/>
      <c r="D7" s="1571"/>
      <c r="E7" s="2390"/>
      <c r="F7" s="2390"/>
      <c r="G7" s="2390"/>
      <c r="H7" s="2390"/>
      <c r="I7" s="2392"/>
      <c r="J7" s="2391" t="str">
        <f>S5&amp;".1"</f>
        <v>.1</v>
      </c>
      <c r="K7" s="1571"/>
      <c r="L7" s="1574"/>
      <c r="M7" s="733"/>
      <c r="N7" s="733"/>
      <c r="O7" s="733"/>
      <c r="P7" s="2393"/>
      <c r="Q7" s="2393">
        <v>1</v>
      </c>
      <c r="R7" s="580"/>
      <c r="S7" s="1266"/>
      <c r="T7" s="1627"/>
      <c r="U7" s="1612"/>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613"/>
      <c r="BE7" s="723"/>
      <c r="BF7" s="723" t="str">
        <f>IF(T7="","",T7)</f>
        <v/>
      </c>
      <c r="BG7" s="723"/>
      <c r="BH7" s="723"/>
    </row>
    <row customHeight="1" ht="11.25" hidden="1">
      <c r="A8" s="1591"/>
      <c r="B8" s="1591"/>
      <c r="C8" s="1591"/>
      <c r="D8" s="1591"/>
      <c r="E8" s="2390"/>
      <c r="F8" s="2390"/>
      <c r="G8" s="2390"/>
      <c r="H8" s="2390"/>
      <c r="I8" s="2392"/>
      <c r="J8" s="2392"/>
      <c r="K8" s="2391">
        <f>S4&amp;".1"</f>
      </c>
      <c r="L8" s="1592"/>
      <c r="P8" s="2393"/>
      <c r="Q8" s="2393"/>
      <c r="R8" s="2469">
        <v>1</v>
      </c>
      <c r="S8" s="2466">
        <f>$K8</f>
      </c>
      <c r="T8" s="2486"/>
      <c r="U8" s="523"/>
      <c r="V8" s="974"/>
      <c r="W8" s="1484"/>
      <c r="X8" s="974"/>
      <c r="Y8" s="1484"/>
      <c r="Z8" s="1962"/>
      <c r="AA8" s="1697" t="s">
        <v>66</v>
      </c>
      <c r="AB8" s="1962"/>
      <c r="AC8" s="1697" t="s">
        <v>66</v>
      </c>
      <c r="AD8" s="2327" t="s">
        <v>66</v>
      </c>
      <c r="AE8" s="2462"/>
      <c r="AF8" s="2340">
        <v>1</v>
      </c>
      <c r="AG8" s="2485"/>
      <c r="AH8" s="2264" t="s">
        <v>66</v>
      </c>
      <c r="AI8" s="2462"/>
      <c r="AJ8" s="2340">
        <v>1</v>
      </c>
      <c r="AK8" s="2484" t="s">
        <v>24</v>
      </c>
      <c r="AL8" s="2264" t="s">
        <v>66</v>
      </c>
      <c r="AM8" s="2312"/>
      <c r="AN8" s="2340">
        <v>1</v>
      </c>
      <c r="AO8" s="2489"/>
      <c r="AP8" s="2490" t="s">
        <v>66</v>
      </c>
      <c r="AQ8" s="534"/>
      <c r="AR8" s="1714">
        <v>1</v>
      </c>
      <c r="AS8" s="1720" t="s">
        <v>24</v>
      </c>
      <c r="AT8" s="974"/>
      <c r="AU8" s="1484"/>
      <c r="AV8" s="974"/>
      <c r="AW8" s="1484"/>
      <c r="AX8" s="1962"/>
      <c r="AY8" s="1697" t="s">
        <v>66</v>
      </c>
      <c r="AZ8" s="1962"/>
      <c r="BA8" s="1697" t="s">
        <v>66</v>
      </c>
      <c r="BB8" s="1576"/>
      <c r="BC8" s="2419" t="s">
        <v>500</v>
      </c>
      <c r="BE8" s="723"/>
      <c r="BF8" s="723" t="str">
        <f>IF(T8="","",T8)</f>
        <v/>
      </c>
      <c r="BG8" s="723"/>
      <c r="BH8" s="723"/>
    </row>
    <row customHeight="1" ht="11.25" hidden="1">
      <c r="A9" s="1591"/>
      <c r="B9" s="1591"/>
      <c r="C9" s="1591"/>
      <c r="D9" s="1591"/>
      <c r="E9" s="2390"/>
      <c r="F9" s="2390"/>
      <c r="G9" s="2390"/>
      <c r="H9" s="2390"/>
      <c r="I9" s="2392"/>
      <c r="J9" s="2392"/>
      <c r="K9" s="2391"/>
      <c r="L9" s="1592"/>
      <c r="P9" s="2393"/>
      <c r="Q9" s="2393"/>
      <c r="R9" s="2469"/>
      <c r="S9" s="2467"/>
      <c r="T9" s="2487"/>
      <c r="U9" s="523"/>
      <c r="V9" s="1621"/>
      <c r="W9" s="1724"/>
      <c r="X9" s="1621"/>
      <c r="Y9" s="1724"/>
      <c r="Z9" s="1621"/>
      <c r="AA9" s="1621"/>
      <c r="AB9" s="1621"/>
      <c r="AC9" s="1621"/>
      <c r="AD9" s="2328"/>
      <c r="AE9" s="2462"/>
      <c r="AF9" s="2340"/>
      <c r="AG9" s="2485"/>
      <c r="AH9" s="2264"/>
      <c r="AI9" s="2462"/>
      <c r="AJ9" s="2340"/>
      <c r="AK9" s="2484"/>
      <c r="AL9" s="2264"/>
      <c r="AM9" s="2320"/>
      <c r="AN9" s="2340"/>
      <c r="AO9" s="2489"/>
      <c r="AP9" s="2491"/>
      <c r="AQ9" s="539"/>
      <c r="AR9" s="639"/>
      <c r="AS9" s="639" t="s">
        <v>501</v>
      </c>
      <c r="AT9" s="1621"/>
      <c r="AU9" s="1724"/>
      <c r="AV9" s="1621"/>
      <c r="AW9" s="1724"/>
      <c r="AX9" s="1621"/>
      <c r="AY9" s="1621"/>
      <c r="AZ9" s="1621"/>
      <c r="BA9" s="1621"/>
      <c r="BB9" s="1625"/>
      <c r="BC9" s="2420"/>
      <c r="BE9" s="723"/>
      <c r="BF9" s="723"/>
      <c r="BG9" s="723"/>
      <c r="BH9" s="723"/>
    </row>
    <row customHeight="1" ht="11.25" hidden="1">
      <c r="A10" s="1591"/>
      <c r="B10" s="1591"/>
      <c r="C10" s="1591"/>
      <c r="D10" s="1591"/>
      <c r="E10" s="2390"/>
      <c r="F10" s="2390"/>
      <c r="G10" s="2390"/>
      <c r="H10" s="2390"/>
      <c r="I10" s="2392"/>
      <c r="J10" s="2392"/>
      <c r="K10" s="2391"/>
      <c r="L10" s="1592"/>
      <c r="P10" s="2393"/>
      <c r="Q10" s="2393"/>
      <c r="R10" s="2469"/>
      <c r="S10" s="2467"/>
      <c r="T10" s="2487"/>
      <c r="U10" s="523"/>
      <c r="V10" s="1621"/>
      <c r="W10" s="1724"/>
      <c r="X10" s="1621"/>
      <c r="Y10" s="1724"/>
      <c r="Z10" s="1621"/>
      <c r="AA10" s="1621"/>
      <c r="AB10" s="1621"/>
      <c r="AC10" s="1621"/>
      <c r="AD10" s="2328"/>
      <c r="AE10" s="2462"/>
      <c r="AF10" s="2340"/>
      <c r="AG10" s="2485"/>
      <c r="AH10" s="2264"/>
      <c r="AI10" s="2462"/>
      <c r="AJ10" s="2340"/>
      <c r="AK10" s="2484"/>
      <c r="AL10" s="2264"/>
      <c r="AM10" s="539"/>
      <c r="AN10" s="1728"/>
      <c r="AO10" s="1728" t="s">
        <v>521</v>
      </c>
      <c r="AP10" s="639"/>
      <c r="AQ10" s="639"/>
      <c r="AR10" s="639"/>
      <c r="AS10" s="1621"/>
      <c r="AT10" s="1621"/>
      <c r="AU10" s="1724"/>
      <c r="AV10" s="1621"/>
      <c r="AW10" s="1724"/>
      <c r="AX10" s="1621"/>
      <c r="AY10" s="1621"/>
      <c r="AZ10" s="1621"/>
      <c r="BA10" s="1621"/>
      <c r="BB10" s="1625"/>
      <c r="BC10" s="2420"/>
      <c r="BE10" s="723"/>
      <c r="BF10" s="723"/>
      <c r="BG10" s="723"/>
      <c r="BH10" s="723"/>
    </row>
    <row customHeight="1" ht="11.25" hidden="1">
      <c r="A11" s="1591"/>
      <c r="B11" s="1591"/>
      <c r="C11" s="1591"/>
      <c r="D11" s="1591"/>
      <c r="E11" s="2390"/>
      <c r="F11" s="2390"/>
      <c r="G11" s="2390"/>
      <c r="H11" s="2390"/>
      <c r="I11" s="2392"/>
      <c r="J11" s="2392"/>
      <c r="K11" s="2391"/>
      <c r="L11" s="1592"/>
      <c r="P11" s="2393"/>
      <c r="Q11" s="2393"/>
      <c r="R11" s="2469"/>
      <c r="S11" s="2467"/>
      <c r="T11" s="2487"/>
      <c r="U11" s="523"/>
      <c r="V11" s="1621"/>
      <c r="W11" s="1724"/>
      <c r="X11" s="1621"/>
      <c r="Y11" s="1724"/>
      <c r="Z11" s="1621"/>
      <c r="AA11" s="1621"/>
      <c r="AB11" s="1621"/>
      <c r="AC11" s="1621"/>
      <c r="AD11" s="2328"/>
      <c r="AE11" s="2462"/>
      <c r="AF11" s="2340"/>
      <c r="AG11" s="2485"/>
      <c r="AH11" s="2264"/>
      <c r="AI11" s="517"/>
      <c r="AJ11" s="638"/>
      <c r="AK11" s="536" t="s">
        <v>522</v>
      </c>
      <c r="AL11" s="1621"/>
      <c r="AM11" s="1621"/>
      <c r="AN11" s="1621"/>
      <c r="AO11" s="1621"/>
      <c r="AP11" s="1621"/>
      <c r="AQ11" s="1621"/>
      <c r="AR11" s="1621"/>
      <c r="AS11" s="1621"/>
      <c r="AT11" s="1621"/>
      <c r="AU11" s="1724"/>
      <c r="AV11" s="1621"/>
      <c r="AW11" s="1724"/>
      <c r="AX11" s="1621"/>
      <c r="AY11" s="1621"/>
      <c r="AZ11" s="1621"/>
      <c r="BA11" s="1621"/>
      <c r="BB11" s="1625"/>
      <c r="BC11" s="2420"/>
      <c r="BE11" s="723"/>
      <c r="BF11" s="723"/>
      <c r="BG11" s="723"/>
      <c r="BH11" s="723"/>
    </row>
    <row customHeight="1" ht="11.25" hidden="1">
      <c r="A12" s="1591"/>
      <c r="B12" s="1591"/>
      <c r="C12" s="1591"/>
      <c r="D12" s="1591"/>
      <c r="E12" s="2390"/>
      <c r="F12" s="2390"/>
      <c r="G12" s="2390"/>
      <c r="H12" s="2390"/>
      <c r="I12" s="2392"/>
      <c r="J12" s="2392"/>
      <c r="K12" s="2391"/>
      <c r="L12" s="1592"/>
      <c r="P12" s="2393"/>
      <c r="Q12" s="2393"/>
      <c r="R12" s="2469"/>
      <c r="S12" s="2468"/>
      <c r="T12" s="2488"/>
      <c r="U12" s="523"/>
      <c r="V12" s="1621"/>
      <c r="W12" s="1622" t="str">
        <f>Z8&amp;"-"&amp;AB8</f>
        <v>-</v>
      </c>
      <c r="X12" s="1621"/>
      <c r="Y12" s="1622" t="str">
        <f>AB8&amp;"-"&amp;AD8</f>
        <v>-да</v>
      </c>
      <c r="Z12" s="1621"/>
      <c r="AA12" s="1621"/>
      <c r="AB12" s="1621"/>
      <c r="AC12" s="1621"/>
      <c r="AD12" s="2269"/>
      <c r="AE12" s="535"/>
      <c r="AF12" s="537"/>
      <c r="AG12" s="639" t="s">
        <v>504</v>
      </c>
      <c r="AH12" s="1621"/>
      <c r="AI12" s="1621"/>
      <c r="AJ12" s="1621"/>
      <c r="AK12" s="1621"/>
      <c r="AL12" s="1621"/>
      <c r="AM12" s="1621"/>
      <c r="AN12" s="1621"/>
      <c r="AO12" s="1621"/>
      <c r="AP12" s="1621"/>
      <c r="AQ12" s="1621"/>
      <c r="AR12" s="1621"/>
      <c r="AS12" s="1621"/>
      <c r="AT12" s="1621"/>
      <c r="AU12" s="1622" t="str">
        <f>AX8&amp;"-"&amp;AZ8</f>
        <v>-</v>
      </c>
      <c r="AV12" s="1621"/>
      <c r="AW12" s="1622" t="str">
        <f>AZ8&amp;"-"&amp;BB8</f>
        <v>-</v>
      </c>
      <c r="AX12" s="1621"/>
      <c r="AY12" s="1621"/>
      <c r="AZ12" s="1621"/>
      <c r="BA12" s="1621"/>
      <c r="BB12" s="1624" t="str">
        <f>BE8&amp;"-"&amp;BG8</f>
        <v>-</v>
      </c>
      <c r="BC12" s="2420"/>
      <c r="BE12" s="723"/>
      <c r="BF12" s="723" t="str">
        <f>IF(T12="","",T12)</f>
        <v/>
      </c>
      <c r="BG12" s="723"/>
      <c r="BH12" s="723"/>
    </row>
    <row customHeight="1" ht="11.25" hidden="1">
      <c r="A13" s="1591"/>
      <c r="B13" s="1591"/>
      <c r="C13" s="1591"/>
      <c r="D13" s="1591"/>
      <c r="E13" s="2390"/>
      <c r="F13" s="2390"/>
      <c r="G13" s="2390"/>
      <c r="H13" s="2390"/>
      <c r="I13" s="2392"/>
      <c r="J13" s="2391"/>
      <c r="K13" s="1591"/>
      <c r="L13" s="1592"/>
      <c r="P13" s="2393"/>
      <c r="Q13" s="2393"/>
      <c r="R13" s="579"/>
      <c r="S13" s="1506"/>
      <c r="T13" s="510" t="s">
        <v>466</v>
      </c>
      <c r="U13" s="590"/>
      <c r="V13" s="590"/>
      <c r="W13" s="590"/>
      <c r="X13" s="590"/>
      <c r="Y13" s="590"/>
      <c r="Z13" s="590"/>
      <c r="AA13" s="590"/>
      <c r="AB13" s="590"/>
      <c r="AC13" s="590"/>
      <c r="AD13" s="1733"/>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1"/>
      <c r="BE13" s="723"/>
      <c r="BF13" s="723" t="str">
        <f>IF(T13="","",T13)</f>
        <v>Добавить строку</v>
      </c>
      <c r="BG13" s="723"/>
      <c r="BH13" s="723"/>
    </row>
    <row s="13606" customFormat="1" customHeight="1" ht="14.25" hidden="1">
      <c r="A14" s="1571"/>
      <c r="B14" s="1571"/>
      <c r="C14" s="1571"/>
      <c r="D14" s="1571"/>
      <c r="E14" s="2390"/>
      <c r="F14" s="2390"/>
      <c r="G14" s="2390"/>
      <c r="H14" s="2390"/>
      <c r="I14" s="2391"/>
      <c r="J14" s="1571"/>
      <c r="K14" s="1571"/>
      <c r="L14" s="1574"/>
      <c r="M14" s="733"/>
      <c r="N14" s="733"/>
      <c r="O14" s="733"/>
      <c r="P14" s="2393"/>
      <c r="Q14" s="1709"/>
      <c r="R14" s="57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6"/>
      <c r="AV14" s="1616"/>
      <c r="AW14" s="1616"/>
      <c r="AX14" s="1616"/>
      <c r="AY14" s="1616"/>
      <c r="AZ14" s="1616"/>
      <c r="BA14" s="1616"/>
      <c r="BB14" s="1616"/>
      <c r="BC14" s="1617"/>
      <c r="BE14" s="723"/>
      <c r="BF14" s="723" t="str">
        <f>IF(T14="","",T14)</f>
        <v/>
      </c>
      <c r="BG14" s="723"/>
      <c r="BH14" s="723"/>
    </row>
    <row s="13606" customFormat="1" customHeight="1" ht="14.25" hidden="1">
      <c r="A15" s="1571"/>
      <c r="B15" s="1571"/>
      <c r="C15" s="1571"/>
      <c r="D15" s="1571"/>
      <c r="E15" s="2390"/>
      <c r="F15" s="2390"/>
      <c r="G15" s="2390"/>
      <c r="H15" s="2389"/>
      <c r="I15" s="1571"/>
      <c r="J15" s="1571"/>
      <c r="K15" s="1571"/>
      <c r="L15" s="1574"/>
      <c r="M15" s="1543"/>
      <c r="N15" s="1543"/>
      <c r="O15" s="741"/>
      <c r="P15" s="603"/>
      <c r="Q15" s="1572"/>
      <c r="R15" s="1629"/>
      <c r="S15" s="1614"/>
      <c r="T15" s="1615"/>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V15" s="1616"/>
      <c r="AW15" s="1616"/>
      <c r="AX15" s="1616"/>
      <c r="AY15" s="1616"/>
      <c r="AZ15" s="1616"/>
      <c r="BA15" s="1616"/>
      <c r="BB15" s="1616"/>
      <c r="BC15" s="1617"/>
      <c r="BE15" s="723"/>
      <c r="BF15" s="723" t="str">
        <f>IF(T15="","",T15)</f>
        <v/>
      </c>
      <c r="BG15" s="723"/>
      <c r="BH15" s="723"/>
    </row>
    <row s="13514" customFormat="1" customHeight="1" ht="14.25" hidden="1">
      <c r="A16" s="1571"/>
      <c r="B16" s="1571"/>
      <c r="C16" s="1571"/>
      <c r="D16" s="1542"/>
      <c r="E16" s="2390"/>
      <c r="F16" s="2390"/>
      <c r="G16" s="2389"/>
      <c r="H16" s="1542"/>
      <c r="I16" s="1542"/>
      <c r="J16" s="1542"/>
      <c r="K16" s="1542"/>
      <c r="L16" s="1722"/>
      <c r="M16" s="1543"/>
      <c r="N16" s="1543"/>
      <c r="P16" s="1544"/>
      <c r="Q16" s="1545"/>
      <c r="R16" s="1544"/>
      <c r="S16" s="1550"/>
      <c r="T16" s="1553"/>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V16" s="1552"/>
      <c r="AW16" s="1552"/>
      <c r="AX16" s="1552"/>
      <c r="AY16" s="1552"/>
      <c r="AZ16" s="1552"/>
      <c r="BA16" s="1552"/>
      <c r="BB16" s="1552"/>
      <c r="BC16" s="1552"/>
      <c r="BE16" s="1012"/>
      <c r="BF16" s="1012" t="str">
        <f>IF(T16="","",T16)</f>
        <v/>
      </c>
      <c r="BG16" s="1012"/>
      <c r="BH16" s="1012"/>
    </row>
    <row s="13514" customFormat="1" customHeight="1" ht="14.25" hidden="1">
      <c r="A17" s="1571"/>
      <c r="B17" s="1571"/>
      <c r="C17" s="1542"/>
      <c r="D17" s="1542"/>
      <c r="E17" s="2390"/>
      <c r="F17" s="2389"/>
      <c r="G17" s="1542"/>
      <c r="H17" s="1542"/>
      <c r="I17" s="1542"/>
      <c r="J17" s="1542"/>
      <c r="K17" s="1542"/>
      <c r="L17" s="1722"/>
      <c r="M17" s="1549"/>
      <c r="N17" s="1549"/>
      <c r="P17" s="1544"/>
      <c r="Q17" s="1545"/>
      <c r="R17" s="1544"/>
      <c r="S17" s="1550"/>
      <c r="T17" s="1553" t="s">
        <v>252</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V17" s="1552"/>
      <c r="AW17" s="1552"/>
      <c r="AX17" s="1552"/>
      <c r="AY17" s="1552"/>
      <c r="AZ17" s="1552"/>
      <c r="BA17" s="1552"/>
      <c r="BB17" s="1552"/>
      <c r="BC17" s="1552"/>
      <c r="BE17" s="1012"/>
      <c r="BF17" s="1012" t="str">
        <f>IF(T17="","",T17)</f>
        <v>Добавить централизованную систему для дифференциации</v>
      </c>
      <c r="BG17" s="1012"/>
      <c r="BH17" s="1012"/>
    </row>
    <row s="13606" customFormat="1" customHeight="1" ht="14.25" hidden="1">
      <c r="A18" s="1571"/>
      <c r="B18" s="1571"/>
      <c r="C18" s="1571"/>
      <c r="D18" s="1571"/>
      <c r="E18" s="2389"/>
      <c r="F18" s="1571"/>
      <c r="G18" s="1571"/>
      <c r="H18" s="1571"/>
      <c r="I18" s="1571"/>
      <c r="J18" s="1571"/>
      <c r="K18" s="1571"/>
      <c r="L18" s="1574"/>
      <c r="M18" s="1549"/>
      <c r="N18" s="1549"/>
      <c r="O18" s="741"/>
      <c r="P18" s="603"/>
      <c r="Q18" s="1572"/>
      <c r="R18" s="603"/>
      <c r="S18" s="1550"/>
      <c r="T18" s="1553" t="s">
        <v>253</v>
      </c>
      <c r="U18" s="1552"/>
      <c r="V18" s="1552"/>
      <c r="W18" s="1552"/>
      <c r="X18" s="1552"/>
      <c r="Y18" s="1552"/>
      <c r="Z18" s="1552"/>
      <c r="AA18" s="1552"/>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552"/>
      <c r="AX18" s="1552"/>
      <c r="AY18" s="1552"/>
      <c r="AZ18" s="1552"/>
      <c r="BA18" s="1552"/>
      <c r="BB18" s="1552"/>
      <c r="BC18" s="1552"/>
      <c r="BE18" s="723"/>
      <c r="BF18" s="723" t="str">
        <f>IF(T18="","",T18)</f>
        <v>Добавить территорию для дифференциации</v>
      </c>
      <c r="BG18" s="723"/>
      <c r="BH18" s="723"/>
    </row>
    <row customHeight="1" ht="14.25" hidden="1">
      <c r="AC19" s="550"/>
      <c r="BA19" s="550"/>
    </row>
    <row customHeight="1" ht="14.25" hidden="1">
      <c r="AD20" s="1552" t="s">
        <v>56</v>
      </c>
      <c r="AE20" s="1729"/>
      <c r="AF20" s="771">
        <v>1</v>
      </c>
      <c r="AG20" s="1730"/>
      <c r="AH20" s="1552" t="s">
        <v>56</v>
      </c>
      <c r="AI20" s="1729"/>
      <c r="AJ20" s="771">
        <v>1</v>
      </c>
      <c r="AK20" s="1730"/>
      <c r="AL20" s="1552" t="s">
        <v>56</v>
      </c>
      <c r="AM20" s="1731"/>
      <c r="AN20" s="771">
        <v>1</v>
      </c>
      <c r="AO20" s="1732"/>
      <c r="AP20" s="1552" t="s">
        <v>56</v>
      </c>
      <c r="AQ20" s="1731"/>
      <c r="AR20" s="771">
        <v>1</v>
      </c>
      <c r="AS20" s="1732"/>
      <c r="AT20" s="548"/>
      <c r="AU20" s="607"/>
      <c r="AV20" s="548"/>
      <c r="AW20" s="607"/>
      <c r="AX20" s="1964"/>
      <c r="AY20" s="1713" t="s">
        <v>66</v>
      </c>
      <c r="AZ20" s="1964"/>
      <c r="BA20" s="1713" t="s">
        <v>66</v>
      </c>
    </row>
    <row customHeight="1" ht="14.25" hidden="1">
      <c r="BD21" s="719"/>
      <c r="BE21" s="719"/>
      <c r="BF21" s="719"/>
      <c r="BG21" s="719"/>
      <c r="BH21" s="719"/>
    </row>
    <row customHeight="1" ht="14.25" hidden="1">
      <c r="O22" s="1595" t="s">
        <v>416</v>
      </c>
      <c r="Z22" s="1573"/>
      <c r="AB22" s="1573"/>
      <c r="AC22" s="550"/>
      <c r="AX22" s="1573"/>
      <c r="AZ22" s="1573"/>
      <c r="BA22" s="550"/>
      <c r="BD22" s="719"/>
      <c r="BE22" s="719"/>
      <c r="BF22" s="719"/>
      <c r="BG22" s="719"/>
      <c r="BH22" s="719"/>
    </row>
    <row customHeight="1" ht="14.25" hidden="1">
      <c r="AC23" s="550"/>
      <c r="BA23" s="550"/>
      <c r="BD23" s="719"/>
      <c r="BE23" s="719"/>
      <c r="BF23" s="719"/>
      <c r="BG23" s="719"/>
      <c r="BH23" s="719"/>
    </row>
    <row s="13762" customFormat="1" customHeight="1" ht="14.25" hidden="1">
      <c r="M24" s="1736"/>
      <c r="N24" s="1736"/>
      <c r="O24" s="1737" t="s">
        <v>417</v>
      </c>
      <c r="P24" s="1736"/>
      <c r="Q24" s="1738"/>
      <c r="R24" s="1738"/>
      <c r="AA24" s="1735" t="s">
        <v>419</v>
      </c>
      <c r="AC24" s="1735" t="s">
        <v>420</v>
      </c>
      <c r="AD24" s="1735" t="s">
        <v>467</v>
      </c>
      <c r="AH24" s="1735" t="s">
        <v>467</v>
      </c>
      <c r="AK24" s="1735" t="s">
        <v>505</v>
      </c>
      <c r="AL24" s="1735" t="s">
        <v>467</v>
      </c>
      <c r="AP24" s="1735" t="s">
        <v>467</v>
      </c>
      <c r="AY24" s="1735" t="s">
        <v>419</v>
      </c>
      <c r="BA24" s="1735" t="s">
        <v>420</v>
      </c>
      <c r="BD24" s="1739"/>
      <c r="BE24" s="1739"/>
      <c r="BF24" s="1739"/>
      <c r="BG24" s="1739"/>
      <c r="BH24" s="1739"/>
    </row>
    <row customHeight="1" ht="14.25" hidden="1">
      <c r="O25" s="1592"/>
      <c r="BD25" s="719"/>
      <c r="BE25" s="719"/>
      <c r="BF25" s="719"/>
      <c r="BG25" s="719"/>
      <c r="BH25" s="719"/>
    </row>
    <row customHeight="1" ht="14.25" hidden="1">
      <c r="O26" s="1592"/>
      <c r="BD26" s="719"/>
      <c r="BE26" s="719"/>
      <c r="BF26" s="719"/>
      <c r="BG26" s="719"/>
      <c r="BH26" s="719"/>
    </row>
    <row customHeight="1" ht="14.25">
      <c r="Q27" s="514"/>
      <c r="R27" s="599"/>
      <c r="S27" s="1503"/>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2422"/>
      <c r="AT28" s="2422"/>
      <c r="AU28" s="2422"/>
      <c r="AV28" s="2422"/>
      <c r="AW28" s="2422"/>
      <c r="AX28" s="2422"/>
      <c r="AY28" s="2422"/>
      <c r="AZ28" s="2422"/>
      <c r="BA28" s="1470"/>
    </row>
    <row customHeight="1" ht="14.25">
      <c r="Q29" s="514"/>
      <c r="R29" s="599"/>
      <c r="S29" s="2423" t="str">
        <f>IF(org=0,"Не определено",org)</f>
        <v>ООО "Новая Энергетика"</v>
      </c>
      <c r="T29" s="2423"/>
      <c r="U29" s="2423"/>
      <c r="V29" s="2423"/>
      <c r="W29" s="2423"/>
      <c r="X29" s="2423"/>
      <c r="Y29" s="2423"/>
      <c r="Z29" s="2423"/>
      <c r="AA29" s="2423"/>
      <c r="AB29" s="2423"/>
      <c r="AC29" s="2423"/>
      <c r="AD29" s="2423"/>
      <c r="AE29" s="2423"/>
      <c r="AF29" s="2423"/>
      <c r="AG29" s="2423"/>
      <c r="AH29" s="2423"/>
      <c r="AI29" s="2423"/>
      <c r="AJ29" s="2423"/>
      <c r="AK29" s="2423"/>
      <c r="AL29" s="2423"/>
      <c r="AM29" s="2423"/>
      <c r="AN29" s="2423"/>
      <c r="AO29" s="2423"/>
      <c r="AP29" s="2423"/>
      <c r="AQ29" s="2423"/>
      <c r="AR29" s="2423"/>
      <c r="AS29" s="2423"/>
      <c r="AT29" s="2423"/>
      <c r="AU29" s="2423"/>
      <c r="AV29" s="2423"/>
      <c r="AW29" s="2423"/>
      <c r="AX29" s="2423"/>
      <c r="AY29" s="2423"/>
      <c r="AZ29" s="2423"/>
      <c r="BA29" s="1470"/>
    </row>
    <row customHeight="1" ht="14.25">
      <c r="Q30" s="514"/>
      <c r="R30" s="599"/>
      <c r="S30" s="1503"/>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13547" customFormat="1" customHeight="1" ht="25.5">
      <c r="A31" s="1596"/>
      <c r="B31" s="1596"/>
      <c r="C31" s="1596"/>
      <c r="D31" s="1596"/>
      <c r="E31" s="1596"/>
      <c r="F31" s="1596"/>
      <c r="G31" s="1596"/>
      <c r="H31" s="1596"/>
      <c r="I31" s="1596"/>
      <c r="J31" s="1596"/>
      <c r="K31" s="1596"/>
      <c r="L31" s="1597"/>
      <c r="M31" s="1596"/>
      <c r="N31" s="1596"/>
      <c r="O31" s="1596"/>
      <c r="P31" s="1596"/>
      <c r="Q31" s="1596"/>
      <c r="S31" s="2380" t="s">
        <v>38</v>
      </c>
      <c r="T31" s="2380"/>
      <c r="U31" s="1600"/>
      <c r="V31" s="2382" t="str">
        <f>IF(TITLE_NAME_OR_PR_CHANGE="",IF(TITLE_NAME_OR_PR="","",TITLE_NAME_OR_PR),TITLE_NAME_OR_PR_CHANGE)</f>
        <v>Агенство по тарифам Приморского края</v>
      </c>
      <c r="W31" s="2382"/>
      <c r="X31" s="2382"/>
      <c r="Y31" s="2382"/>
      <c r="Z31" s="2382"/>
      <c r="AA31" s="2382"/>
      <c r="AB31" s="2382"/>
      <c r="AC31" s="549"/>
      <c r="AD31" s="2382" t="str">
        <f>IF(TITLE_NAME_OR_PR_CHANGE="",IF(TITLE_NAME_OR_PR="","",TITLE_NAME_OR_PR),TITLE_NAME_OR_PR_CHANGE)</f>
        <v>Агенство по тарифам Приморского края</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549"/>
      <c r="BB31" s="549"/>
      <c r="BC31" s="503"/>
      <c r="BD31" s="591"/>
      <c r="BE31" s="591"/>
      <c r="BF31" s="591"/>
      <c r="BG31" s="591"/>
      <c r="BH31" s="591"/>
    </row>
    <row s="13547" customFormat="1" customHeight="1" ht="18.75">
      <c r="A32" s="1596"/>
      <c r="B32" s="1596"/>
      <c r="C32" s="1596"/>
      <c r="D32" s="1596"/>
      <c r="E32" s="1596"/>
      <c r="F32" s="1596"/>
      <c r="G32" s="1596"/>
      <c r="H32" s="1596"/>
      <c r="I32" s="1596"/>
      <c r="J32" s="1596"/>
      <c r="K32" s="1596"/>
      <c r="L32" s="1597"/>
      <c r="M32" s="1596"/>
      <c r="N32" s="1596"/>
      <c r="O32" s="1596"/>
      <c r="P32" s="1596"/>
      <c r="Q32" s="1596"/>
      <c r="S32" s="2380" t="s">
        <v>422</v>
      </c>
      <c r="T32" s="2380"/>
      <c r="U32" s="1600"/>
      <c r="V32" s="2381" t="str">
        <f>IF(TITLE_DATE_PR_CHANGE="",IF(TITLE_DATE_PR="","",TITLE_DATE_PR),TITLE_DATE_PR_CHANGE)</f>
        <v>45281.66994212963</v>
      </c>
      <c r="W32" s="2381"/>
      <c r="X32" s="2381"/>
      <c r="Y32" s="2381"/>
      <c r="Z32" s="2381"/>
      <c r="AA32" s="2381"/>
      <c r="AB32" s="2381"/>
      <c r="AC32" s="549"/>
      <c r="AD32" s="2381" t="str">
        <f>IF(TITLE_DATE_PR_CHANGE="",IF(TITLE_DATE_PR="","",TITLE_DATE_PR),TITLE_DATE_PR_CHANGE)</f>
        <v>45281.66994212963</v>
      </c>
      <c r="AE32" s="2381"/>
      <c r="AF32" s="2381"/>
      <c r="AG32" s="2381"/>
      <c r="AH32" s="2381"/>
      <c r="AI32" s="2381"/>
      <c r="AJ32" s="2381"/>
      <c r="AK32" s="2381"/>
      <c r="AL32" s="2381"/>
      <c r="AM32" s="2381"/>
      <c r="AN32" s="2381"/>
      <c r="AO32" s="2381"/>
      <c r="AP32" s="2381"/>
      <c r="AQ32" s="2381"/>
      <c r="AR32" s="2381"/>
      <c r="AS32" s="2381"/>
      <c r="AT32" s="2381"/>
      <c r="AU32" s="2381"/>
      <c r="AV32" s="2381"/>
      <c r="AW32" s="2381"/>
      <c r="AX32" s="2381"/>
      <c r="AY32" s="2381"/>
      <c r="AZ32" s="2381"/>
      <c r="BA32" s="549"/>
      <c r="BB32" s="549"/>
      <c r="BC32" s="503"/>
      <c r="BD32" s="591"/>
      <c r="BE32" s="591"/>
      <c r="BF32" s="591"/>
      <c r="BG32" s="591"/>
      <c r="BH32" s="591"/>
    </row>
    <row s="13547" customFormat="1" customHeight="1" ht="18.75">
      <c r="A33" s="1596"/>
      <c r="B33" s="1596"/>
      <c r="C33" s="1596"/>
      <c r="D33" s="1596"/>
      <c r="E33" s="1596"/>
      <c r="F33" s="1596"/>
      <c r="G33" s="1596"/>
      <c r="H33" s="1596"/>
      <c r="I33" s="1596"/>
      <c r="J33" s="1596"/>
      <c r="K33" s="1596"/>
      <c r="L33" s="1597"/>
      <c r="M33" s="1596"/>
      <c r="N33" s="1596"/>
      <c r="O33" s="1596"/>
      <c r="P33" s="1596"/>
      <c r="Q33" s="1596"/>
      <c r="S33" s="2380" t="s">
        <v>423</v>
      </c>
      <c r="T33" s="2380"/>
      <c r="U33" s="1600"/>
      <c r="V33" s="2382" t="str">
        <f>IF(TITLE_NUMBER_PR_CHANGE="",IF(TITLE_NUMBER_PR="","",TITLE_NUMBER_PR),TITLE_NUMBER_PR_CHANGE)</f>
        <v>72/1</v>
      </c>
      <c r="W33" s="2382"/>
      <c r="X33" s="2382"/>
      <c r="Y33" s="2382"/>
      <c r="Z33" s="2382"/>
      <c r="AA33" s="2382"/>
      <c r="AB33" s="2382"/>
      <c r="AC33" s="549"/>
      <c r="AD33" s="2382" t="str">
        <f>IF(TITLE_NUMBER_PR_CHANGE="",IF(TITLE_NUMBER_PR="","",TITLE_NUMBER_PR),TITLE_NUMBER_PR_CHANGE)</f>
        <v>72/1</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549"/>
      <c r="BB33" s="549"/>
      <c r="BC33" s="503"/>
      <c r="BD33" s="591"/>
      <c r="BE33" s="591"/>
      <c r="BF33" s="591"/>
      <c r="BG33" s="591"/>
      <c r="BH33" s="591"/>
    </row>
    <row s="13547" customFormat="1" customHeight="1" ht="18.75">
      <c r="A34" s="1596"/>
      <c r="B34" s="1596"/>
      <c r="C34" s="1596"/>
      <c r="D34" s="1596"/>
      <c r="E34" s="1596"/>
      <c r="F34" s="1596"/>
      <c r="G34" s="1596"/>
      <c r="H34" s="1596"/>
      <c r="I34" s="1596"/>
      <c r="J34" s="1596"/>
      <c r="K34" s="1596"/>
      <c r="L34" s="1597"/>
      <c r="M34" s="1596"/>
      <c r="N34" s="1596"/>
      <c r="O34" s="1596"/>
      <c r="P34" s="1596"/>
      <c r="Q34" s="1596"/>
      <c r="S34" s="2380" t="s">
        <v>40</v>
      </c>
      <c r="T34" s="2380"/>
      <c r="U34" s="1600"/>
      <c r="V34" s="2382" t="str">
        <f>IF(TITLE_IST_PUB_CHANGE="",IF(TITLE_IST_PUB="","",TITLE_IST_PUB),TITLE_IST_PUB_CHANGE)</f>
        <v>http://pravo.gov.ru Номер опубликования: 2501202312270032 Дата опубликования: 27.12.2023</v>
      </c>
      <c r="W34" s="2382"/>
      <c r="X34" s="2382"/>
      <c r="Y34" s="2382"/>
      <c r="Z34" s="2382"/>
      <c r="AA34" s="2382"/>
      <c r="AB34" s="2382"/>
      <c r="AC34" s="549"/>
      <c r="AD34" s="2382" t="str">
        <f>IF(TITLE_IST_PUB_CHANGE="",IF(TITLE_IST_PUB="","",TITLE_IST_PUB),TITLE_IST_PUB_CHANGE)</f>
        <v>http://pravo.gov.ru Номер опубликования: 2501202312270032 Дата опубликования: 27.12.2023</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549"/>
      <c r="BB34" s="549"/>
      <c r="BC34" s="503"/>
      <c r="BD34" s="591"/>
      <c r="BE34" s="591"/>
      <c r="BF34" s="591"/>
      <c r="BG34" s="591"/>
      <c r="BH34" s="591"/>
    </row>
    <row customHeight="1" ht="14.25" hidden="1">
      <c r="Q35" s="514"/>
      <c r="R35" s="599"/>
      <c r="S35" s="1503"/>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13547" customFormat="1" customHeight="1" ht="18.75" hidden="1">
      <c r="A36" s="1596"/>
      <c r="B36" s="1596"/>
      <c r="C36" s="1596"/>
      <c r="D36" s="1596"/>
      <c r="E36" s="1596"/>
      <c r="F36" s="1596"/>
      <c r="G36" s="1596"/>
      <c r="H36" s="1596"/>
      <c r="I36" s="1596"/>
      <c r="J36" s="1596"/>
      <c r="K36" s="1596"/>
      <c r="L36" s="1597"/>
      <c r="M36" s="1596"/>
      <c r="N36" s="1596"/>
      <c r="O36" s="1596"/>
      <c r="P36" s="1596"/>
      <c r="Q36" s="1596"/>
      <c r="S36" s="2380" t="s">
        <v>422</v>
      </c>
      <c r="T36" s="2380"/>
      <c r="U36" s="1600"/>
      <c r="V36" s="2381" t="str">
        <f>IF(TITLE_DATE_PR_CHANGE="",IF(TITLE_DATE_PR="","",TITLE_DATE_PR),TITLE_DATE_PR_CHANGE)</f>
        <v>45281.66994212963</v>
      </c>
      <c r="W36" s="2381"/>
      <c r="X36" s="2381"/>
      <c r="Y36" s="2381"/>
      <c r="Z36" s="2381"/>
      <c r="AA36" s="2381"/>
      <c r="AB36" s="2381"/>
      <c r="AC36" s="549"/>
      <c r="AD36" s="2381" t="str">
        <f>IF(TITLE_DATE_PR_CHANGE="",IF(TITLE_DATE_PR="","",TITLE_DATE_PR),TITLE_DATE_PR_CHANGE)</f>
        <v>45281.66994212963</v>
      </c>
      <c r="AE36" s="2381"/>
      <c r="AF36" s="2381"/>
      <c r="AG36" s="2381"/>
      <c r="AH36" s="2381"/>
      <c r="AI36" s="2381"/>
      <c r="AJ36" s="2381"/>
      <c r="AK36" s="2381"/>
      <c r="AL36" s="2381"/>
      <c r="AM36" s="2381"/>
      <c r="AN36" s="2381"/>
      <c r="AO36" s="2381"/>
      <c r="AP36" s="2381"/>
      <c r="AQ36" s="2381"/>
      <c r="AR36" s="2381"/>
      <c r="AS36" s="2381"/>
      <c r="AT36" s="2381"/>
      <c r="AU36" s="2381"/>
      <c r="AV36" s="2381"/>
      <c r="AW36" s="2381"/>
      <c r="AX36" s="2381"/>
      <c r="AY36" s="2381"/>
      <c r="AZ36" s="2381"/>
      <c r="BA36" s="549"/>
      <c r="BB36" s="549"/>
      <c r="BC36" s="503"/>
      <c r="BD36" s="591"/>
      <c r="BE36" s="591"/>
      <c r="BF36" s="591"/>
      <c r="BG36" s="591"/>
      <c r="BH36" s="591"/>
    </row>
    <row s="13547" customFormat="1" customHeight="1" ht="18.75" hidden="1">
      <c r="A37" s="1596"/>
      <c r="B37" s="1596"/>
      <c r="C37" s="1596"/>
      <c r="D37" s="1596"/>
      <c r="E37" s="1596"/>
      <c r="F37" s="1596"/>
      <c r="G37" s="1596"/>
      <c r="H37" s="1596"/>
      <c r="I37" s="1596"/>
      <c r="J37" s="1596"/>
      <c r="K37" s="1596"/>
      <c r="L37" s="1597"/>
      <c r="M37" s="1596"/>
      <c r="N37" s="1596"/>
      <c r="O37" s="1596"/>
      <c r="P37" s="1596"/>
      <c r="Q37" s="1596"/>
      <c r="S37" s="2380" t="s">
        <v>423</v>
      </c>
      <c r="T37" s="2380"/>
      <c r="U37" s="1600"/>
      <c r="V37" s="2382" t="str">
        <f>IF(TITLE_NUMBER_PR_CHANGE="",IF(TITLE_NUMBER_PR="","",TITLE_NUMBER_PR),TITLE_NUMBER_PR_CHANGE)</f>
        <v>72/1</v>
      </c>
      <c r="W37" s="2382"/>
      <c r="X37" s="2382"/>
      <c r="Y37" s="2382"/>
      <c r="Z37" s="2382"/>
      <c r="AA37" s="2382"/>
      <c r="AB37" s="2382"/>
      <c r="AC37" s="549"/>
      <c r="AD37" s="2382" t="str">
        <f>IF(TITLE_NUMBER_PR_CHANGE="",IF(TITLE_NUMBER_PR="","",TITLE_NUMBER_PR),TITLE_NUMBER_PR_CHANGE)</f>
        <v>72/1</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549"/>
      <c r="BB37" s="549"/>
      <c r="BC37" s="503"/>
      <c r="BD37" s="591"/>
      <c r="BE37" s="591"/>
      <c r="BF37" s="591"/>
      <c r="BG37" s="591"/>
      <c r="BH37" s="591"/>
    </row>
    <row s="13547" customFormat="1" customHeight="1" ht="0">
      <c r="A38" s="1596"/>
      <c r="B38" s="1596"/>
      <c r="C38" s="1596"/>
      <c r="D38" s="1596"/>
      <c r="E38" s="1596"/>
      <c r="F38" s="1596"/>
      <c r="G38" s="1596"/>
      <c r="H38" s="1596"/>
      <c r="I38" s="1596"/>
      <c r="J38" s="1596"/>
      <c r="K38" s="1596"/>
      <c r="L38" s="1597"/>
      <c r="M38" s="1596"/>
      <c r="N38" s="1596"/>
      <c r="O38" s="1596"/>
      <c r="P38" s="1596"/>
      <c r="Q38" s="1596"/>
      <c r="S38" s="546"/>
      <c r="T38" s="546"/>
      <c r="U38" s="1716"/>
      <c r="V38" s="549"/>
      <c r="W38" s="549"/>
      <c r="X38" s="549"/>
      <c r="Y38" s="549"/>
      <c r="Z38" s="549"/>
      <c r="AA38" s="549"/>
      <c r="AB38" s="549"/>
      <c r="AC38" s="501" t="s">
        <v>426</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426</v>
      </c>
      <c r="BD38" s="591"/>
      <c r="BE38" s="591"/>
      <c r="BF38" s="591"/>
      <c r="BG38" s="591"/>
      <c r="BH38" s="591"/>
    </row>
    <row customHeight="1" ht="14.25">
      <c r="Q39" s="514"/>
      <c r="R39" s="599"/>
      <c r="S39" s="1503"/>
      <c r="T39" s="586"/>
      <c r="U39" s="1471"/>
      <c r="V39" s="2406"/>
      <c r="W39" s="2406"/>
      <c r="X39" s="2406"/>
      <c r="Y39" s="2406"/>
      <c r="Z39" s="2406"/>
      <c r="AA39" s="2406"/>
      <c r="AB39" s="2406"/>
      <c r="AC39" s="2406"/>
      <c r="AD39" s="2406"/>
      <c r="AE39" s="2406"/>
      <c r="AF39" s="2406"/>
      <c r="AG39" s="2406"/>
      <c r="AH39" s="2406"/>
      <c r="AI39" s="2406"/>
      <c r="AJ39" s="2406"/>
      <c r="AK39" s="2406"/>
      <c r="AL39" s="2406"/>
      <c r="AM39" s="2406"/>
      <c r="AN39" s="2406"/>
      <c r="AO39" s="2406"/>
      <c r="AP39" s="2406"/>
      <c r="AQ39" s="2406"/>
      <c r="AR39" s="2406"/>
      <c r="AS39" s="2406"/>
      <c r="AT39" s="2406"/>
      <c r="AU39" s="2406"/>
      <c r="AV39" s="2406"/>
      <c r="AW39" s="2406"/>
      <c r="AX39" s="2406"/>
      <c r="AY39" s="2406"/>
      <c r="AZ39" s="2406"/>
      <c r="BA39" s="2406"/>
    </row>
    <row customHeight="1" ht="14.25">
      <c r="Q40" s="514"/>
      <c r="R40" s="599"/>
      <c r="S40" s="2254" t="s">
        <v>301</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302</v>
      </c>
    </row>
    <row customHeight="1" ht="14.25">
      <c r="Q41" s="514"/>
      <c r="R41" s="599"/>
      <c r="S41" s="2407" t="s">
        <v>87</v>
      </c>
      <c r="T41" s="2344" t="s">
        <v>506</v>
      </c>
      <c r="U41" s="524"/>
      <c r="V41" s="2408" t="s">
        <v>428</v>
      </c>
      <c r="W41" s="2409"/>
      <c r="X41" s="2409"/>
      <c r="Y41" s="2409"/>
      <c r="Z41" s="2409"/>
      <c r="AA41" s="2409"/>
      <c r="AB41" s="2410"/>
      <c r="AC41" s="2411" t="s">
        <v>429</v>
      </c>
      <c r="AD41" s="2455" t="s">
        <v>523</v>
      </c>
      <c r="AE41" s="2430"/>
      <c r="AF41" s="2430"/>
      <c r="AG41" s="2456"/>
      <c r="AH41" s="2455" t="s">
        <v>524</v>
      </c>
      <c r="AI41" s="2430"/>
      <c r="AJ41" s="2430"/>
      <c r="AK41" s="2456"/>
      <c r="AL41" s="2455" t="s">
        <v>525</v>
      </c>
      <c r="AM41" s="2430"/>
      <c r="AN41" s="2430"/>
      <c r="AO41" s="2456"/>
      <c r="AP41" s="2455" t="s">
        <v>510</v>
      </c>
      <c r="AQ41" s="2430"/>
      <c r="AR41" s="2430"/>
      <c r="AS41" s="2456"/>
      <c r="AT41" s="2408" t="s">
        <v>428</v>
      </c>
      <c r="AU41" s="2409"/>
      <c r="AV41" s="2409"/>
      <c r="AW41" s="2409"/>
      <c r="AX41" s="2409"/>
      <c r="AY41" s="2409"/>
      <c r="AZ41" s="2410"/>
      <c r="BA41" s="2411" t="s">
        <v>429</v>
      </c>
      <c r="BB41" s="2414" t="s">
        <v>431</v>
      </c>
      <c r="BC41" s="2254"/>
    </row>
    <row customHeight="1" ht="33.75">
      <c r="Q42" s="514"/>
      <c r="R42" s="599"/>
      <c r="S42" s="2407"/>
      <c r="T42" s="2344"/>
      <c r="U42" s="1255"/>
      <c r="V42" s="2312" t="s">
        <v>511</v>
      </c>
      <c r="W42" s="2313"/>
      <c r="X42" s="2312" t="s">
        <v>512</v>
      </c>
      <c r="Y42" s="2313"/>
      <c r="Z42" s="2428" t="s">
        <v>513</v>
      </c>
      <c r="AA42" s="2446"/>
      <c r="AB42" s="2447"/>
      <c r="AC42" s="2412"/>
      <c r="AD42" s="2457"/>
      <c r="AE42" s="2458"/>
      <c r="AF42" s="2458"/>
      <c r="AG42" s="2470"/>
      <c r="AH42" s="2457"/>
      <c r="AI42" s="2458"/>
      <c r="AJ42" s="2458"/>
      <c r="AK42" s="2470"/>
      <c r="AL42" s="2457"/>
      <c r="AM42" s="2458"/>
      <c r="AN42" s="2458"/>
      <c r="AO42" s="2470"/>
      <c r="AP42" s="2457"/>
      <c r="AQ42" s="2458"/>
      <c r="AR42" s="2458"/>
      <c r="AS42" s="2470"/>
      <c r="AT42" s="2312" t="s">
        <v>526</v>
      </c>
      <c r="AU42" s="2313"/>
      <c r="AV42" s="2312" t="s">
        <v>527</v>
      </c>
      <c r="AW42" s="2313"/>
      <c r="AX42" s="2428" t="s">
        <v>513</v>
      </c>
      <c r="AY42" s="2446"/>
      <c r="AZ42" s="2447"/>
      <c r="BA42" s="2412"/>
      <c r="BB42" s="2415"/>
      <c r="BC42" s="2254"/>
    </row>
    <row customHeight="1" ht="14.25">
      <c r="Q43" s="514"/>
      <c r="R43" s="599"/>
      <c r="S43" s="2407"/>
      <c r="T43" s="2344"/>
      <c r="U43" s="1255"/>
      <c r="V43" s="2320"/>
      <c r="W43" s="2321"/>
      <c r="X43" s="2320"/>
      <c r="Y43" s="2321"/>
      <c r="Z43" s="2429"/>
      <c r="AA43" s="2448"/>
      <c r="AB43" s="2449"/>
      <c r="AC43" s="2412"/>
      <c r="AD43" s="2457"/>
      <c r="AE43" s="2458"/>
      <c r="AF43" s="2458"/>
      <c r="AG43" s="2470"/>
      <c r="AH43" s="2457"/>
      <c r="AI43" s="2458"/>
      <c r="AJ43" s="2458"/>
      <c r="AK43" s="2470"/>
      <c r="AL43" s="2457"/>
      <c r="AM43" s="2458"/>
      <c r="AN43" s="2458"/>
      <c r="AO43" s="2470"/>
      <c r="AP43" s="2457"/>
      <c r="AQ43" s="2458"/>
      <c r="AR43" s="2458"/>
      <c r="AS43" s="2470"/>
      <c r="AT43" s="2320"/>
      <c r="AU43" s="2321"/>
      <c r="AV43" s="2320"/>
      <c r="AW43" s="2321"/>
      <c r="AX43" s="2429"/>
      <c r="AY43" s="2448"/>
      <c r="AZ43" s="2449"/>
      <c r="BA43" s="2412"/>
      <c r="BB43" s="2415"/>
      <c r="BC43" s="2254"/>
    </row>
    <row customHeight="1" ht="14.25">
      <c r="A44" s="1598"/>
      <c r="B44" s="1598" t="s">
        <v>134</v>
      </c>
      <c r="C44" s="1598" t="s">
        <v>135</v>
      </c>
      <c r="D44" s="1598" t="s">
        <v>136</v>
      </c>
      <c r="E44" s="1592" t="s">
        <v>436</v>
      </c>
      <c r="F44" s="1592" t="s">
        <v>437</v>
      </c>
      <c r="G44" s="1592" t="s">
        <v>438</v>
      </c>
      <c r="H44" s="1592" t="s">
        <v>439</v>
      </c>
      <c r="I44" s="1592" t="s">
        <v>440</v>
      </c>
      <c r="J44" s="1592" t="s">
        <v>441</v>
      </c>
      <c r="K44" s="1592" t="s">
        <v>442</v>
      </c>
      <c r="L44" s="1592" t="s">
        <v>417</v>
      </c>
      <c r="Q44" s="514"/>
      <c r="R44" s="599"/>
      <c r="S44" s="2407"/>
      <c r="T44" s="2344"/>
      <c r="U44" s="525"/>
      <c r="V44" s="1707" t="s">
        <v>477</v>
      </c>
      <c r="W44" s="1707" t="s">
        <v>478</v>
      </c>
      <c r="X44" s="1707" t="s">
        <v>477</v>
      </c>
      <c r="Y44" s="1707" t="s">
        <v>478</v>
      </c>
      <c r="Z44" s="1717" t="s">
        <v>445</v>
      </c>
      <c r="AA44" s="2403" t="s">
        <v>446</v>
      </c>
      <c r="AB44" s="2404"/>
      <c r="AC44" s="2413"/>
      <c r="AD44" s="2459"/>
      <c r="AE44" s="2460"/>
      <c r="AF44" s="2460"/>
      <c r="AG44" s="2461"/>
      <c r="AH44" s="2459"/>
      <c r="AI44" s="2460"/>
      <c r="AJ44" s="2460"/>
      <c r="AK44" s="2461"/>
      <c r="AL44" s="2459"/>
      <c r="AM44" s="2460"/>
      <c r="AN44" s="2460"/>
      <c r="AO44" s="2461"/>
      <c r="AP44" s="2459"/>
      <c r="AQ44" s="2460"/>
      <c r="AR44" s="2460"/>
      <c r="AS44" s="2461"/>
      <c r="AT44" s="1707" t="s">
        <v>477</v>
      </c>
      <c r="AU44" s="1707" t="s">
        <v>478</v>
      </c>
      <c r="AV44" s="1707" t="s">
        <v>477</v>
      </c>
      <c r="AW44" s="1707" t="s">
        <v>478</v>
      </c>
      <c r="AX44" s="1717" t="s">
        <v>445</v>
      </c>
      <c r="AY44" s="2403" t="s">
        <v>446</v>
      </c>
      <c r="AZ44" s="2404"/>
      <c r="BA44" s="2413"/>
      <c r="BB44" s="2416"/>
      <c r="BC44" s="2254"/>
    </row>
    <row s="13364" customFormat="1" customHeight="1" ht="11.25" hidden="1">
      <c r="A45" s="1598"/>
      <c r="B45" s="1598"/>
      <c r="C45" s="1598"/>
      <c r="D45" s="1598"/>
      <c r="E45" s="1598"/>
      <c r="F45" s="1598"/>
      <c r="G45" s="1598"/>
      <c r="H45" s="1598"/>
      <c r="I45" s="1598"/>
      <c r="J45" s="1598"/>
      <c r="K45" s="1598"/>
      <c r="L45" s="1592"/>
      <c r="M45" s="1590"/>
      <c r="N45" s="1590"/>
      <c r="O45" s="1590"/>
      <c r="P45" s="733"/>
      <c r="Q45" s="1481"/>
      <c r="R45" s="1481">
        <v>1</v>
      </c>
      <c r="S45" s="1505" t="s">
        <v>108</v>
      </c>
      <c r="T45" s="1482" t="s">
        <v>109</v>
      </c>
      <c r="U45" s="1472" t="str">
        <f>OFFSET(U45,0,-1)</f>
        <v>2</v>
      </c>
      <c r="V45" s="1710">
        <f>OFFSET(V45,0,-1)+1</f>
        <v>3</v>
      </c>
      <c r="W45" s="1710">
        <f>OFFSET(W45,0,-1)+1</f>
        <v>4</v>
      </c>
      <c r="X45" s="1710">
        <f>OFFSET(X45,0,-1)+1</f>
        <v>5</v>
      </c>
      <c r="Y45" s="1710">
        <f>OFFSET(Y45,0,-1)+1</f>
        <v>6</v>
      </c>
      <c r="Z45" s="1710">
        <f>OFFSET(Z45,0,-1)+1</f>
        <v>7</v>
      </c>
      <c r="AA45" s="2405">
        <f>OFFSET(AA45,0,-1)+1</f>
        <v>8</v>
      </c>
      <c r="AB45" s="2405"/>
      <c r="AC45" s="1710">
        <f>OFFSET(AC45,0,-2)+1</f>
        <v>9</v>
      </c>
      <c r="AD45" s="1710">
        <f>OFFSET(AD45,0,-1)+1</f>
        <v>10</v>
      </c>
      <c r="AE45" s="1710"/>
      <c r="AF45" s="1710"/>
      <c r="AG45" s="1710"/>
      <c r="AH45" s="1710"/>
      <c r="AI45" s="1710"/>
      <c r="AJ45" s="1710"/>
      <c r="AK45" s="1710"/>
      <c r="AL45" s="1710"/>
      <c r="AM45" s="1710"/>
      <c r="AN45" s="1710"/>
      <c r="AO45" s="1710"/>
      <c r="AP45" s="1710"/>
      <c r="AQ45" s="1710"/>
      <c r="AR45" s="1710"/>
      <c r="AS45" s="1710"/>
      <c r="AT45" s="1710"/>
      <c r="AU45" s="1710"/>
      <c r="AV45" s="1710"/>
      <c r="AW45" s="1710">
        <f>OFFSET(AW45,0,-1)+1</f>
        <v>1</v>
      </c>
      <c r="AX45" s="1710">
        <f>OFFSET(AX45,0,-1)+1</f>
        <v>2</v>
      </c>
      <c r="AY45" s="2405">
        <f>OFFSET(AY45,0,-1)+1</f>
        <v>3</v>
      </c>
      <c r="AZ45" s="2405"/>
      <c r="BA45" s="1710">
        <f>OFFSET(BA45,0,-2)+1</f>
        <v>4</v>
      </c>
      <c r="BB45" s="1472">
        <f>OFFSET(BB45,0,-1)</f>
        <v>4</v>
      </c>
      <c r="BC45" s="1710">
        <f>OFFSET(BC45,0,-1)+1</f>
        <v>5</v>
      </c>
      <c r="BD45" s="734"/>
      <c r="BE45" s="734"/>
      <c r="BF45" s="734"/>
      <c r="BG45" s="734"/>
      <c r="BH45" s="734"/>
    </row>
    <row customHeight="1" ht="21">
      <c r="A46" s="1591" t="s">
        <v>277</v>
      </c>
      <c r="B46" s="1591"/>
      <c r="C46" s="1591"/>
      <c r="D46" s="1591"/>
      <c r="E46" s="2389">
        <v>1</v>
      </c>
      <c r="F46" s="1591"/>
      <c r="G46" s="1591"/>
      <c r="H46" s="1591"/>
      <c r="I46" s="1591"/>
      <c r="J46" s="1591"/>
      <c r="K46" s="1591"/>
      <c r="L46" s="1592"/>
      <c r="M46" s="1593"/>
      <c r="N46" s="1593"/>
      <c r="O46" s="1593"/>
      <c r="P46" s="1637"/>
      <c r="Q46" s="1096"/>
      <c r="R46" s="578"/>
      <c r="S46" s="1721">
        <f>INDEX(PT_DIFFERENTIATION_NUM_NTAR,MATCH(A46,PT_DIFFERENTIATION_NTAR_ID,0))</f>
        <v>0</v>
      </c>
      <c r="T46" s="521" t="s">
        <v>122</v>
      </c>
      <c r="U46" s="523"/>
      <c r="V46" s="2384"/>
      <c r="W46" s="2384"/>
      <c r="X46" s="2384"/>
      <c r="Y46" s="2384"/>
      <c r="Z46" s="2384"/>
      <c r="AA46" s="2384"/>
      <c r="AB46" s="2384"/>
      <c r="AC46" s="2385"/>
      <c r="AD46" s="2383" t="str">
        <f>INDEX(PT_DIFFERENTIATION_NTAR,MATCH(A46,PT_DIFFERENTIATION_NTAR_ID,0))</f>
        <v/>
      </c>
      <c r="AE46" s="2384"/>
      <c r="AF46" s="2384"/>
      <c r="AG46" s="2384"/>
      <c r="AH46" s="2384"/>
      <c r="AI46" s="2384"/>
      <c r="AJ46" s="2384"/>
      <c r="AK46" s="2384"/>
      <c r="AL46" s="2384"/>
      <c r="AM46" s="2384"/>
      <c r="AN46" s="2384"/>
      <c r="AO46" s="2384"/>
      <c r="AP46" s="2384"/>
      <c r="AQ46" s="2384"/>
      <c r="AR46" s="2384"/>
      <c r="AS46" s="2384"/>
      <c r="AT46" s="2384"/>
      <c r="AU46" s="2384"/>
      <c r="AV46" s="2384"/>
      <c r="AW46" s="2384"/>
      <c r="AX46" s="2384"/>
      <c r="AY46" s="2384"/>
      <c r="AZ46" s="2384"/>
      <c r="BA46" s="2384"/>
      <c r="BB46" s="2385"/>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91" t="s">
        <v>277</v>
      </c>
      <c r="B47" s="1591" t="s">
        <v>278</v>
      </c>
      <c r="C47" s="1591"/>
      <c r="D47" s="1591"/>
      <c r="E47" s="2390"/>
      <c r="F47" s="2389">
        <v>1</v>
      </c>
      <c r="G47" s="1591"/>
      <c r="H47" s="1591"/>
      <c r="I47" s="1591"/>
      <c r="J47" s="1591"/>
      <c r="K47" s="1591"/>
      <c r="L47" s="1592"/>
      <c r="M47" s="1593"/>
      <c r="N47" s="1593"/>
      <c r="O47" s="1593"/>
      <c r="P47" s="1638"/>
      <c r="Q47" s="1639"/>
      <c r="R47" s="576"/>
      <c r="S47" s="1721" t="str">
        <f>INDEX(PT_DIFFERENTIATION_NUM_TER,MATCH(B47,PT_DIFFERENTIATION_TER_ID,0))</f>
        <v>.</v>
      </c>
      <c r="T47" s="531" t="s">
        <v>398</v>
      </c>
      <c r="U47" s="523"/>
      <c r="V47" s="2384"/>
      <c r="W47" s="2384"/>
      <c r="X47" s="2384"/>
      <c r="Y47" s="2384"/>
      <c r="Z47" s="2384"/>
      <c r="AA47" s="2384"/>
      <c r="AB47" s="2384"/>
      <c r="AC47" s="2385"/>
      <c r="AD47" s="2383" t="str">
        <f>INDEX(PT_DIFFERENTIATION_TER,MATCH(B47,PT_DIFFERENTIATION_TER_ID,0))</f>
        <v/>
      </c>
      <c r="AE47" s="2384"/>
      <c r="AF47" s="2384"/>
      <c r="AG47" s="2384"/>
      <c r="AH47" s="2384"/>
      <c r="AI47" s="2384"/>
      <c r="AJ47" s="2384"/>
      <c r="AK47" s="2384"/>
      <c r="AL47" s="2384"/>
      <c r="AM47" s="2384"/>
      <c r="AN47" s="2384"/>
      <c r="AO47" s="2384"/>
      <c r="AP47" s="2384"/>
      <c r="AQ47" s="2384"/>
      <c r="AR47" s="2384"/>
      <c r="AS47" s="2384"/>
      <c r="AT47" s="2384"/>
      <c r="AU47" s="2384"/>
      <c r="AV47" s="2384"/>
      <c r="AW47" s="2384"/>
      <c r="AX47" s="2384"/>
      <c r="AY47" s="2384"/>
      <c r="AZ47" s="2384"/>
      <c r="BA47" s="2384"/>
      <c r="BB47" s="2385"/>
      <c r="BC47" s="1485" t="s">
        <v>399</v>
      </c>
      <c r="BE47" s="723"/>
      <c r="BF47" s="723" t="str">
        <f>IF(T47="","",T47)</f>
        <v>Территория действия тарифа</v>
      </c>
      <c r="BG47" s="723"/>
      <c r="BH47" s="723"/>
    </row>
    <row customHeight="1" ht="33.75">
      <c r="A48" s="1591" t="s">
        <v>277</v>
      </c>
      <c r="B48" s="1591" t="s">
        <v>278</v>
      </c>
      <c r="C48" s="1591" t="s">
        <v>279</v>
      </c>
      <c r="D48" s="1591"/>
      <c r="E48" s="2390"/>
      <c r="F48" s="2390"/>
      <c r="G48" s="2389">
        <v>1</v>
      </c>
      <c r="H48" s="1591"/>
      <c r="I48" s="1591"/>
      <c r="J48" s="1591"/>
      <c r="K48" s="1591"/>
      <c r="L48" s="1592"/>
      <c r="M48" s="1593"/>
      <c r="N48" s="1593"/>
      <c r="O48" s="1593"/>
      <c r="P48" s="1640"/>
      <c r="Q48" s="1639"/>
      <c r="R48" s="576"/>
      <c r="S48" s="1721" t="str">
        <f>INDEX(PT_DIFFERENTIATION_NUM_CS,MATCH(C48,PT_DIFFERENTIATION_CS_ID,0))</f>
        <v>..</v>
      </c>
      <c r="T48" s="532" t="s">
        <v>515</v>
      </c>
      <c r="U48" s="523"/>
      <c r="V48" s="2384"/>
      <c r="W48" s="2384"/>
      <c r="X48" s="2384"/>
      <c r="Y48" s="2384"/>
      <c r="Z48" s="2384"/>
      <c r="AA48" s="2384"/>
      <c r="AB48" s="2384"/>
      <c r="AC48" s="2385"/>
      <c r="AD48" s="2383" t="str">
        <f>INDEX(PT_DIFFERENTIATION_CS,MATCH(C48,PT_DIFFERENTIATION_CS_ID,0))</f>
        <v/>
      </c>
      <c r="AE48" s="2384"/>
      <c r="AF48" s="2384"/>
      <c r="AG48" s="2384"/>
      <c r="AH48" s="2384"/>
      <c r="AI48" s="2384"/>
      <c r="AJ48" s="2384"/>
      <c r="AK48" s="2384"/>
      <c r="AL48" s="2384"/>
      <c r="AM48" s="2384"/>
      <c r="AN48" s="2384"/>
      <c r="AO48" s="2384"/>
      <c r="AP48" s="2384"/>
      <c r="AQ48" s="2384"/>
      <c r="AR48" s="2384"/>
      <c r="AS48" s="2384"/>
      <c r="AT48" s="2384"/>
      <c r="AU48" s="2384"/>
      <c r="AV48" s="2384"/>
      <c r="AW48" s="2384"/>
      <c r="AX48" s="2384"/>
      <c r="AY48" s="2384"/>
      <c r="AZ48" s="2384"/>
      <c r="BA48" s="2384"/>
      <c r="BB48" s="2385"/>
      <c r="BC48" s="1485" t="s">
        <v>516</v>
      </c>
      <c r="BE48" s="723"/>
      <c r="BF48" s="723" t="str">
        <f>IF(T48="","",T48)</f>
        <v>Наименование централизованной системы водоотведения</v>
      </c>
      <c r="BG48" s="723"/>
      <c r="BH48" s="723"/>
    </row>
    <row s="13606" customFormat="1" customHeight="1" ht="0">
      <c r="A49" s="1571" t="s">
        <v>277</v>
      </c>
      <c r="B49" s="1571" t="s">
        <v>278</v>
      </c>
      <c r="C49" s="1571" t="s">
        <v>279</v>
      </c>
      <c r="D49" s="1571" t="s">
        <v>528</v>
      </c>
      <c r="E49" s="2390"/>
      <c r="F49" s="2390"/>
      <c r="G49" s="2390"/>
      <c r="H49" s="2389">
        <v>1</v>
      </c>
      <c r="I49" s="1571"/>
      <c r="J49" s="1571"/>
      <c r="K49" s="1571"/>
      <c r="L49" s="1574"/>
      <c r="M49" s="1543"/>
      <c r="N49" s="1543"/>
      <c r="O49" s="1543"/>
      <c r="P49" s="1725"/>
      <c r="Q49" s="1726"/>
      <c r="R49" s="580"/>
      <c r="S49" s="1266"/>
      <c r="T49" s="1727"/>
      <c r="U49" s="1612"/>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613" t="s">
        <v>403</v>
      </c>
      <c r="BE49" s="723"/>
      <c r="BF49" s="723" t="str">
        <f>IF(T49="","",T49)</f>
        <v/>
      </c>
      <c r="BG49" s="723"/>
      <c r="BH49" s="723"/>
    </row>
    <row s="13606" customFormat="1" customHeight="1" ht="0">
      <c r="A50" s="1571" t="s">
        <v>277</v>
      </c>
      <c r="B50" s="1571" t="s">
        <v>278</v>
      </c>
      <c r="C50" s="1571" t="s">
        <v>279</v>
      </c>
      <c r="D50" s="1571" t="s">
        <v>528</v>
      </c>
      <c r="E50" s="2390"/>
      <c r="F50" s="2390"/>
      <c r="G50" s="2390"/>
      <c r="H50" s="2390"/>
      <c r="I50" s="2391" t="str">
        <f>S49&amp;".1"</f>
        <v>.1</v>
      </c>
      <c r="J50" s="1571"/>
      <c r="K50" s="1571"/>
      <c r="L50" s="1574" t="s">
        <v>404</v>
      </c>
      <c r="M50" s="733"/>
      <c r="N50" s="733"/>
      <c r="O50" s="733"/>
      <c r="P50" s="2393">
        <v>1</v>
      </c>
      <c r="Q50" s="1709"/>
      <c r="R50" s="579"/>
      <c r="S50" s="1266"/>
      <c r="T50" s="1611"/>
      <c r="U50" s="1612"/>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613"/>
      <c r="BE50" s="723"/>
      <c r="BF50" s="723" t="str">
        <f>IF(T50="","",T50)</f>
        <v/>
      </c>
      <c r="BG50" s="723"/>
      <c r="BH50" s="723"/>
    </row>
    <row s="13606" customFormat="1" customHeight="1" ht="0">
      <c r="A51" s="1571" t="s">
        <v>277</v>
      </c>
      <c r="B51" s="1571" t="s">
        <v>278</v>
      </c>
      <c r="C51" s="1571" t="s">
        <v>279</v>
      </c>
      <c r="D51" s="1571" t="s">
        <v>528</v>
      </c>
      <c r="E51" s="2390"/>
      <c r="F51" s="2390"/>
      <c r="G51" s="2390"/>
      <c r="H51" s="2390"/>
      <c r="I51" s="2392"/>
      <c r="J51" s="2391" t="str">
        <f>S49&amp;".1"</f>
        <v>.1</v>
      </c>
      <c r="K51" s="1571"/>
      <c r="L51" s="1574"/>
      <c r="M51" s="733"/>
      <c r="N51" s="733"/>
      <c r="O51" s="733"/>
      <c r="P51" s="2393"/>
      <c r="Q51" s="2393">
        <v>1</v>
      </c>
      <c r="R51" s="580"/>
      <c r="S51" s="1266"/>
      <c r="T51" s="1627"/>
      <c r="U51" s="1612"/>
      <c r="V51" s="2432"/>
      <c r="W51" s="2432"/>
      <c r="X51" s="2432"/>
      <c r="Y51" s="2432"/>
      <c r="Z51" s="2432"/>
      <c r="AA51" s="2432"/>
      <c r="AB51" s="2432"/>
      <c r="AC51" s="2433"/>
      <c r="AD51" s="2431"/>
      <c r="AE51" s="2432"/>
      <c r="AF51" s="2432"/>
      <c r="AG51" s="2432"/>
      <c r="AH51" s="2432"/>
      <c r="AI51" s="2432"/>
      <c r="AJ51" s="2432"/>
      <c r="AK51" s="2432"/>
      <c r="AL51" s="2432"/>
      <c r="AM51" s="2432"/>
      <c r="AN51" s="2492"/>
      <c r="AO51" s="2492"/>
      <c r="AP51" s="2432"/>
      <c r="AQ51" s="2432"/>
      <c r="AR51" s="2432"/>
      <c r="AS51" s="2432"/>
      <c r="AT51" s="2432"/>
      <c r="AU51" s="2432"/>
      <c r="AV51" s="2432"/>
      <c r="AW51" s="2432"/>
      <c r="AX51" s="2432"/>
      <c r="AY51" s="2432"/>
      <c r="AZ51" s="2432"/>
      <c r="BA51" s="2432"/>
      <c r="BB51" s="2433"/>
      <c r="BC51" s="1613"/>
      <c r="BE51" s="723"/>
      <c r="BF51" s="723" t="str">
        <f>IF(T51="","",T51)</f>
        <v/>
      </c>
      <c r="BG51" s="723"/>
      <c r="BH51" s="723"/>
    </row>
    <row customHeight="1" ht="11.25">
      <c r="A52" s="1591" t="s">
        <v>277</v>
      </c>
      <c r="B52" s="1591" t="s">
        <v>278</v>
      </c>
      <c r="C52" s="1591" t="s">
        <v>279</v>
      </c>
      <c r="D52" s="1591" t="s">
        <v>528</v>
      </c>
      <c r="E52" s="2390"/>
      <c r="F52" s="2390"/>
      <c r="G52" s="2390"/>
      <c r="H52" s="2390"/>
      <c r="I52" s="2392"/>
      <c r="J52" s="2392"/>
      <c r="K52" s="2391" t="str">
        <f>S48&amp;".1"</f>
        <v>...1</v>
      </c>
      <c r="L52" s="1592"/>
      <c r="P52" s="2393"/>
      <c r="Q52" s="2393"/>
      <c r="R52" s="580">
        <v>1</v>
      </c>
      <c r="S52" s="2466" t="str">
        <f>$K52</f>
        <v>...1</v>
      </c>
      <c r="T52" s="2486"/>
      <c r="U52" s="523"/>
      <c r="V52" s="974"/>
      <c r="W52" s="1484"/>
      <c r="X52" s="974"/>
      <c r="Y52" s="1484"/>
      <c r="Z52" s="1962"/>
      <c r="AA52" s="1697" t="s">
        <v>66</v>
      </c>
      <c r="AB52" s="1962"/>
      <c r="AC52" s="1697" t="s">
        <v>66</v>
      </c>
      <c r="AD52" s="2327" t="s">
        <v>66</v>
      </c>
      <c r="AE52" s="2462"/>
      <c r="AF52" s="2340">
        <v>1</v>
      </c>
      <c r="AG52" s="2485"/>
      <c r="AH52" s="2264" t="s">
        <v>66</v>
      </c>
      <c r="AI52" s="2462"/>
      <c r="AJ52" s="2340">
        <v>1</v>
      </c>
      <c r="AK52" s="2484" t="s">
        <v>24</v>
      </c>
      <c r="AL52" s="2264" t="s">
        <v>66</v>
      </c>
      <c r="AM52" s="2312"/>
      <c r="AN52" s="2340">
        <v>1</v>
      </c>
      <c r="AO52" s="2489"/>
      <c r="AP52" s="2490" t="s">
        <v>66</v>
      </c>
      <c r="AQ52" s="534"/>
      <c r="AR52" s="1714">
        <v>1</v>
      </c>
      <c r="AS52" s="1720" t="s">
        <v>24</v>
      </c>
      <c r="AT52" s="974"/>
      <c r="AU52" s="1484"/>
      <c r="AV52" s="974"/>
      <c r="AW52" s="1484"/>
      <c r="AX52" s="1962"/>
      <c r="AY52" s="1697" t="s">
        <v>66</v>
      </c>
      <c r="AZ52" s="1962"/>
      <c r="BA52" s="1697" t="s">
        <v>66</v>
      </c>
      <c r="BB52" s="1576"/>
      <c r="BC52" s="2419" t="s">
        <v>500</v>
      </c>
      <c r="BE52" s="723"/>
      <c r="BF52" s="723" t="str">
        <f>IF(T52="","",T52)</f>
        <v/>
      </c>
      <c r="BG52" s="723"/>
      <c r="BH52" s="723"/>
    </row>
    <row customHeight="1" ht="11.25">
      <c r="A53" s="1591"/>
      <c r="B53" s="1591"/>
      <c r="C53" s="1591"/>
      <c r="D53" s="1591"/>
      <c r="E53" s="2390"/>
      <c r="F53" s="2390"/>
      <c r="G53" s="2390"/>
      <c r="H53" s="2390"/>
      <c r="I53" s="2392"/>
      <c r="J53" s="2392"/>
      <c r="K53" s="2391"/>
      <c r="L53" s="1592"/>
      <c r="P53" s="2393"/>
      <c r="Q53" s="2393"/>
      <c r="R53" s="580"/>
      <c r="S53" s="2467"/>
      <c r="T53" s="2487"/>
      <c r="U53" s="523"/>
      <c r="V53" s="1621"/>
      <c r="W53" s="1724"/>
      <c r="X53" s="1621"/>
      <c r="Y53" s="1724"/>
      <c r="Z53" s="1621"/>
      <c r="AA53" s="1621"/>
      <c r="AB53" s="1621"/>
      <c r="AC53" s="1621"/>
      <c r="AD53" s="2328"/>
      <c r="AE53" s="2462"/>
      <c r="AF53" s="2340"/>
      <c r="AG53" s="2485"/>
      <c r="AH53" s="2264"/>
      <c r="AI53" s="2462"/>
      <c r="AJ53" s="2340"/>
      <c r="AK53" s="2484"/>
      <c r="AL53" s="2264"/>
      <c r="AM53" s="2320"/>
      <c r="AN53" s="2340"/>
      <c r="AO53" s="2489"/>
      <c r="AP53" s="2491"/>
      <c r="AQ53" s="539"/>
      <c r="AR53" s="639"/>
      <c r="AS53" s="639" t="s">
        <v>501</v>
      </c>
      <c r="AT53" s="1621"/>
      <c r="AU53" s="1724"/>
      <c r="AV53" s="1621"/>
      <c r="AW53" s="1724"/>
      <c r="AX53" s="1621"/>
      <c r="AY53" s="1621"/>
      <c r="AZ53" s="1621"/>
      <c r="BA53" s="1621"/>
      <c r="BB53" s="1625"/>
      <c r="BC53" s="2420"/>
      <c r="BE53" s="723"/>
      <c r="BF53" s="723"/>
      <c r="BG53" s="723"/>
      <c r="BH53" s="723"/>
    </row>
    <row customHeight="1" ht="11.25">
      <c r="A54" s="1591" t="s">
        <v>277</v>
      </c>
      <c r="B54" s="1591"/>
      <c r="C54" s="1591"/>
      <c r="D54" s="1591"/>
      <c r="E54" s="2390"/>
      <c r="F54" s="2390"/>
      <c r="G54" s="2390"/>
      <c r="H54" s="2390"/>
      <c r="I54" s="2392"/>
      <c r="J54" s="2392"/>
      <c r="K54" s="2391"/>
      <c r="L54" s="1592"/>
      <c r="P54" s="2393"/>
      <c r="Q54" s="2393"/>
      <c r="R54" s="580"/>
      <c r="S54" s="2467"/>
      <c r="T54" s="2487"/>
      <c r="U54" s="523"/>
      <c r="V54" s="1621"/>
      <c r="W54" s="1724"/>
      <c r="X54" s="1621"/>
      <c r="Y54" s="1724"/>
      <c r="Z54" s="1621"/>
      <c r="AA54" s="1621"/>
      <c r="AB54" s="1621"/>
      <c r="AC54" s="1621"/>
      <c r="AD54" s="2328"/>
      <c r="AE54" s="2462"/>
      <c r="AF54" s="2340"/>
      <c r="AG54" s="2485"/>
      <c r="AH54" s="2264"/>
      <c r="AI54" s="2462"/>
      <c r="AJ54" s="2340"/>
      <c r="AK54" s="2484"/>
      <c r="AL54" s="2264"/>
      <c r="AM54" s="539"/>
      <c r="AN54" s="1728"/>
      <c r="AO54" s="1728" t="s">
        <v>521</v>
      </c>
      <c r="AP54" s="639"/>
      <c r="AQ54" s="639"/>
      <c r="AR54" s="639"/>
      <c r="AS54" s="1621"/>
      <c r="AT54" s="1621"/>
      <c r="AU54" s="1724"/>
      <c r="AV54" s="1621"/>
      <c r="AW54" s="1724"/>
      <c r="AX54" s="1621"/>
      <c r="AY54" s="1621"/>
      <c r="AZ54" s="1621"/>
      <c r="BA54" s="1621"/>
      <c r="BB54" s="1625"/>
      <c r="BC54" s="2420"/>
      <c r="BE54" s="723"/>
      <c r="BF54" s="723"/>
      <c r="BG54" s="723"/>
      <c r="BH54" s="723"/>
    </row>
    <row customHeight="1" ht="11.25">
      <c r="A55" s="1591" t="s">
        <v>277</v>
      </c>
      <c r="B55" s="1591"/>
      <c r="C55" s="1591"/>
      <c r="D55" s="1591"/>
      <c r="E55" s="2390"/>
      <c r="F55" s="2390"/>
      <c r="G55" s="2390"/>
      <c r="H55" s="2390"/>
      <c r="I55" s="2392"/>
      <c r="J55" s="2392"/>
      <c r="K55" s="2391"/>
      <c r="L55" s="1592"/>
      <c r="P55" s="2393"/>
      <c r="Q55" s="2393"/>
      <c r="R55" s="580"/>
      <c r="S55" s="2467"/>
      <c r="T55" s="2487"/>
      <c r="U55" s="523"/>
      <c r="V55" s="1621"/>
      <c r="W55" s="1724"/>
      <c r="X55" s="1621"/>
      <c r="Y55" s="1724"/>
      <c r="Z55" s="1621"/>
      <c r="AA55" s="1621"/>
      <c r="AB55" s="1621"/>
      <c r="AC55" s="1621"/>
      <c r="AD55" s="2328"/>
      <c r="AE55" s="2462"/>
      <c r="AF55" s="2340"/>
      <c r="AG55" s="2485"/>
      <c r="AH55" s="2264"/>
      <c r="AI55" s="517"/>
      <c r="AJ55" s="638"/>
      <c r="AK55" s="536" t="s">
        <v>522</v>
      </c>
      <c r="AL55" s="1621"/>
      <c r="AM55" s="1621"/>
      <c r="AN55" s="1621"/>
      <c r="AO55" s="1621"/>
      <c r="AP55" s="1621"/>
      <c r="AQ55" s="1621"/>
      <c r="AR55" s="1621"/>
      <c r="AS55" s="1621"/>
      <c r="AT55" s="1621"/>
      <c r="AU55" s="1724"/>
      <c r="AV55" s="1621"/>
      <c r="AW55" s="1724"/>
      <c r="AX55" s="1621"/>
      <c r="AY55" s="1621"/>
      <c r="AZ55" s="1621"/>
      <c r="BA55" s="1621"/>
      <c r="BB55" s="1625"/>
      <c r="BC55" s="2420"/>
      <c r="BE55" s="723"/>
      <c r="BF55" s="723"/>
      <c r="BG55" s="723"/>
      <c r="BH55" s="723"/>
    </row>
    <row customHeight="1" ht="11.25">
      <c r="A56" s="1591" t="s">
        <v>277</v>
      </c>
      <c r="B56" s="1591" t="s">
        <v>278</v>
      </c>
      <c r="C56" s="1591" t="s">
        <v>279</v>
      </c>
      <c r="D56" s="1591" t="s">
        <v>528</v>
      </c>
      <c r="E56" s="2390"/>
      <c r="F56" s="2390"/>
      <c r="G56" s="2390"/>
      <c r="H56" s="2390"/>
      <c r="I56" s="2392"/>
      <c r="J56" s="2392"/>
      <c r="K56" s="2391"/>
      <c r="L56" s="1592"/>
      <c r="P56" s="2393"/>
      <c r="Q56" s="2393"/>
      <c r="R56" s="580"/>
      <c r="S56" s="2468"/>
      <c r="T56" s="2488"/>
      <c r="U56" s="523"/>
      <c r="V56" s="1621"/>
      <c r="W56" s="1622" t="str">
        <f>Z52&amp;"-"&amp;AB52</f>
        <v>-</v>
      </c>
      <c r="X56" s="1621"/>
      <c r="Y56" s="1622" t="str">
        <f>AB52&amp;"-"&amp;AD52</f>
        <v>-да</v>
      </c>
      <c r="Z56" s="1621"/>
      <c r="AA56" s="1621"/>
      <c r="AB56" s="1621"/>
      <c r="AC56" s="1621"/>
      <c r="AD56" s="2269"/>
      <c r="AE56" s="535"/>
      <c r="AF56" s="537"/>
      <c r="AG56" s="639" t="s">
        <v>504</v>
      </c>
      <c r="AH56" s="1621"/>
      <c r="AI56" s="1621"/>
      <c r="AJ56" s="1621"/>
      <c r="AK56" s="1621"/>
      <c r="AL56" s="1621"/>
      <c r="AM56" s="1621"/>
      <c r="AN56" s="1621"/>
      <c r="AO56" s="1621"/>
      <c r="AP56" s="1621"/>
      <c r="AQ56" s="1621"/>
      <c r="AR56" s="1621"/>
      <c r="AS56" s="1621"/>
      <c r="AT56" s="1621"/>
      <c r="AU56" s="1622" t="str">
        <f>AX52&amp;"-"&amp;AZ52</f>
        <v>-</v>
      </c>
      <c r="AV56" s="1621"/>
      <c r="AW56" s="1622" t="str">
        <f>AZ52&amp;"-"&amp;BB52</f>
        <v>-</v>
      </c>
      <c r="AX56" s="1621"/>
      <c r="AY56" s="1621"/>
      <c r="AZ56" s="1621"/>
      <c r="BA56" s="1621"/>
      <c r="BB56" s="1624" t="str">
        <f>BE52&amp;"-"&amp;BG52</f>
        <v>-</v>
      </c>
      <c r="BC56" s="2420"/>
      <c r="BE56" s="723"/>
      <c r="BF56" s="723" t="str">
        <f>IF(T56="","",T56)</f>
        <v/>
      </c>
      <c r="BG56" s="723"/>
      <c r="BH56" s="723"/>
    </row>
    <row customHeight="1" ht="11.25">
      <c r="A57" s="1591" t="s">
        <v>277</v>
      </c>
      <c r="B57" s="1591" t="s">
        <v>278</v>
      </c>
      <c r="C57" s="1591" t="s">
        <v>279</v>
      </c>
      <c r="D57" s="1591" t="s">
        <v>528</v>
      </c>
      <c r="E57" s="2390"/>
      <c r="F57" s="2390"/>
      <c r="G57" s="2390"/>
      <c r="H57" s="2390"/>
      <c r="I57" s="2392"/>
      <c r="J57" s="2391"/>
      <c r="K57" s="1591"/>
      <c r="L57" s="1592"/>
      <c r="P57" s="2393"/>
      <c r="Q57" s="2393"/>
      <c r="R57" s="579"/>
      <c r="S57" s="1506"/>
      <c r="T57" s="510" t="s">
        <v>466</v>
      </c>
      <c r="U57" s="590"/>
      <c r="V57" s="590"/>
      <c r="W57" s="590"/>
      <c r="X57" s="590"/>
      <c r="Y57" s="590"/>
      <c r="Z57" s="590"/>
      <c r="AA57" s="590"/>
      <c r="AB57" s="590"/>
      <c r="AC57" s="547"/>
      <c r="AD57" s="1733"/>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1"/>
      <c r="BE57" s="723"/>
      <c r="BF57" s="723" t="str">
        <f>IF(T57="","",T57)</f>
        <v>Добавить строку</v>
      </c>
      <c r="BG57" s="723"/>
      <c r="BH57" s="723"/>
    </row>
    <row s="13606" customFormat="1" customHeight="1" ht="0">
      <c r="A58" s="1571" t="s">
        <v>277</v>
      </c>
      <c r="B58" s="1571" t="s">
        <v>278</v>
      </c>
      <c r="C58" s="1571" t="s">
        <v>279</v>
      </c>
      <c r="D58" s="1571" t="s">
        <v>528</v>
      </c>
      <c r="E58" s="2390"/>
      <c r="F58" s="2390"/>
      <c r="G58" s="2390"/>
      <c r="H58" s="2390"/>
      <c r="I58" s="2391"/>
      <c r="J58" s="1571"/>
      <c r="K58" s="1571"/>
      <c r="L58" s="1574"/>
      <c r="M58" s="733"/>
      <c r="N58" s="733"/>
      <c r="O58" s="733"/>
      <c r="P58" s="2393"/>
      <c r="Q58" s="1709"/>
      <c r="R58" s="579"/>
      <c r="S58" s="1614"/>
      <c r="T58" s="1615"/>
      <c r="U58" s="1616"/>
      <c r="V58" s="1616"/>
      <c r="W58" s="1616"/>
      <c r="X58" s="1616"/>
      <c r="Y58" s="1616"/>
      <c r="Z58" s="1616"/>
      <c r="AA58" s="1616"/>
      <c r="AB58" s="1616"/>
      <c r="AC58" s="1616"/>
      <c r="AD58" s="1616"/>
      <c r="AE58" s="1616"/>
      <c r="AF58" s="1616"/>
      <c r="AG58" s="1616"/>
      <c r="AH58" s="1616"/>
      <c r="AI58" s="1616"/>
      <c r="AJ58" s="1616"/>
      <c r="AK58" s="1616"/>
      <c r="AL58" s="1616"/>
      <c r="AM58" s="1616"/>
      <c r="AN58" s="1616"/>
      <c r="AO58" s="1616"/>
      <c r="AP58" s="1616"/>
      <c r="AQ58" s="1616"/>
      <c r="AR58" s="1616"/>
      <c r="AS58" s="1616"/>
      <c r="AT58" s="1616"/>
      <c r="AU58" s="1616"/>
      <c r="AV58" s="1616"/>
      <c r="AW58" s="1616"/>
      <c r="AX58" s="1616"/>
      <c r="AY58" s="1616"/>
      <c r="AZ58" s="1616"/>
      <c r="BA58" s="1616"/>
      <c r="BB58" s="1616"/>
      <c r="BC58" s="1617"/>
      <c r="BE58" s="723"/>
      <c r="BF58" s="723" t="str">
        <f>IF(T58="","",T58)</f>
        <v/>
      </c>
      <c r="BG58" s="723"/>
      <c r="BH58" s="723"/>
    </row>
    <row s="13606" customFormat="1" customHeight="1" ht="0">
      <c r="A59" s="1571" t="s">
        <v>277</v>
      </c>
      <c r="B59" s="1571" t="s">
        <v>278</v>
      </c>
      <c r="C59" s="1571" t="s">
        <v>279</v>
      </c>
      <c r="D59" s="1571" t="s">
        <v>528</v>
      </c>
      <c r="E59" s="2390"/>
      <c r="F59" s="2390"/>
      <c r="G59" s="2390"/>
      <c r="H59" s="2389"/>
      <c r="I59" s="1571"/>
      <c r="J59" s="1571"/>
      <c r="K59" s="1571"/>
      <c r="L59" s="1574"/>
      <c r="M59" s="1543"/>
      <c r="N59" s="1543"/>
      <c r="O59" s="741"/>
      <c r="P59" s="603"/>
      <c r="Q59" s="1572"/>
      <c r="R59" s="1629"/>
      <c r="S59" s="1614"/>
      <c r="T59" s="1615"/>
      <c r="U59" s="1616"/>
      <c r="V59" s="1616"/>
      <c r="W59" s="1616"/>
      <c r="X59" s="1616"/>
      <c r="Y59" s="1616"/>
      <c r="Z59" s="1616"/>
      <c r="AA59" s="1616"/>
      <c r="AB59" s="1616"/>
      <c r="AC59" s="1616"/>
      <c r="AD59" s="1616"/>
      <c r="AE59" s="1616"/>
      <c r="AF59" s="1616"/>
      <c r="AG59" s="1616"/>
      <c r="AH59" s="1616"/>
      <c r="AI59" s="1616"/>
      <c r="AJ59" s="1616"/>
      <c r="AK59" s="1616"/>
      <c r="AL59" s="1616"/>
      <c r="AM59" s="1616"/>
      <c r="AN59" s="1616"/>
      <c r="AO59" s="1616"/>
      <c r="AP59" s="1616"/>
      <c r="AQ59" s="1616"/>
      <c r="AR59" s="1616"/>
      <c r="AS59" s="1616"/>
      <c r="AT59" s="1616"/>
      <c r="AU59" s="1616"/>
      <c r="AV59" s="1616"/>
      <c r="AW59" s="1616"/>
      <c r="AX59" s="1616"/>
      <c r="AY59" s="1616"/>
      <c r="AZ59" s="1616"/>
      <c r="BA59" s="1616"/>
      <c r="BB59" s="1616"/>
      <c r="BC59" s="1617"/>
      <c r="BE59" s="723"/>
      <c r="BF59" s="723" t="str">
        <f>IF(T59="","",T59)</f>
        <v/>
      </c>
      <c r="BG59" s="723"/>
      <c r="BH59" s="723"/>
    </row>
    <row s="13514" customFormat="1" customHeight="1" ht="0">
      <c r="A60" s="1571" t="s">
        <v>277</v>
      </c>
      <c r="B60" s="1571" t="s">
        <v>278</v>
      </c>
      <c r="C60" s="1571" t="s">
        <v>279</v>
      </c>
      <c r="D60" s="1542"/>
      <c r="E60" s="2390"/>
      <c r="F60" s="2390"/>
      <c r="G60" s="2389"/>
      <c r="H60" s="1542"/>
      <c r="I60" s="1542"/>
      <c r="J60" s="1542"/>
      <c r="K60" s="1542"/>
      <c r="L60" s="1722"/>
      <c r="M60" s="1543"/>
      <c r="N60" s="1543"/>
      <c r="P60" s="1544"/>
      <c r="Q60" s="1545"/>
      <c r="R60" s="1544"/>
      <c r="S60" s="1550"/>
      <c r="T60" s="1553"/>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V60" s="1552"/>
      <c r="AW60" s="1552"/>
      <c r="AX60" s="1552"/>
      <c r="AY60" s="1552"/>
      <c r="AZ60" s="1552"/>
      <c r="BA60" s="1552"/>
      <c r="BB60" s="1552"/>
      <c r="BC60" s="1552"/>
      <c r="BE60" s="1012"/>
      <c r="BF60" s="1012" t="str">
        <f>IF(T60="","",T60)</f>
        <v/>
      </c>
      <c r="BG60" s="1012"/>
      <c r="BH60" s="1012"/>
    </row>
    <row s="13514" customFormat="1" customHeight="1" ht="0">
      <c r="A61" s="1571" t="s">
        <v>277</v>
      </c>
      <c r="B61" s="1571" t="s">
        <v>278</v>
      </c>
      <c r="C61" s="1542"/>
      <c r="D61" s="1542"/>
      <c r="E61" s="2390"/>
      <c r="F61" s="2389"/>
      <c r="G61" s="1542"/>
      <c r="H61" s="1542"/>
      <c r="I61" s="1542"/>
      <c r="J61" s="1542"/>
      <c r="K61" s="1542"/>
      <c r="L61" s="1722"/>
      <c r="M61" s="1549"/>
      <c r="N61" s="1549"/>
      <c r="P61" s="1544"/>
      <c r="Q61" s="1545"/>
      <c r="R61" s="1544"/>
      <c r="S61" s="1550"/>
      <c r="T61" s="1553" t="s">
        <v>252</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V61" s="1552"/>
      <c r="AW61" s="1552"/>
      <c r="AX61" s="1552"/>
      <c r="AY61" s="1552"/>
      <c r="AZ61" s="1552"/>
      <c r="BA61" s="1552"/>
      <c r="BB61" s="1552"/>
      <c r="BC61" s="1552"/>
      <c r="BE61" s="1012"/>
      <c r="BF61" s="1012" t="str">
        <f>IF(T61="","",T61)</f>
        <v>Добавить централизованную систему для дифференциации</v>
      </c>
      <c r="BG61" s="1012"/>
      <c r="BH61" s="1012"/>
    </row>
    <row s="13606" customFormat="1" customHeight="1" ht="0">
      <c r="A62" s="1571" t="s">
        <v>277</v>
      </c>
      <c r="B62" s="1571"/>
      <c r="C62" s="1571"/>
      <c r="D62" s="1571"/>
      <c r="E62" s="2389"/>
      <c r="F62" s="1571"/>
      <c r="G62" s="1571"/>
      <c r="H62" s="1571"/>
      <c r="I62" s="1571"/>
      <c r="J62" s="1571"/>
      <c r="K62" s="1571"/>
      <c r="L62" s="1574"/>
      <c r="M62" s="1549"/>
      <c r="N62" s="1549"/>
      <c r="O62" s="741"/>
      <c r="P62" s="603"/>
      <c r="Q62" s="1572"/>
      <c r="R62" s="603"/>
      <c r="S62" s="1550"/>
      <c r="T62" s="1553" t="s">
        <v>253</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V62" s="1552"/>
      <c r="AW62" s="1552"/>
      <c r="AX62" s="1552"/>
      <c r="AY62" s="1552"/>
      <c r="AZ62" s="1552"/>
      <c r="BA62" s="1552"/>
      <c r="BB62" s="1552"/>
      <c r="BC62" s="1552"/>
      <c r="BE62" s="723"/>
      <c r="BF62" s="723" t="str">
        <f>IF(T62="","",T62)</f>
        <v>Добавить территорию для дифференциации</v>
      </c>
      <c r="BG62" s="723"/>
      <c r="BH62" s="723"/>
    </row>
    <row s="13514" customFormat="1" customHeight="1" ht="0">
      <c r="A63" s="1542"/>
      <c r="B63" s="1542"/>
      <c r="C63" s="1542"/>
      <c r="D63" s="1542"/>
      <c r="E63" s="1571"/>
      <c r="F63" s="1542"/>
      <c r="G63" s="1542"/>
      <c r="H63" s="1542"/>
      <c r="I63" s="1542"/>
      <c r="J63" s="1542"/>
      <c r="K63" s="1542"/>
      <c r="L63" s="1722"/>
      <c r="M63" s="1549"/>
      <c r="N63" s="1549"/>
      <c r="P63" s="1544"/>
      <c r="Q63" s="1545"/>
      <c r="R63" s="1544"/>
      <c r="S63" s="1550"/>
      <c r="T63" s="1553" t="s">
        <v>254</v>
      </c>
      <c r="U63" s="1552"/>
      <c r="V63" s="1552"/>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R63" s="1552"/>
      <c r="AS63" s="1552"/>
      <c r="AT63" s="1552"/>
      <c r="AU63" s="1552"/>
      <c r="AV63" s="1552"/>
      <c r="AW63" s="1552"/>
      <c r="AX63" s="1552"/>
      <c r="AY63" s="1552"/>
      <c r="AZ63" s="1552"/>
      <c r="BA63" s="1552"/>
      <c r="BB63" s="1552"/>
      <c r="BC63" s="1552"/>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4.25">
      <c r="O65" s="760"/>
      <c r="S65" s="148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c r="AV65" s="2388"/>
      <c r="AW65" s="2388"/>
      <c r="AX65" s="2388"/>
      <c r="AY65" s="2388"/>
      <c r="AZ65" s="2388"/>
      <c r="BA65" s="2388"/>
      <c r="BB65" s="2388"/>
      <c r="BC65" s="2388"/>
    </row>
    <row customHeight="1" ht="14.25">
      <c r="O66" s="760"/>
      <c r="T66" s="1708"/>
      <c r="U66" s="1708"/>
      <c r="V66" s="1708"/>
      <c r="W66" s="1708"/>
      <c r="X66" s="1708"/>
      <c r="Y66" s="1708"/>
      <c r="Z66" s="1708"/>
      <c r="AA66" s="1708"/>
      <c r="AB66" s="1708"/>
      <c r="AC66" s="1708"/>
      <c r="AD66" s="1708"/>
      <c r="AE66" s="1708"/>
      <c r="AF66" s="1708"/>
      <c r="AG66" s="1708"/>
      <c r="AH66" s="1708"/>
      <c r="AI66" s="1708"/>
      <c r="AJ66" s="1708"/>
      <c r="AK66" s="1708"/>
      <c r="AL66" s="1708"/>
      <c r="AM66" s="1708"/>
      <c r="AN66" s="1708"/>
      <c r="AO66" s="1708"/>
      <c r="AP66" s="1708"/>
      <c r="AQ66" s="1708"/>
      <c r="AR66" s="1708"/>
      <c r="AS66" s="1708"/>
      <c r="AT66" s="1708"/>
      <c r="AU66" s="1708"/>
      <c r="AV66" s="1708"/>
      <c r="AW66" s="1708"/>
      <c r="AX66" s="1708"/>
      <c r="AY66" s="1708"/>
      <c r="AZ66" s="1708"/>
      <c r="BA66" s="1708"/>
      <c r="BB66" s="1708"/>
      <c r="BC66" s="1708"/>
    </row>
    <row customHeight="1" ht="14.25">
      <c r="O67" s="760"/>
      <c r="S67" s="148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c r="AV67" s="2388"/>
      <c r="AW67" s="2388"/>
      <c r="AX67" s="2388"/>
      <c r="AY67" s="2388"/>
      <c r="AZ67" s="2388"/>
      <c r="BA67" s="2388"/>
      <c r="BB67" s="2388"/>
      <c r="BC67" s="2388"/>
    </row>
    <row customHeight="1" ht="14.25">
      <c r="O68" s="7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E673B-3D42-813A-2774-140875E0A888}" mc:Ignorable="x14ac xr xr2 xr3">
  <sheetPr>
    <tabColor theme="6" tint="0.4"/>
  </sheetPr>
  <dimension ref="A1:OW62"/>
  <sheetViews>
    <sheetView topLeftCell="A1" showGridLines="0" zoomScale="90" workbookViewId="0">
      <selection activeCell="OL59" sqref="OL59"/>
    </sheetView>
  </sheetViews>
  <sheetFormatPr defaultColWidth="10.57421875" customHeight="1" defaultRowHeight="14.25"/>
  <cols>
    <col min="1" max="1" style="13533" width="10.57421875" hidden="1"/>
    <col min="2" max="2" style="13533" width="11.00390625" hidden="1" customWidth="1"/>
    <col min="3" max="3" style="13533" width="10.57421875" hidden="1"/>
    <col min="4" max="4" style="13533" width="11.8515625" hidden="1" customWidth="1"/>
    <col min="5" max="5" style="13533" width="10.00390625" hidden="1" customWidth="1"/>
    <col min="6" max="6" style="13533" width="8.7109375" hidden="1" customWidth="1"/>
    <col min="7" max="7" style="13533" width="7.57421875" hidden="1" customWidth="1"/>
    <col min="8" max="8" style="13533" width="11.421875" hidden="1" customWidth="1"/>
    <col min="9" max="9" style="13533" width="14.140625" hidden="1" customWidth="1"/>
    <col min="10" max="10" style="13533" width="9.8515625" hidden="1" customWidth="1"/>
    <col min="11" max="11" style="13533" width="14.7109375" hidden="1" customWidth="1"/>
    <col min="12" max="12" style="13884" width="19.140625" hidden="1" customWidth="1"/>
    <col min="13" max="14" style="13615" width="12.28125" hidden="1" customWidth="1"/>
    <col min="15" max="15" style="13615" width="23.421875" hidden="1" customWidth="1"/>
    <col min="16" max="16" style="13885" width="3.7109375" customWidth="1"/>
    <col min="17" max="18" style="13617" width="3.7109375" customWidth="1"/>
    <col min="19" max="19" style="13618" width="12.7109375" customWidth="1"/>
    <col min="20" max="20" style="13619" width="35.7109375" customWidth="1"/>
    <col min="21" max="21" style="13619" width="0.140625" customWidth="1"/>
    <col min="22" max="22" style="13619" width="19.7109375" hidden="1" customWidth="1"/>
    <col min="23" max="28" style="13661" width="19.7109375" hidden="1" customWidth="1"/>
    <col min="29" max="29" style="13619" width="11.7109375" hidden="1" customWidth="1"/>
    <col min="30" max="30" style="13619" width="3.7109375" hidden="1" customWidth="1"/>
    <col min="31" max="31" style="13619" width="11.7109375" hidden="1" customWidth="1"/>
    <col min="32" max="32" style="13619" width="8.57421875" hidden="1" customWidth="1"/>
    <col min="33" max="33" style="13619" width="19.7109375" customWidth="1"/>
    <col min="34" max="38" style="13661" width="19.7109375" customWidth="1"/>
    <col min="39" max="39" style="13619" width="19.7109375" customWidth="1"/>
    <col min="40" max="40" style="13619" width="11.7109375" customWidth="1"/>
    <col min="41" max="41" style="13619" width="3.7109375" customWidth="1"/>
    <col min="42" max="42" style="13619" width="11.7109375" customWidth="1"/>
    <col min="43" max="43" style="13619" width="8.57421875" customWidth="1"/>
    <col min="65" max="65" style="16635" width="10.57421875"/>
    <col min="307" max="307" style="74" width="10.57421875"/>
    <col min="406" max="406" width="10.57421875" hidden="1"/>
    <col min="407" max="407" style="13619" width="4.7109375" customWidth="1"/>
    <col min="408" max="408" style="13619" width="115.7109375" customWidth="1"/>
    <col min="409" max="410" style="13606" width="10.57421875"/>
    <col min="411" max="411" style="13606" width="11.140625" customWidth="1"/>
    <col min="412" max="413" style="13606" width="10.57421875"/>
  </cols>
  <sheetData>
    <row customHeight="1" ht="14.25" hidden="1">
      <c r="AC1" s="550"/>
      <c r="AN1" s="550"/>
      <c r="AR1" s="6423"/>
      <c r="AS1" s="6423"/>
      <c r="AT1" s="6423"/>
      <c r="AU1" s="6423"/>
      <c r="AV1" s="6423"/>
      <c r="AW1" s="6423"/>
      <c r="AX1" s="6423"/>
      <c r="AY1" s="6423"/>
      <c r="AZ1" s="6423"/>
      <c r="BA1" s="6423"/>
      <c r="BB1" s="6423"/>
      <c r="BC1" s="6423"/>
      <c r="BD1" s="6423"/>
      <c r="BE1" s="6423"/>
      <c r="BF1" s="6423"/>
      <c r="BG1" s="6423"/>
      <c r="BH1" s="6423"/>
      <c r="BI1" s="6423"/>
      <c r="BJ1" s="6423"/>
      <c r="BK1" s="6423"/>
      <c r="BL1" s="6423"/>
      <c r="BM1" s="6423"/>
      <c r="BN1" s="9287"/>
      <c r="BO1" s="9287"/>
      <c r="BP1" s="9287"/>
      <c r="BQ1" s="9287"/>
      <c r="BR1" s="9287"/>
      <c r="BS1" s="9287"/>
      <c r="BT1" s="9287"/>
      <c r="BU1" s="9287"/>
      <c r="BV1" s="9287"/>
      <c r="BW1" s="9287"/>
      <c r="BX1" s="9287"/>
      <c r="BY1" s="9287"/>
      <c r="BZ1" s="9287"/>
      <c r="CA1" s="9287"/>
      <c r="CB1" s="9287"/>
      <c r="CC1" s="9287"/>
      <c r="CD1" s="9287"/>
      <c r="CE1" s="9287"/>
      <c r="CF1" s="9287"/>
      <c r="CG1" s="9287"/>
      <c r="CH1" s="9287"/>
      <c r="CI1" s="9287"/>
      <c r="CJ1" s="9287"/>
      <c r="CK1" s="9287"/>
      <c r="CL1" s="9287"/>
      <c r="CM1" s="9287"/>
      <c r="CN1" s="9287"/>
      <c r="CO1" s="9287"/>
      <c r="CP1" s="9287"/>
      <c r="CQ1" s="9287"/>
      <c r="CR1" s="9287"/>
      <c r="CS1" s="9287"/>
      <c r="CT1" s="9287"/>
      <c r="CU1" s="9287"/>
      <c r="CV1" s="9287"/>
      <c r="CW1" s="9287"/>
      <c r="CX1" s="9287"/>
      <c r="CY1" s="9287"/>
      <c r="CZ1" s="9287"/>
      <c r="DA1" s="9287"/>
      <c r="DB1" s="9287"/>
      <c r="DC1" s="9287"/>
      <c r="DD1" s="9287"/>
      <c r="DE1" s="9287"/>
      <c r="DF1" s="9287"/>
      <c r="DG1" s="9287"/>
      <c r="DH1" s="9287"/>
      <c r="DI1" s="9287"/>
      <c r="DJ1" s="9287"/>
      <c r="DK1" s="9287"/>
      <c r="DL1" s="9287"/>
      <c r="DM1" s="9287"/>
      <c r="DN1" s="9287"/>
      <c r="DO1" s="9287"/>
      <c r="DP1" s="9287"/>
      <c r="DQ1" s="9287"/>
      <c r="DR1" s="9287"/>
      <c r="DS1" s="9287"/>
      <c r="DT1" s="9287"/>
      <c r="DU1" s="9287"/>
      <c r="DV1" s="9287"/>
      <c r="DW1" s="9287"/>
      <c r="DX1" s="9287"/>
      <c r="DY1" s="9287"/>
      <c r="DZ1" s="9287"/>
      <c r="EA1" s="9287"/>
      <c r="EB1" s="9287"/>
      <c r="EC1" s="9287"/>
      <c r="ED1" s="9287"/>
      <c r="EE1" s="9287"/>
      <c r="EF1" s="9287"/>
      <c r="EG1" s="9287"/>
      <c r="EH1" s="9287"/>
      <c r="EI1" s="9287"/>
      <c r="EJ1" s="9287"/>
      <c r="EK1" s="9287"/>
      <c r="EL1" s="9287"/>
      <c r="EM1" s="9287"/>
      <c r="EN1" s="9287"/>
      <c r="EO1" s="9287"/>
      <c r="EP1" s="9287"/>
      <c r="EQ1" s="9287"/>
      <c r="ER1" s="9287"/>
      <c r="ES1" s="9287"/>
      <c r="ET1" s="9287"/>
      <c r="EU1" s="9287"/>
      <c r="EV1" s="9287"/>
      <c r="EW1" s="9287"/>
      <c r="EX1" s="9287"/>
      <c r="EY1" s="9287"/>
      <c r="EZ1" s="9287"/>
      <c r="FA1" s="9287"/>
      <c r="FB1" s="9287"/>
      <c r="FC1" s="9287"/>
      <c r="FD1" s="9287"/>
      <c r="FE1" s="9287"/>
      <c r="FF1" s="9287"/>
      <c r="FG1" s="9287"/>
      <c r="FH1" s="9287"/>
      <c r="FI1" s="9287"/>
      <c r="FJ1" s="9287"/>
      <c r="FK1" s="9287"/>
      <c r="FL1" s="9287"/>
      <c r="FM1" s="9287"/>
      <c r="FN1" s="9287"/>
      <c r="FO1" s="9287"/>
      <c r="FP1" s="9287"/>
      <c r="FQ1" s="9287"/>
      <c r="FR1" s="9287"/>
      <c r="FS1" s="9287"/>
      <c r="FT1" s="9287"/>
      <c r="FU1" s="9287"/>
      <c r="FV1" s="9287"/>
      <c r="FW1" s="9287"/>
      <c r="FX1" s="9287"/>
      <c r="FY1" s="9287"/>
      <c r="FZ1" s="9287"/>
      <c r="GA1" s="9287"/>
      <c r="GB1" s="9287"/>
      <c r="GC1" s="9287"/>
      <c r="GD1" s="9287"/>
      <c r="GE1" s="9287"/>
      <c r="GF1" s="9287"/>
      <c r="GG1" s="9287"/>
      <c r="GH1" s="9287"/>
      <c r="GI1" s="9287"/>
      <c r="GJ1" s="9287"/>
      <c r="GK1" s="9287"/>
      <c r="GL1" s="9287"/>
      <c r="GM1" s="9287"/>
      <c r="GN1" s="9287"/>
      <c r="GO1" s="9287"/>
      <c r="GP1" s="9287"/>
      <c r="GQ1" s="9287"/>
      <c r="GR1" s="9287"/>
      <c r="GS1" s="9287"/>
      <c r="GT1" s="9287"/>
      <c r="GU1" s="9287"/>
      <c r="GV1" s="9287"/>
      <c r="GW1" s="9287"/>
      <c r="GX1" s="9287"/>
      <c r="GY1" s="9287"/>
      <c r="GZ1" s="9287"/>
      <c r="HA1" s="9287"/>
      <c r="HB1" s="9287"/>
      <c r="HC1" s="9287"/>
      <c r="HD1" s="9287"/>
      <c r="HE1" s="9287"/>
      <c r="HF1" s="9287"/>
      <c r="HG1" s="9287"/>
      <c r="HH1" s="9287"/>
      <c r="HI1" s="9287"/>
      <c r="HJ1" s="9287"/>
      <c r="HK1" s="9287"/>
      <c r="HL1" s="9287"/>
      <c r="HM1" s="9287"/>
      <c r="HN1" s="9287"/>
      <c r="HO1" s="9287"/>
      <c r="HP1" s="9287"/>
      <c r="HQ1" s="9287"/>
      <c r="HR1" s="9287"/>
      <c r="HS1" s="9287"/>
      <c r="HT1" s="9287"/>
      <c r="HU1" s="9287"/>
      <c r="HV1" s="9287"/>
      <c r="HW1" s="9287"/>
      <c r="HX1" s="9287"/>
      <c r="HY1" s="9287"/>
      <c r="HZ1" s="9287"/>
      <c r="IA1" s="9287"/>
      <c r="IB1" s="9287"/>
      <c r="IC1" s="9287"/>
      <c r="ID1" s="9287"/>
      <c r="IE1" s="9287"/>
      <c r="IF1" s="9287"/>
      <c r="IG1" s="9287"/>
      <c r="IH1" s="9287"/>
      <c r="II1" s="9287"/>
      <c r="IJ1" s="9287"/>
      <c r="IK1" s="9287"/>
      <c r="IL1" s="9287"/>
      <c r="IM1" s="9287"/>
      <c r="IN1" s="9287"/>
      <c r="IO1" s="9287"/>
      <c r="IP1" s="9287"/>
      <c r="IQ1" s="9287"/>
      <c r="IR1" s="9287"/>
      <c r="IS1" s="9287"/>
      <c r="IT1" s="9287"/>
      <c r="IU1" s="9287"/>
      <c r="IV1" s="9287"/>
      <c r="IW1" s="9287"/>
      <c r="IX1" s="9287"/>
      <c r="IY1" s="9287"/>
      <c r="IZ1" s="9287"/>
      <c r="JA1" s="9287"/>
      <c r="JB1" s="9287"/>
      <c r="JC1" s="9287"/>
      <c r="JD1" s="9287"/>
      <c r="JE1" s="9287"/>
      <c r="JF1" s="9287"/>
      <c r="JG1" s="9287"/>
      <c r="JH1" s="9287"/>
      <c r="JI1" s="9287"/>
      <c r="JJ1" s="9287"/>
      <c r="JK1" s="9287"/>
      <c r="JL1" s="9287"/>
      <c r="JM1" s="9287"/>
      <c r="JN1" s="9287"/>
      <c r="JO1" s="9287"/>
      <c r="JP1" s="9287"/>
      <c r="JQ1" s="9287"/>
      <c r="JR1" s="9287"/>
      <c r="JS1" s="9287"/>
      <c r="JT1" s="9287"/>
      <c r="JU1" s="9287"/>
      <c r="JV1" s="9287"/>
      <c r="JW1" s="9287"/>
      <c r="JX1" s="9287"/>
      <c r="JY1" s="9287"/>
      <c r="JZ1" s="9287"/>
      <c r="KA1" s="9287"/>
      <c r="KB1" s="9287"/>
      <c r="KC1" s="9287"/>
      <c r="KD1" s="9287"/>
      <c r="KE1" s="9287"/>
      <c r="KF1" s="9287"/>
      <c r="KG1" s="9287"/>
      <c r="KH1" s="9287"/>
      <c r="KI1" s="9287"/>
      <c r="KJ1" s="9287"/>
      <c r="KK1" s="9287"/>
      <c r="KL1" s="9287"/>
      <c r="KM1" s="9287"/>
      <c r="KN1" s="9287"/>
      <c r="KO1" s="9287"/>
      <c r="KP1" s="9287"/>
      <c r="KQ1" s="9287"/>
      <c r="KR1" s="9287"/>
      <c r="KS1" s="9287"/>
      <c r="KT1" s="9287"/>
      <c r="KU1" s="9287"/>
      <c r="KV1" s="13894"/>
      <c r="KW1" s="13894"/>
      <c r="KX1" s="13894"/>
      <c r="KY1" s="13894"/>
      <c r="KZ1" s="13894"/>
      <c r="LA1" s="13894"/>
      <c r="LB1" s="13894"/>
      <c r="LC1" s="13894"/>
      <c r="LD1" s="13894"/>
      <c r="LE1" s="13894"/>
      <c r="LF1" s="13894"/>
      <c r="LG1" s="13894"/>
      <c r="LH1" s="13894"/>
      <c r="LI1" s="13894"/>
      <c r="LJ1" s="13894"/>
      <c r="LK1" s="13894"/>
      <c r="LL1" s="13894"/>
      <c r="LM1" s="13894"/>
      <c r="LN1" s="13894"/>
      <c r="LO1" s="13894"/>
      <c r="LP1" s="13894"/>
      <c r="LQ1" s="13894"/>
      <c r="LR1" s="13894"/>
      <c r="LS1" s="13894"/>
      <c r="LT1" s="13894"/>
      <c r="LU1" s="13894"/>
      <c r="LV1" s="13894"/>
      <c r="LW1" s="13894"/>
      <c r="LX1" s="13894"/>
      <c r="LY1" s="13894"/>
      <c r="LZ1" s="13894"/>
      <c r="MA1" s="13894"/>
      <c r="MB1" s="13894"/>
      <c r="MC1" s="13894"/>
      <c r="MD1" s="13894"/>
      <c r="ME1" s="13894"/>
      <c r="MF1" s="13894"/>
      <c r="MG1" s="13894"/>
      <c r="MH1" s="13894"/>
      <c r="MI1" s="13894"/>
      <c r="MJ1" s="13894"/>
      <c r="MK1" s="13894"/>
      <c r="ML1" s="13894"/>
      <c r="MM1" s="13894"/>
      <c r="MN1" s="13894"/>
      <c r="MO1" s="13894"/>
      <c r="MP1" s="13894"/>
      <c r="MQ1" s="13894"/>
      <c r="MR1" s="13894"/>
      <c r="MS1" s="13894"/>
      <c r="MT1" s="13894"/>
      <c r="MU1" s="13894"/>
      <c r="MV1" s="13894"/>
      <c r="MW1" s="13894"/>
      <c r="MX1" s="13894"/>
      <c r="MY1" s="13894"/>
      <c r="MZ1" s="13894"/>
      <c r="NA1" s="13894"/>
      <c r="NB1" s="13894"/>
      <c r="NC1" s="13894"/>
      <c r="ND1" s="13894"/>
      <c r="NE1" s="13894"/>
      <c r="NF1" s="13894"/>
      <c r="NG1" s="13894"/>
      <c r="NH1" s="13894"/>
      <c r="NI1" s="13894"/>
      <c r="NJ1" s="13894"/>
      <c r="NK1" s="13894"/>
      <c r="NL1" s="13894"/>
      <c r="NM1" s="13894"/>
      <c r="NN1" s="13894"/>
      <c r="NO1" s="13894"/>
      <c r="NP1" s="13894"/>
      <c r="NQ1" s="13894"/>
      <c r="NR1" s="13894"/>
      <c r="NS1" s="13894"/>
      <c r="NT1" s="13894"/>
      <c r="NU1" s="13894"/>
      <c r="NV1" s="13894"/>
      <c r="NW1" s="13894"/>
      <c r="NX1" s="13894"/>
      <c r="NY1" s="13894"/>
      <c r="NZ1" s="13894"/>
      <c r="OA1" s="13894"/>
      <c r="OB1" s="13894"/>
      <c r="OC1" s="13894"/>
      <c r="OD1" s="13894"/>
      <c r="OE1" s="13894"/>
      <c r="OF1" s="13894"/>
      <c r="OG1" s="13894"/>
      <c r="OH1" s="13894"/>
      <c r="OI1" s="13894"/>
      <c r="OJ1" s="13894"/>
      <c r="OK1" s="13894"/>
      <c r="OL1" s="13894"/>
      <c r="OM1" s="13894"/>
      <c r="ON1" s="13894"/>
      <c r="OO1" s="13894"/>
      <c r="OP1" s="13894"/>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122</v>
      </c>
      <c r="U2" s="523"/>
      <c r="V2" s="2383"/>
      <c r="W2" s="2384"/>
      <c r="X2" s="2384"/>
      <c r="Y2" s="2384"/>
      <c r="Z2" s="2384"/>
      <c r="AA2" s="2384"/>
      <c r="AB2" s="2384"/>
      <c r="AC2" s="2384"/>
      <c r="AD2" s="2384"/>
      <c r="AE2" s="2384"/>
      <c r="AF2" s="2385"/>
      <c r="AG2" s="2383">
        <f>INDEX(PT_DIFFERENTIATION_NTAR,MATCH(A2,PT_DIFFERENTIATION_NTAR_ID,0))</f>
      </c>
      <c r="AH2" s="2384"/>
      <c r="AI2" s="2384"/>
      <c r="AJ2" s="2384"/>
      <c r="AK2" s="2384"/>
      <c r="AL2" s="2384"/>
      <c r="AM2" s="2384"/>
      <c r="AN2" s="2384"/>
      <c r="AO2" s="2384"/>
      <c r="AP2" s="2384"/>
      <c r="AQ2" s="2384"/>
      <c r="AR2" s="6424"/>
      <c r="AS2" s="6425"/>
      <c r="AT2" s="6425"/>
      <c r="AU2" s="6425"/>
      <c r="AV2" s="6425"/>
      <c r="AW2" s="6425"/>
      <c r="AX2" s="6425"/>
      <c r="AY2" s="6425"/>
      <c r="AZ2" s="6425"/>
      <c r="BA2" s="6425"/>
      <c r="BB2" s="6426"/>
      <c r="BC2" s="6424"/>
      <c r="BD2" s="6425"/>
      <c r="BE2" s="6425"/>
      <c r="BF2" s="6425"/>
      <c r="BG2" s="6425"/>
      <c r="BH2" s="6425"/>
      <c r="BI2" s="6425"/>
      <c r="BJ2" s="6425"/>
      <c r="BK2" s="6425"/>
      <c r="BL2" s="6425"/>
      <c r="BM2" s="6426"/>
      <c r="BN2" s="9291"/>
      <c r="BO2" s="9292"/>
      <c r="BP2" s="9292"/>
      <c r="BQ2" s="9292"/>
      <c r="BR2" s="9292"/>
      <c r="BS2" s="9292"/>
      <c r="BT2" s="9292"/>
      <c r="BU2" s="9292"/>
      <c r="BV2" s="9292"/>
      <c r="BW2" s="9292"/>
      <c r="BX2" s="9293"/>
      <c r="BY2" s="9291"/>
      <c r="BZ2" s="9292"/>
      <c r="CA2" s="9292"/>
      <c r="CB2" s="9292"/>
      <c r="CC2" s="9292"/>
      <c r="CD2" s="9292"/>
      <c r="CE2" s="9292"/>
      <c r="CF2" s="9292"/>
      <c r="CG2" s="9292"/>
      <c r="CH2" s="9292"/>
      <c r="CI2" s="9293"/>
      <c r="CJ2" s="9291"/>
      <c r="CK2" s="9292"/>
      <c r="CL2" s="9292"/>
      <c r="CM2" s="9292"/>
      <c r="CN2" s="9292"/>
      <c r="CO2" s="9292"/>
      <c r="CP2" s="9292"/>
      <c r="CQ2" s="9292"/>
      <c r="CR2" s="9292"/>
      <c r="CS2" s="9292"/>
      <c r="CT2" s="9293"/>
      <c r="CU2" s="9291"/>
      <c r="CV2" s="9292"/>
      <c r="CW2" s="9292"/>
      <c r="CX2" s="9292"/>
      <c r="CY2" s="9292"/>
      <c r="CZ2" s="9292"/>
      <c r="DA2" s="9292"/>
      <c r="DB2" s="9292"/>
      <c r="DC2" s="9292"/>
      <c r="DD2" s="9292"/>
      <c r="DE2" s="9293"/>
      <c r="DF2" s="9291"/>
      <c r="DG2" s="9292"/>
      <c r="DH2" s="9292"/>
      <c r="DI2" s="9292"/>
      <c r="DJ2" s="9292"/>
      <c r="DK2" s="9292"/>
      <c r="DL2" s="9292"/>
      <c r="DM2" s="9292"/>
      <c r="DN2" s="9292"/>
      <c r="DO2" s="9292"/>
      <c r="DP2" s="9293"/>
      <c r="DQ2" s="9291"/>
      <c r="DR2" s="9292"/>
      <c r="DS2" s="9292"/>
      <c r="DT2" s="9292"/>
      <c r="DU2" s="9292"/>
      <c r="DV2" s="9292"/>
      <c r="DW2" s="9292"/>
      <c r="DX2" s="9292"/>
      <c r="DY2" s="9292"/>
      <c r="DZ2" s="9292"/>
      <c r="EA2" s="9293"/>
      <c r="EB2" s="9291"/>
      <c r="EC2" s="9292"/>
      <c r="ED2" s="9292"/>
      <c r="EE2" s="9292"/>
      <c r="EF2" s="9292"/>
      <c r="EG2" s="9292"/>
      <c r="EH2" s="9292"/>
      <c r="EI2" s="9292"/>
      <c r="EJ2" s="9292"/>
      <c r="EK2" s="9292"/>
      <c r="EL2" s="9293"/>
      <c r="EM2" s="9291"/>
      <c r="EN2" s="9292"/>
      <c r="EO2" s="9292"/>
      <c r="EP2" s="9292"/>
      <c r="EQ2" s="9292"/>
      <c r="ER2" s="9292"/>
      <c r="ES2" s="9292"/>
      <c r="ET2" s="9292"/>
      <c r="EU2" s="9292"/>
      <c r="EV2" s="9292"/>
      <c r="EW2" s="9293"/>
      <c r="EX2" s="9291"/>
      <c r="EY2" s="9292"/>
      <c r="EZ2" s="9292"/>
      <c r="FA2" s="9292"/>
      <c r="FB2" s="9292"/>
      <c r="FC2" s="9292"/>
      <c r="FD2" s="9292"/>
      <c r="FE2" s="9292"/>
      <c r="FF2" s="9292"/>
      <c r="FG2" s="9292"/>
      <c r="FH2" s="9293"/>
      <c r="FI2" s="9291"/>
      <c r="FJ2" s="9292"/>
      <c r="FK2" s="9292"/>
      <c r="FL2" s="9292"/>
      <c r="FM2" s="9292"/>
      <c r="FN2" s="9292"/>
      <c r="FO2" s="9292"/>
      <c r="FP2" s="9292"/>
      <c r="FQ2" s="9292"/>
      <c r="FR2" s="9292"/>
      <c r="FS2" s="9293"/>
      <c r="FT2" s="9291"/>
      <c r="FU2" s="9292"/>
      <c r="FV2" s="9292"/>
      <c r="FW2" s="9292"/>
      <c r="FX2" s="9292"/>
      <c r="FY2" s="9292"/>
      <c r="FZ2" s="9292"/>
      <c r="GA2" s="9292"/>
      <c r="GB2" s="9292"/>
      <c r="GC2" s="9292"/>
      <c r="GD2" s="9293"/>
      <c r="GE2" s="9291"/>
      <c r="GF2" s="9292"/>
      <c r="GG2" s="9292"/>
      <c r="GH2" s="9292"/>
      <c r="GI2" s="9292"/>
      <c r="GJ2" s="9292"/>
      <c r="GK2" s="9292"/>
      <c r="GL2" s="9292"/>
      <c r="GM2" s="9292"/>
      <c r="GN2" s="9292"/>
      <c r="GO2" s="9293"/>
      <c r="GP2" s="9291"/>
      <c r="GQ2" s="9292"/>
      <c r="GR2" s="9292"/>
      <c r="GS2" s="9292"/>
      <c r="GT2" s="9292"/>
      <c r="GU2" s="9292"/>
      <c r="GV2" s="9292"/>
      <c r="GW2" s="9292"/>
      <c r="GX2" s="9292"/>
      <c r="GY2" s="9292"/>
      <c r="GZ2" s="9293"/>
      <c r="HA2" s="9291"/>
      <c r="HB2" s="9292"/>
      <c r="HC2" s="9292"/>
      <c r="HD2" s="9292"/>
      <c r="HE2" s="9292"/>
      <c r="HF2" s="9292"/>
      <c r="HG2" s="9292"/>
      <c r="HH2" s="9292"/>
      <c r="HI2" s="9292"/>
      <c r="HJ2" s="9292"/>
      <c r="HK2" s="9293"/>
      <c r="HL2" s="9291"/>
      <c r="HM2" s="9292"/>
      <c r="HN2" s="9292"/>
      <c r="HO2" s="9292"/>
      <c r="HP2" s="9292"/>
      <c r="HQ2" s="9292"/>
      <c r="HR2" s="9292"/>
      <c r="HS2" s="9292"/>
      <c r="HT2" s="9292"/>
      <c r="HU2" s="9292"/>
      <c r="HV2" s="9293"/>
      <c r="HW2" s="9291"/>
      <c r="HX2" s="9292"/>
      <c r="HY2" s="9292"/>
      <c r="HZ2" s="9292"/>
      <c r="IA2" s="9292"/>
      <c r="IB2" s="9292"/>
      <c r="IC2" s="9292"/>
      <c r="ID2" s="9292"/>
      <c r="IE2" s="9292"/>
      <c r="IF2" s="9292"/>
      <c r="IG2" s="9293"/>
      <c r="IH2" s="9291"/>
      <c r="II2" s="9292"/>
      <c r="IJ2" s="9292"/>
      <c r="IK2" s="9292"/>
      <c r="IL2" s="9292"/>
      <c r="IM2" s="9292"/>
      <c r="IN2" s="9292"/>
      <c r="IO2" s="9292"/>
      <c r="IP2" s="9292"/>
      <c r="IQ2" s="9292"/>
      <c r="IR2" s="9293"/>
      <c r="IS2" s="9291"/>
      <c r="IT2" s="9292"/>
      <c r="IU2" s="9292"/>
      <c r="IV2" s="9292"/>
      <c r="IW2" s="9292"/>
      <c r="IX2" s="9292"/>
      <c r="IY2" s="9292"/>
      <c r="IZ2" s="9292"/>
      <c r="JA2" s="9292"/>
      <c r="JB2" s="9292"/>
      <c r="JC2" s="9293"/>
      <c r="JD2" s="9291"/>
      <c r="JE2" s="9292"/>
      <c r="JF2" s="9292"/>
      <c r="JG2" s="9292"/>
      <c r="JH2" s="9292"/>
      <c r="JI2" s="9292"/>
      <c r="JJ2" s="9292"/>
      <c r="JK2" s="9292"/>
      <c r="JL2" s="9292"/>
      <c r="JM2" s="9292"/>
      <c r="JN2" s="9293"/>
      <c r="JO2" s="9291"/>
      <c r="JP2" s="9292"/>
      <c r="JQ2" s="9292"/>
      <c r="JR2" s="9292"/>
      <c r="JS2" s="9292"/>
      <c r="JT2" s="9292"/>
      <c r="JU2" s="9292"/>
      <c r="JV2" s="9292"/>
      <c r="JW2" s="9292"/>
      <c r="JX2" s="9292"/>
      <c r="JY2" s="9293"/>
      <c r="JZ2" s="9291"/>
      <c r="KA2" s="9292"/>
      <c r="KB2" s="9292"/>
      <c r="KC2" s="9292"/>
      <c r="KD2" s="9292"/>
      <c r="KE2" s="9292"/>
      <c r="KF2" s="9292"/>
      <c r="KG2" s="9292"/>
      <c r="KH2" s="9292"/>
      <c r="KI2" s="9292"/>
      <c r="KJ2" s="9293"/>
      <c r="KK2" s="9291"/>
      <c r="KL2" s="9292"/>
      <c r="KM2" s="9292"/>
      <c r="KN2" s="9292"/>
      <c r="KO2" s="9292"/>
      <c r="KP2" s="9292"/>
      <c r="KQ2" s="9292"/>
      <c r="KR2" s="9292"/>
      <c r="KS2" s="9292"/>
      <c r="KT2" s="9292"/>
      <c r="KU2" s="9293"/>
      <c r="KV2" s="13901"/>
      <c r="KW2" s="13902"/>
      <c r="KX2" s="13902"/>
      <c r="KY2" s="13902"/>
      <c r="KZ2" s="13902"/>
      <c r="LA2" s="13902"/>
      <c r="LB2" s="13902"/>
      <c r="LC2" s="13902"/>
      <c r="LD2" s="13902"/>
      <c r="LE2" s="13902"/>
      <c r="LF2" s="13903"/>
      <c r="LG2" s="13901"/>
      <c r="LH2" s="13902"/>
      <c r="LI2" s="13902"/>
      <c r="LJ2" s="13902"/>
      <c r="LK2" s="13902"/>
      <c r="LL2" s="13902"/>
      <c r="LM2" s="13902"/>
      <c r="LN2" s="13902"/>
      <c r="LO2" s="13902"/>
      <c r="LP2" s="13902"/>
      <c r="LQ2" s="13903"/>
      <c r="LR2" s="13901"/>
      <c r="LS2" s="13902"/>
      <c r="LT2" s="13902"/>
      <c r="LU2" s="13902"/>
      <c r="LV2" s="13902"/>
      <c r="LW2" s="13902"/>
      <c r="LX2" s="13902"/>
      <c r="LY2" s="13902"/>
      <c r="LZ2" s="13902"/>
      <c r="MA2" s="13902"/>
      <c r="MB2" s="13903"/>
      <c r="MC2" s="13901"/>
      <c r="MD2" s="13902"/>
      <c r="ME2" s="13902"/>
      <c r="MF2" s="13902"/>
      <c r="MG2" s="13902"/>
      <c r="MH2" s="13902"/>
      <c r="MI2" s="13902"/>
      <c r="MJ2" s="13902"/>
      <c r="MK2" s="13902"/>
      <c r="ML2" s="13902"/>
      <c r="MM2" s="13903"/>
      <c r="MN2" s="13901"/>
      <c r="MO2" s="13902"/>
      <c r="MP2" s="13902"/>
      <c r="MQ2" s="13902"/>
      <c r="MR2" s="13902"/>
      <c r="MS2" s="13902"/>
      <c r="MT2" s="13902"/>
      <c r="MU2" s="13902"/>
      <c r="MV2" s="13902"/>
      <c r="MW2" s="13902"/>
      <c r="MX2" s="13903"/>
      <c r="MY2" s="13901"/>
      <c r="MZ2" s="13902"/>
      <c r="NA2" s="13902"/>
      <c r="NB2" s="13902"/>
      <c r="NC2" s="13902"/>
      <c r="ND2" s="13902"/>
      <c r="NE2" s="13902"/>
      <c r="NF2" s="13902"/>
      <c r="NG2" s="13902"/>
      <c r="NH2" s="13902"/>
      <c r="NI2" s="13903"/>
      <c r="NJ2" s="13901"/>
      <c r="NK2" s="13902"/>
      <c r="NL2" s="13902"/>
      <c r="NM2" s="13902"/>
      <c r="NN2" s="13902"/>
      <c r="NO2" s="13902"/>
      <c r="NP2" s="13902"/>
      <c r="NQ2" s="13902"/>
      <c r="NR2" s="13902"/>
      <c r="NS2" s="13902"/>
      <c r="NT2" s="13903"/>
      <c r="NU2" s="13901"/>
      <c r="NV2" s="13902"/>
      <c r="NW2" s="13902"/>
      <c r="NX2" s="13902"/>
      <c r="NY2" s="13902"/>
      <c r="NZ2" s="13902"/>
      <c r="OA2" s="13902"/>
      <c r="OB2" s="13902"/>
      <c r="OC2" s="13902"/>
      <c r="OD2" s="13902"/>
      <c r="OE2" s="13903"/>
      <c r="OF2" s="13901"/>
      <c r="OG2" s="13902"/>
      <c r="OH2" s="13902"/>
      <c r="OI2" s="13902"/>
      <c r="OJ2" s="13902"/>
      <c r="OK2" s="13902"/>
      <c r="OL2" s="13902"/>
      <c r="OM2" s="13902"/>
      <c r="ON2" s="13902"/>
      <c r="OO2" s="13902"/>
      <c r="OP2" s="13903"/>
      <c r="OQ2" s="2385"/>
      <c r="OR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OT2" s="723"/>
      <c r="OU2" s="723" t="str">
        <f>IF(T2="","",T2)</f>
        <v>Наименование тарифа</v>
      </c>
      <c r="OV2" s="723"/>
      <c r="OW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398</v>
      </c>
      <c r="U3" s="523"/>
      <c r="V3" s="2383"/>
      <c r="W3" s="2384"/>
      <c r="X3" s="2384"/>
      <c r="Y3" s="2384"/>
      <c r="Z3" s="2384"/>
      <c r="AA3" s="2384"/>
      <c r="AB3" s="2384"/>
      <c r="AC3" s="2384"/>
      <c r="AD3" s="2384"/>
      <c r="AE3" s="2384"/>
      <c r="AF3" s="2385"/>
      <c r="AG3" s="2383">
        <f>INDEX(PT_DIFFERENTIATION_TER,MATCH(B3,PT_DIFFERENTIATION_TER_ID,0))</f>
      </c>
      <c r="AH3" s="2384"/>
      <c r="AI3" s="2384"/>
      <c r="AJ3" s="2384"/>
      <c r="AK3" s="2384"/>
      <c r="AL3" s="2384"/>
      <c r="AM3" s="2384"/>
      <c r="AN3" s="2384"/>
      <c r="AO3" s="2384"/>
      <c r="AP3" s="2384"/>
      <c r="AQ3" s="2384"/>
      <c r="AR3" s="6424"/>
      <c r="AS3" s="6425"/>
      <c r="AT3" s="6425"/>
      <c r="AU3" s="6425"/>
      <c r="AV3" s="6425"/>
      <c r="AW3" s="6425"/>
      <c r="AX3" s="6425"/>
      <c r="AY3" s="6425"/>
      <c r="AZ3" s="6425"/>
      <c r="BA3" s="6425"/>
      <c r="BB3" s="6426"/>
      <c r="BC3" s="6424"/>
      <c r="BD3" s="6425"/>
      <c r="BE3" s="6425"/>
      <c r="BF3" s="6425"/>
      <c r="BG3" s="6425"/>
      <c r="BH3" s="6425"/>
      <c r="BI3" s="6425"/>
      <c r="BJ3" s="6425"/>
      <c r="BK3" s="6425"/>
      <c r="BL3" s="6425"/>
      <c r="BM3" s="6426"/>
      <c r="BN3" s="9291"/>
      <c r="BO3" s="9292"/>
      <c r="BP3" s="9292"/>
      <c r="BQ3" s="9292"/>
      <c r="BR3" s="9292"/>
      <c r="BS3" s="9292"/>
      <c r="BT3" s="9292"/>
      <c r="BU3" s="9292"/>
      <c r="BV3" s="9292"/>
      <c r="BW3" s="9292"/>
      <c r="BX3" s="9293"/>
      <c r="BY3" s="9291"/>
      <c r="BZ3" s="9292"/>
      <c r="CA3" s="9292"/>
      <c r="CB3" s="9292"/>
      <c r="CC3" s="9292"/>
      <c r="CD3" s="9292"/>
      <c r="CE3" s="9292"/>
      <c r="CF3" s="9292"/>
      <c r="CG3" s="9292"/>
      <c r="CH3" s="9292"/>
      <c r="CI3" s="9293"/>
      <c r="CJ3" s="9291"/>
      <c r="CK3" s="9292"/>
      <c r="CL3" s="9292"/>
      <c r="CM3" s="9292"/>
      <c r="CN3" s="9292"/>
      <c r="CO3" s="9292"/>
      <c r="CP3" s="9292"/>
      <c r="CQ3" s="9292"/>
      <c r="CR3" s="9292"/>
      <c r="CS3" s="9292"/>
      <c r="CT3" s="9293"/>
      <c r="CU3" s="9291"/>
      <c r="CV3" s="9292"/>
      <c r="CW3" s="9292"/>
      <c r="CX3" s="9292"/>
      <c r="CY3" s="9292"/>
      <c r="CZ3" s="9292"/>
      <c r="DA3" s="9292"/>
      <c r="DB3" s="9292"/>
      <c r="DC3" s="9292"/>
      <c r="DD3" s="9292"/>
      <c r="DE3" s="9293"/>
      <c r="DF3" s="9291"/>
      <c r="DG3" s="9292"/>
      <c r="DH3" s="9292"/>
      <c r="DI3" s="9292"/>
      <c r="DJ3" s="9292"/>
      <c r="DK3" s="9292"/>
      <c r="DL3" s="9292"/>
      <c r="DM3" s="9292"/>
      <c r="DN3" s="9292"/>
      <c r="DO3" s="9292"/>
      <c r="DP3" s="9293"/>
      <c r="DQ3" s="9291"/>
      <c r="DR3" s="9292"/>
      <c r="DS3" s="9292"/>
      <c r="DT3" s="9292"/>
      <c r="DU3" s="9292"/>
      <c r="DV3" s="9292"/>
      <c r="DW3" s="9292"/>
      <c r="DX3" s="9292"/>
      <c r="DY3" s="9292"/>
      <c r="DZ3" s="9292"/>
      <c r="EA3" s="9293"/>
      <c r="EB3" s="9291"/>
      <c r="EC3" s="9292"/>
      <c r="ED3" s="9292"/>
      <c r="EE3" s="9292"/>
      <c r="EF3" s="9292"/>
      <c r="EG3" s="9292"/>
      <c r="EH3" s="9292"/>
      <c r="EI3" s="9292"/>
      <c r="EJ3" s="9292"/>
      <c r="EK3" s="9292"/>
      <c r="EL3" s="9293"/>
      <c r="EM3" s="9291"/>
      <c r="EN3" s="9292"/>
      <c r="EO3" s="9292"/>
      <c r="EP3" s="9292"/>
      <c r="EQ3" s="9292"/>
      <c r="ER3" s="9292"/>
      <c r="ES3" s="9292"/>
      <c r="ET3" s="9292"/>
      <c r="EU3" s="9292"/>
      <c r="EV3" s="9292"/>
      <c r="EW3" s="9293"/>
      <c r="EX3" s="9291"/>
      <c r="EY3" s="9292"/>
      <c r="EZ3" s="9292"/>
      <c r="FA3" s="9292"/>
      <c r="FB3" s="9292"/>
      <c r="FC3" s="9292"/>
      <c r="FD3" s="9292"/>
      <c r="FE3" s="9292"/>
      <c r="FF3" s="9292"/>
      <c r="FG3" s="9292"/>
      <c r="FH3" s="9293"/>
      <c r="FI3" s="9291"/>
      <c r="FJ3" s="9292"/>
      <c r="FK3" s="9292"/>
      <c r="FL3" s="9292"/>
      <c r="FM3" s="9292"/>
      <c r="FN3" s="9292"/>
      <c r="FO3" s="9292"/>
      <c r="FP3" s="9292"/>
      <c r="FQ3" s="9292"/>
      <c r="FR3" s="9292"/>
      <c r="FS3" s="9293"/>
      <c r="FT3" s="9291"/>
      <c r="FU3" s="9292"/>
      <c r="FV3" s="9292"/>
      <c r="FW3" s="9292"/>
      <c r="FX3" s="9292"/>
      <c r="FY3" s="9292"/>
      <c r="FZ3" s="9292"/>
      <c r="GA3" s="9292"/>
      <c r="GB3" s="9292"/>
      <c r="GC3" s="9292"/>
      <c r="GD3" s="9293"/>
      <c r="GE3" s="9291"/>
      <c r="GF3" s="9292"/>
      <c r="GG3" s="9292"/>
      <c r="GH3" s="9292"/>
      <c r="GI3" s="9292"/>
      <c r="GJ3" s="9292"/>
      <c r="GK3" s="9292"/>
      <c r="GL3" s="9292"/>
      <c r="GM3" s="9292"/>
      <c r="GN3" s="9292"/>
      <c r="GO3" s="9293"/>
      <c r="GP3" s="9291"/>
      <c r="GQ3" s="9292"/>
      <c r="GR3" s="9292"/>
      <c r="GS3" s="9292"/>
      <c r="GT3" s="9292"/>
      <c r="GU3" s="9292"/>
      <c r="GV3" s="9292"/>
      <c r="GW3" s="9292"/>
      <c r="GX3" s="9292"/>
      <c r="GY3" s="9292"/>
      <c r="GZ3" s="9293"/>
      <c r="HA3" s="9291"/>
      <c r="HB3" s="9292"/>
      <c r="HC3" s="9292"/>
      <c r="HD3" s="9292"/>
      <c r="HE3" s="9292"/>
      <c r="HF3" s="9292"/>
      <c r="HG3" s="9292"/>
      <c r="HH3" s="9292"/>
      <c r="HI3" s="9292"/>
      <c r="HJ3" s="9292"/>
      <c r="HK3" s="9293"/>
      <c r="HL3" s="9291"/>
      <c r="HM3" s="9292"/>
      <c r="HN3" s="9292"/>
      <c r="HO3" s="9292"/>
      <c r="HP3" s="9292"/>
      <c r="HQ3" s="9292"/>
      <c r="HR3" s="9292"/>
      <c r="HS3" s="9292"/>
      <c r="HT3" s="9292"/>
      <c r="HU3" s="9292"/>
      <c r="HV3" s="9293"/>
      <c r="HW3" s="9291"/>
      <c r="HX3" s="9292"/>
      <c r="HY3" s="9292"/>
      <c r="HZ3" s="9292"/>
      <c r="IA3" s="9292"/>
      <c r="IB3" s="9292"/>
      <c r="IC3" s="9292"/>
      <c r="ID3" s="9292"/>
      <c r="IE3" s="9292"/>
      <c r="IF3" s="9292"/>
      <c r="IG3" s="9293"/>
      <c r="IH3" s="9291"/>
      <c r="II3" s="9292"/>
      <c r="IJ3" s="9292"/>
      <c r="IK3" s="9292"/>
      <c r="IL3" s="9292"/>
      <c r="IM3" s="9292"/>
      <c r="IN3" s="9292"/>
      <c r="IO3" s="9292"/>
      <c r="IP3" s="9292"/>
      <c r="IQ3" s="9292"/>
      <c r="IR3" s="9293"/>
      <c r="IS3" s="9291"/>
      <c r="IT3" s="9292"/>
      <c r="IU3" s="9292"/>
      <c r="IV3" s="9292"/>
      <c r="IW3" s="9292"/>
      <c r="IX3" s="9292"/>
      <c r="IY3" s="9292"/>
      <c r="IZ3" s="9292"/>
      <c r="JA3" s="9292"/>
      <c r="JB3" s="9292"/>
      <c r="JC3" s="9293"/>
      <c r="JD3" s="9291"/>
      <c r="JE3" s="9292"/>
      <c r="JF3" s="9292"/>
      <c r="JG3" s="9292"/>
      <c r="JH3" s="9292"/>
      <c r="JI3" s="9292"/>
      <c r="JJ3" s="9292"/>
      <c r="JK3" s="9292"/>
      <c r="JL3" s="9292"/>
      <c r="JM3" s="9292"/>
      <c r="JN3" s="9293"/>
      <c r="JO3" s="9291"/>
      <c r="JP3" s="9292"/>
      <c r="JQ3" s="9292"/>
      <c r="JR3" s="9292"/>
      <c r="JS3" s="9292"/>
      <c r="JT3" s="9292"/>
      <c r="JU3" s="9292"/>
      <c r="JV3" s="9292"/>
      <c r="JW3" s="9292"/>
      <c r="JX3" s="9292"/>
      <c r="JY3" s="9293"/>
      <c r="JZ3" s="9291"/>
      <c r="KA3" s="9292"/>
      <c r="KB3" s="9292"/>
      <c r="KC3" s="9292"/>
      <c r="KD3" s="9292"/>
      <c r="KE3" s="9292"/>
      <c r="KF3" s="9292"/>
      <c r="KG3" s="9292"/>
      <c r="KH3" s="9292"/>
      <c r="KI3" s="9292"/>
      <c r="KJ3" s="9293"/>
      <c r="KK3" s="9291"/>
      <c r="KL3" s="9292"/>
      <c r="KM3" s="9292"/>
      <c r="KN3" s="9292"/>
      <c r="KO3" s="9292"/>
      <c r="KP3" s="9292"/>
      <c r="KQ3" s="9292"/>
      <c r="KR3" s="9292"/>
      <c r="KS3" s="9292"/>
      <c r="KT3" s="9292"/>
      <c r="KU3" s="9293"/>
      <c r="KV3" s="13901"/>
      <c r="KW3" s="13902"/>
      <c r="KX3" s="13902"/>
      <c r="KY3" s="13902"/>
      <c r="KZ3" s="13902"/>
      <c r="LA3" s="13902"/>
      <c r="LB3" s="13902"/>
      <c r="LC3" s="13902"/>
      <c r="LD3" s="13902"/>
      <c r="LE3" s="13902"/>
      <c r="LF3" s="13903"/>
      <c r="LG3" s="13901"/>
      <c r="LH3" s="13902"/>
      <c r="LI3" s="13902"/>
      <c r="LJ3" s="13902"/>
      <c r="LK3" s="13902"/>
      <c r="LL3" s="13902"/>
      <c r="LM3" s="13902"/>
      <c r="LN3" s="13902"/>
      <c r="LO3" s="13902"/>
      <c r="LP3" s="13902"/>
      <c r="LQ3" s="13903"/>
      <c r="LR3" s="13901"/>
      <c r="LS3" s="13902"/>
      <c r="LT3" s="13902"/>
      <c r="LU3" s="13902"/>
      <c r="LV3" s="13902"/>
      <c r="LW3" s="13902"/>
      <c r="LX3" s="13902"/>
      <c r="LY3" s="13902"/>
      <c r="LZ3" s="13902"/>
      <c r="MA3" s="13902"/>
      <c r="MB3" s="13903"/>
      <c r="MC3" s="13901"/>
      <c r="MD3" s="13902"/>
      <c r="ME3" s="13902"/>
      <c r="MF3" s="13902"/>
      <c r="MG3" s="13902"/>
      <c r="MH3" s="13902"/>
      <c r="MI3" s="13902"/>
      <c r="MJ3" s="13902"/>
      <c r="MK3" s="13902"/>
      <c r="ML3" s="13902"/>
      <c r="MM3" s="13903"/>
      <c r="MN3" s="13901"/>
      <c r="MO3" s="13902"/>
      <c r="MP3" s="13902"/>
      <c r="MQ3" s="13902"/>
      <c r="MR3" s="13902"/>
      <c r="MS3" s="13902"/>
      <c r="MT3" s="13902"/>
      <c r="MU3" s="13902"/>
      <c r="MV3" s="13902"/>
      <c r="MW3" s="13902"/>
      <c r="MX3" s="13903"/>
      <c r="MY3" s="13901"/>
      <c r="MZ3" s="13902"/>
      <c r="NA3" s="13902"/>
      <c r="NB3" s="13902"/>
      <c r="NC3" s="13902"/>
      <c r="ND3" s="13902"/>
      <c r="NE3" s="13902"/>
      <c r="NF3" s="13902"/>
      <c r="NG3" s="13902"/>
      <c r="NH3" s="13902"/>
      <c r="NI3" s="13903"/>
      <c r="NJ3" s="13901"/>
      <c r="NK3" s="13902"/>
      <c r="NL3" s="13902"/>
      <c r="NM3" s="13902"/>
      <c r="NN3" s="13902"/>
      <c r="NO3" s="13902"/>
      <c r="NP3" s="13902"/>
      <c r="NQ3" s="13902"/>
      <c r="NR3" s="13902"/>
      <c r="NS3" s="13902"/>
      <c r="NT3" s="13903"/>
      <c r="NU3" s="13901"/>
      <c r="NV3" s="13902"/>
      <c r="NW3" s="13902"/>
      <c r="NX3" s="13902"/>
      <c r="NY3" s="13902"/>
      <c r="NZ3" s="13902"/>
      <c r="OA3" s="13902"/>
      <c r="OB3" s="13902"/>
      <c r="OC3" s="13902"/>
      <c r="OD3" s="13902"/>
      <c r="OE3" s="13903"/>
      <c r="OF3" s="13901"/>
      <c r="OG3" s="13902"/>
      <c r="OH3" s="13902"/>
      <c r="OI3" s="13902"/>
      <c r="OJ3" s="13902"/>
      <c r="OK3" s="13902"/>
      <c r="OL3" s="13902"/>
      <c r="OM3" s="13902"/>
      <c r="ON3" s="13902"/>
      <c r="OO3" s="13902"/>
      <c r="OP3" s="13903"/>
      <c r="OQ3" s="2385"/>
      <c r="OR3" s="1485" t="s">
        <v>399</v>
      </c>
      <c r="OT3" s="723"/>
      <c r="OU3" s="723" t="str">
        <f>IF(T3="","",T3)</f>
        <v>Территория действия тарифа</v>
      </c>
      <c r="OV3" s="723"/>
      <c r="OW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529</v>
      </c>
      <c r="U4" s="523"/>
      <c r="V4" s="2383"/>
      <c r="W4" s="2384"/>
      <c r="X4" s="2384"/>
      <c r="Y4" s="2384"/>
      <c r="Z4" s="2384"/>
      <c r="AA4" s="2384"/>
      <c r="AB4" s="2384"/>
      <c r="AC4" s="2384"/>
      <c r="AD4" s="2384"/>
      <c r="AE4" s="2384"/>
      <c r="AF4" s="2385"/>
      <c r="AG4" s="2383">
        <f>INDEX(PT_DIFFERENTIATION_CS,MATCH(C4,PT_DIFFERENTIATION_CS_ID,0))</f>
      </c>
      <c r="AH4" s="2384"/>
      <c r="AI4" s="2384"/>
      <c r="AJ4" s="2384"/>
      <c r="AK4" s="2384"/>
      <c r="AL4" s="2384"/>
      <c r="AM4" s="2384"/>
      <c r="AN4" s="2384"/>
      <c r="AO4" s="2384"/>
      <c r="AP4" s="2384"/>
      <c r="AQ4" s="2384"/>
      <c r="AR4" s="6424"/>
      <c r="AS4" s="6425"/>
      <c r="AT4" s="6425"/>
      <c r="AU4" s="6425"/>
      <c r="AV4" s="6425"/>
      <c r="AW4" s="6425"/>
      <c r="AX4" s="6425"/>
      <c r="AY4" s="6425"/>
      <c r="AZ4" s="6425"/>
      <c r="BA4" s="6425"/>
      <c r="BB4" s="6426"/>
      <c r="BC4" s="6424"/>
      <c r="BD4" s="6425"/>
      <c r="BE4" s="6425"/>
      <c r="BF4" s="6425"/>
      <c r="BG4" s="6425"/>
      <c r="BH4" s="6425"/>
      <c r="BI4" s="6425"/>
      <c r="BJ4" s="6425"/>
      <c r="BK4" s="6425"/>
      <c r="BL4" s="6425"/>
      <c r="BM4" s="6426"/>
      <c r="BN4" s="9291"/>
      <c r="BO4" s="9292"/>
      <c r="BP4" s="9292"/>
      <c r="BQ4" s="9292"/>
      <c r="BR4" s="9292"/>
      <c r="BS4" s="9292"/>
      <c r="BT4" s="9292"/>
      <c r="BU4" s="9292"/>
      <c r="BV4" s="9292"/>
      <c r="BW4" s="9292"/>
      <c r="BX4" s="9293"/>
      <c r="BY4" s="9291"/>
      <c r="BZ4" s="9292"/>
      <c r="CA4" s="9292"/>
      <c r="CB4" s="9292"/>
      <c r="CC4" s="9292"/>
      <c r="CD4" s="9292"/>
      <c r="CE4" s="9292"/>
      <c r="CF4" s="9292"/>
      <c r="CG4" s="9292"/>
      <c r="CH4" s="9292"/>
      <c r="CI4" s="9293"/>
      <c r="CJ4" s="9291"/>
      <c r="CK4" s="9292"/>
      <c r="CL4" s="9292"/>
      <c r="CM4" s="9292"/>
      <c r="CN4" s="9292"/>
      <c r="CO4" s="9292"/>
      <c r="CP4" s="9292"/>
      <c r="CQ4" s="9292"/>
      <c r="CR4" s="9292"/>
      <c r="CS4" s="9292"/>
      <c r="CT4" s="9293"/>
      <c r="CU4" s="9291"/>
      <c r="CV4" s="9292"/>
      <c r="CW4" s="9292"/>
      <c r="CX4" s="9292"/>
      <c r="CY4" s="9292"/>
      <c r="CZ4" s="9292"/>
      <c r="DA4" s="9292"/>
      <c r="DB4" s="9292"/>
      <c r="DC4" s="9292"/>
      <c r="DD4" s="9292"/>
      <c r="DE4" s="9293"/>
      <c r="DF4" s="9291"/>
      <c r="DG4" s="9292"/>
      <c r="DH4" s="9292"/>
      <c r="DI4" s="9292"/>
      <c r="DJ4" s="9292"/>
      <c r="DK4" s="9292"/>
      <c r="DL4" s="9292"/>
      <c r="DM4" s="9292"/>
      <c r="DN4" s="9292"/>
      <c r="DO4" s="9292"/>
      <c r="DP4" s="9293"/>
      <c r="DQ4" s="9291"/>
      <c r="DR4" s="9292"/>
      <c r="DS4" s="9292"/>
      <c r="DT4" s="9292"/>
      <c r="DU4" s="9292"/>
      <c r="DV4" s="9292"/>
      <c r="DW4" s="9292"/>
      <c r="DX4" s="9292"/>
      <c r="DY4" s="9292"/>
      <c r="DZ4" s="9292"/>
      <c r="EA4" s="9293"/>
      <c r="EB4" s="9291"/>
      <c r="EC4" s="9292"/>
      <c r="ED4" s="9292"/>
      <c r="EE4" s="9292"/>
      <c r="EF4" s="9292"/>
      <c r="EG4" s="9292"/>
      <c r="EH4" s="9292"/>
      <c r="EI4" s="9292"/>
      <c r="EJ4" s="9292"/>
      <c r="EK4" s="9292"/>
      <c r="EL4" s="9293"/>
      <c r="EM4" s="9291"/>
      <c r="EN4" s="9292"/>
      <c r="EO4" s="9292"/>
      <c r="EP4" s="9292"/>
      <c r="EQ4" s="9292"/>
      <c r="ER4" s="9292"/>
      <c r="ES4" s="9292"/>
      <c r="ET4" s="9292"/>
      <c r="EU4" s="9292"/>
      <c r="EV4" s="9292"/>
      <c r="EW4" s="9293"/>
      <c r="EX4" s="9291"/>
      <c r="EY4" s="9292"/>
      <c r="EZ4" s="9292"/>
      <c r="FA4" s="9292"/>
      <c r="FB4" s="9292"/>
      <c r="FC4" s="9292"/>
      <c r="FD4" s="9292"/>
      <c r="FE4" s="9292"/>
      <c r="FF4" s="9292"/>
      <c r="FG4" s="9292"/>
      <c r="FH4" s="9293"/>
      <c r="FI4" s="9291"/>
      <c r="FJ4" s="9292"/>
      <c r="FK4" s="9292"/>
      <c r="FL4" s="9292"/>
      <c r="FM4" s="9292"/>
      <c r="FN4" s="9292"/>
      <c r="FO4" s="9292"/>
      <c r="FP4" s="9292"/>
      <c r="FQ4" s="9292"/>
      <c r="FR4" s="9292"/>
      <c r="FS4" s="9293"/>
      <c r="FT4" s="9291"/>
      <c r="FU4" s="9292"/>
      <c r="FV4" s="9292"/>
      <c r="FW4" s="9292"/>
      <c r="FX4" s="9292"/>
      <c r="FY4" s="9292"/>
      <c r="FZ4" s="9292"/>
      <c r="GA4" s="9292"/>
      <c r="GB4" s="9292"/>
      <c r="GC4" s="9292"/>
      <c r="GD4" s="9293"/>
      <c r="GE4" s="9291"/>
      <c r="GF4" s="9292"/>
      <c r="GG4" s="9292"/>
      <c r="GH4" s="9292"/>
      <c r="GI4" s="9292"/>
      <c r="GJ4" s="9292"/>
      <c r="GK4" s="9292"/>
      <c r="GL4" s="9292"/>
      <c r="GM4" s="9292"/>
      <c r="GN4" s="9292"/>
      <c r="GO4" s="9293"/>
      <c r="GP4" s="9291"/>
      <c r="GQ4" s="9292"/>
      <c r="GR4" s="9292"/>
      <c r="GS4" s="9292"/>
      <c r="GT4" s="9292"/>
      <c r="GU4" s="9292"/>
      <c r="GV4" s="9292"/>
      <c r="GW4" s="9292"/>
      <c r="GX4" s="9292"/>
      <c r="GY4" s="9292"/>
      <c r="GZ4" s="9293"/>
      <c r="HA4" s="9291"/>
      <c r="HB4" s="9292"/>
      <c r="HC4" s="9292"/>
      <c r="HD4" s="9292"/>
      <c r="HE4" s="9292"/>
      <c r="HF4" s="9292"/>
      <c r="HG4" s="9292"/>
      <c r="HH4" s="9292"/>
      <c r="HI4" s="9292"/>
      <c r="HJ4" s="9292"/>
      <c r="HK4" s="9293"/>
      <c r="HL4" s="9291"/>
      <c r="HM4" s="9292"/>
      <c r="HN4" s="9292"/>
      <c r="HO4" s="9292"/>
      <c r="HP4" s="9292"/>
      <c r="HQ4" s="9292"/>
      <c r="HR4" s="9292"/>
      <c r="HS4" s="9292"/>
      <c r="HT4" s="9292"/>
      <c r="HU4" s="9292"/>
      <c r="HV4" s="9293"/>
      <c r="HW4" s="9291"/>
      <c r="HX4" s="9292"/>
      <c r="HY4" s="9292"/>
      <c r="HZ4" s="9292"/>
      <c r="IA4" s="9292"/>
      <c r="IB4" s="9292"/>
      <c r="IC4" s="9292"/>
      <c r="ID4" s="9292"/>
      <c r="IE4" s="9292"/>
      <c r="IF4" s="9292"/>
      <c r="IG4" s="9293"/>
      <c r="IH4" s="9291"/>
      <c r="II4" s="9292"/>
      <c r="IJ4" s="9292"/>
      <c r="IK4" s="9292"/>
      <c r="IL4" s="9292"/>
      <c r="IM4" s="9292"/>
      <c r="IN4" s="9292"/>
      <c r="IO4" s="9292"/>
      <c r="IP4" s="9292"/>
      <c r="IQ4" s="9292"/>
      <c r="IR4" s="9293"/>
      <c r="IS4" s="9291"/>
      <c r="IT4" s="9292"/>
      <c r="IU4" s="9292"/>
      <c r="IV4" s="9292"/>
      <c r="IW4" s="9292"/>
      <c r="IX4" s="9292"/>
      <c r="IY4" s="9292"/>
      <c r="IZ4" s="9292"/>
      <c r="JA4" s="9292"/>
      <c r="JB4" s="9292"/>
      <c r="JC4" s="9293"/>
      <c r="JD4" s="9291"/>
      <c r="JE4" s="9292"/>
      <c r="JF4" s="9292"/>
      <c r="JG4" s="9292"/>
      <c r="JH4" s="9292"/>
      <c r="JI4" s="9292"/>
      <c r="JJ4" s="9292"/>
      <c r="JK4" s="9292"/>
      <c r="JL4" s="9292"/>
      <c r="JM4" s="9292"/>
      <c r="JN4" s="9293"/>
      <c r="JO4" s="9291"/>
      <c r="JP4" s="9292"/>
      <c r="JQ4" s="9292"/>
      <c r="JR4" s="9292"/>
      <c r="JS4" s="9292"/>
      <c r="JT4" s="9292"/>
      <c r="JU4" s="9292"/>
      <c r="JV4" s="9292"/>
      <c r="JW4" s="9292"/>
      <c r="JX4" s="9292"/>
      <c r="JY4" s="9293"/>
      <c r="JZ4" s="9291"/>
      <c r="KA4" s="9292"/>
      <c r="KB4" s="9292"/>
      <c r="KC4" s="9292"/>
      <c r="KD4" s="9292"/>
      <c r="KE4" s="9292"/>
      <c r="KF4" s="9292"/>
      <c r="KG4" s="9292"/>
      <c r="KH4" s="9292"/>
      <c r="KI4" s="9292"/>
      <c r="KJ4" s="9293"/>
      <c r="KK4" s="9291"/>
      <c r="KL4" s="9292"/>
      <c r="KM4" s="9292"/>
      <c r="KN4" s="9292"/>
      <c r="KO4" s="9292"/>
      <c r="KP4" s="9292"/>
      <c r="KQ4" s="9292"/>
      <c r="KR4" s="9292"/>
      <c r="KS4" s="9292"/>
      <c r="KT4" s="9292"/>
      <c r="KU4" s="9293"/>
      <c r="KV4" s="13901"/>
      <c r="KW4" s="13902"/>
      <c r="KX4" s="13902"/>
      <c r="KY4" s="13902"/>
      <c r="KZ4" s="13902"/>
      <c r="LA4" s="13902"/>
      <c r="LB4" s="13902"/>
      <c r="LC4" s="13902"/>
      <c r="LD4" s="13902"/>
      <c r="LE4" s="13902"/>
      <c r="LF4" s="13903"/>
      <c r="LG4" s="13901"/>
      <c r="LH4" s="13902"/>
      <c r="LI4" s="13902"/>
      <c r="LJ4" s="13902"/>
      <c r="LK4" s="13902"/>
      <c r="LL4" s="13902"/>
      <c r="LM4" s="13902"/>
      <c r="LN4" s="13902"/>
      <c r="LO4" s="13902"/>
      <c r="LP4" s="13902"/>
      <c r="LQ4" s="13903"/>
      <c r="LR4" s="13901"/>
      <c r="LS4" s="13902"/>
      <c r="LT4" s="13902"/>
      <c r="LU4" s="13902"/>
      <c r="LV4" s="13902"/>
      <c r="LW4" s="13902"/>
      <c r="LX4" s="13902"/>
      <c r="LY4" s="13902"/>
      <c r="LZ4" s="13902"/>
      <c r="MA4" s="13902"/>
      <c r="MB4" s="13903"/>
      <c r="MC4" s="13901"/>
      <c r="MD4" s="13902"/>
      <c r="ME4" s="13902"/>
      <c r="MF4" s="13902"/>
      <c r="MG4" s="13902"/>
      <c r="MH4" s="13902"/>
      <c r="MI4" s="13902"/>
      <c r="MJ4" s="13902"/>
      <c r="MK4" s="13902"/>
      <c r="ML4" s="13902"/>
      <c r="MM4" s="13903"/>
      <c r="MN4" s="13901"/>
      <c r="MO4" s="13902"/>
      <c r="MP4" s="13902"/>
      <c r="MQ4" s="13902"/>
      <c r="MR4" s="13902"/>
      <c r="MS4" s="13902"/>
      <c r="MT4" s="13902"/>
      <c r="MU4" s="13902"/>
      <c r="MV4" s="13902"/>
      <c r="MW4" s="13902"/>
      <c r="MX4" s="13903"/>
      <c r="MY4" s="13901"/>
      <c r="MZ4" s="13902"/>
      <c r="NA4" s="13902"/>
      <c r="NB4" s="13902"/>
      <c r="NC4" s="13902"/>
      <c r="ND4" s="13902"/>
      <c r="NE4" s="13902"/>
      <c r="NF4" s="13902"/>
      <c r="NG4" s="13902"/>
      <c r="NH4" s="13902"/>
      <c r="NI4" s="13903"/>
      <c r="NJ4" s="13901"/>
      <c r="NK4" s="13902"/>
      <c r="NL4" s="13902"/>
      <c r="NM4" s="13902"/>
      <c r="NN4" s="13902"/>
      <c r="NO4" s="13902"/>
      <c r="NP4" s="13902"/>
      <c r="NQ4" s="13902"/>
      <c r="NR4" s="13902"/>
      <c r="NS4" s="13902"/>
      <c r="NT4" s="13903"/>
      <c r="NU4" s="13901"/>
      <c r="NV4" s="13902"/>
      <c r="NW4" s="13902"/>
      <c r="NX4" s="13902"/>
      <c r="NY4" s="13902"/>
      <c r="NZ4" s="13902"/>
      <c r="OA4" s="13902"/>
      <c r="OB4" s="13902"/>
      <c r="OC4" s="13902"/>
      <c r="OD4" s="13902"/>
      <c r="OE4" s="13903"/>
      <c r="OF4" s="13901"/>
      <c r="OG4" s="13902"/>
      <c r="OH4" s="13902"/>
      <c r="OI4" s="13902"/>
      <c r="OJ4" s="13902"/>
      <c r="OK4" s="13902"/>
      <c r="OL4" s="13902"/>
      <c r="OM4" s="13902"/>
      <c r="ON4" s="13902"/>
      <c r="OO4" s="13902"/>
      <c r="OP4" s="13903"/>
      <c r="OQ4" s="2385"/>
      <c r="OR4" s="1485" t="s">
        <v>530</v>
      </c>
      <c r="OT4" s="723"/>
      <c r="OU4" s="723" t="str">
        <f>IF(T4="","",T4)</f>
        <v>Наименование централизованной системы горячего водоснабжения</v>
      </c>
      <c r="OV4" s="723"/>
      <c r="OW4" s="723"/>
    </row>
    <row customHeight="1" ht="23.25" hidden="1">
      <c r="A5" s="1591"/>
      <c r="B5" s="1591"/>
      <c r="C5" s="1591"/>
      <c r="D5" s="1591"/>
      <c r="E5" s="2390"/>
      <c r="F5" s="2390"/>
      <c r="G5" s="2390"/>
      <c r="H5" s="2390"/>
      <c r="I5" s="2391">
        <f>S4&amp;".1"</f>
      </c>
      <c r="J5" s="1591"/>
      <c r="K5" s="1591"/>
      <c r="L5" s="1592"/>
      <c r="P5" s="2393">
        <v>1</v>
      </c>
      <c r="Q5" s="1709"/>
      <c r="R5" s="579"/>
      <c r="S5" s="1721">
        <f>$I5</f>
      </c>
      <c r="T5" s="508" t="s">
        <v>482</v>
      </c>
      <c r="U5" s="523"/>
      <c r="V5" s="2476"/>
      <c r="W5" s="2477"/>
      <c r="X5" s="2477"/>
      <c r="Y5" s="2477"/>
      <c r="Z5" s="2477"/>
      <c r="AA5" s="2477"/>
      <c r="AB5" s="2477"/>
      <c r="AC5" s="2477"/>
      <c r="AD5" s="2477"/>
      <c r="AE5" s="2477"/>
      <c r="AF5" s="2478"/>
      <c r="AG5" s="2479"/>
      <c r="AH5" s="2480"/>
      <c r="AI5" s="2480"/>
      <c r="AJ5" s="2480"/>
      <c r="AK5" s="2480"/>
      <c r="AL5" s="2480"/>
      <c r="AM5" s="2480"/>
      <c r="AN5" s="2480"/>
      <c r="AO5" s="2480"/>
      <c r="AP5" s="2480"/>
      <c r="AQ5" s="2480"/>
      <c r="AR5" s="6427"/>
      <c r="AS5" s="6428"/>
      <c r="AT5" s="6428"/>
      <c r="AU5" s="6428"/>
      <c r="AV5" s="6428"/>
      <c r="AW5" s="6428"/>
      <c r="AX5" s="6428"/>
      <c r="AY5" s="6428"/>
      <c r="AZ5" s="6428"/>
      <c r="BA5" s="6428"/>
      <c r="BB5" s="6429"/>
      <c r="BC5" s="6427"/>
      <c r="BD5" s="6428"/>
      <c r="BE5" s="6428"/>
      <c r="BF5" s="6428"/>
      <c r="BG5" s="6428"/>
      <c r="BH5" s="6428"/>
      <c r="BI5" s="6428"/>
      <c r="BJ5" s="6428"/>
      <c r="BK5" s="6428"/>
      <c r="BL5" s="6428"/>
      <c r="BM5" s="6429"/>
      <c r="BN5" s="9297"/>
      <c r="BO5" s="9298"/>
      <c r="BP5" s="9298"/>
      <c r="BQ5" s="9298"/>
      <c r="BR5" s="9298"/>
      <c r="BS5" s="9298"/>
      <c r="BT5" s="9298"/>
      <c r="BU5" s="9298"/>
      <c r="BV5" s="9298"/>
      <c r="BW5" s="9298"/>
      <c r="BX5" s="9299"/>
      <c r="BY5" s="9297"/>
      <c r="BZ5" s="9298"/>
      <c r="CA5" s="9298"/>
      <c r="CB5" s="9298"/>
      <c r="CC5" s="9298"/>
      <c r="CD5" s="9298"/>
      <c r="CE5" s="9298"/>
      <c r="CF5" s="9298"/>
      <c r="CG5" s="9298"/>
      <c r="CH5" s="9298"/>
      <c r="CI5" s="9299"/>
      <c r="CJ5" s="9297"/>
      <c r="CK5" s="9298"/>
      <c r="CL5" s="9298"/>
      <c r="CM5" s="9298"/>
      <c r="CN5" s="9298"/>
      <c r="CO5" s="9298"/>
      <c r="CP5" s="9298"/>
      <c r="CQ5" s="9298"/>
      <c r="CR5" s="9298"/>
      <c r="CS5" s="9298"/>
      <c r="CT5" s="9299"/>
      <c r="CU5" s="9297"/>
      <c r="CV5" s="9298"/>
      <c r="CW5" s="9298"/>
      <c r="CX5" s="9298"/>
      <c r="CY5" s="9298"/>
      <c r="CZ5" s="9298"/>
      <c r="DA5" s="9298"/>
      <c r="DB5" s="9298"/>
      <c r="DC5" s="9298"/>
      <c r="DD5" s="9298"/>
      <c r="DE5" s="9299"/>
      <c r="DF5" s="9297"/>
      <c r="DG5" s="9298"/>
      <c r="DH5" s="9298"/>
      <c r="DI5" s="9298"/>
      <c r="DJ5" s="9298"/>
      <c r="DK5" s="9298"/>
      <c r="DL5" s="9298"/>
      <c r="DM5" s="9298"/>
      <c r="DN5" s="9298"/>
      <c r="DO5" s="9298"/>
      <c r="DP5" s="9299"/>
      <c r="DQ5" s="9297"/>
      <c r="DR5" s="9298"/>
      <c r="DS5" s="9298"/>
      <c r="DT5" s="9298"/>
      <c r="DU5" s="9298"/>
      <c r="DV5" s="9298"/>
      <c r="DW5" s="9298"/>
      <c r="DX5" s="9298"/>
      <c r="DY5" s="9298"/>
      <c r="DZ5" s="9298"/>
      <c r="EA5" s="9299"/>
      <c r="EB5" s="9297"/>
      <c r="EC5" s="9298"/>
      <c r="ED5" s="9298"/>
      <c r="EE5" s="9298"/>
      <c r="EF5" s="9298"/>
      <c r="EG5" s="9298"/>
      <c r="EH5" s="9298"/>
      <c r="EI5" s="9298"/>
      <c r="EJ5" s="9298"/>
      <c r="EK5" s="9298"/>
      <c r="EL5" s="9299"/>
      <c r="EM5" s="9297"/>
      <c r="EN5" s="9298"/>
      <c r="EO5" s="9298"/>
      <c r="EP5" s="9298"/>
      <c r="EQ5" s="9298"/>
      <c r="ER5" s="9298"/>
      <c r="ES5" s="9298"/>
      <c r="ET5" s="9298"/>
      <c r="EU5" s="9298"/>
      <c r="EV5" s="9298"/>
      <c r="EW5" s="9299"/>
      <c r="EX5" s="9297"/>
      <c r="EY5" s="9298"/>
      <c r="EZ5" s="9298"/>
      <c r="FA5" s="9298"/>
      <c r="FB5" s="9298"/>
      <c r="FC5" s="9298"/>
      <c r="FD5" s="9298"/>
      <c r="FE5" s="9298"/>
      <c r="FF5" s="9298"/>
      <c r="FG5" s="9298"/>
      <c r="FH5" s="9299"/>
      <c r="FI5" s="9297"/>
      <c r="FJ5" s="9298"/>
      <c r="FK5" s="9298"/>
      <c r="FL5" s="9298"/>
      <c r="FM5" s="9298"/>
      <c r="FN5" s="9298"/>
      <c r="FO5" s="9298"/>
      <c r="FP5" s="9298"/>
      <c r="FQ5" s="9298"/>
      <c r="FR5" s="9298"/>
      <c r="FS5" s="9299"/>
      <c r="FT5" s="9297"/>
      <c r="FU5" s="9298"/>
      <c r="FV5" s="9298"/>
      <c r="FW5" s="9298"/>
      <c r="FX5" s="9298"/>
      <c r="FY5" s="9298"/>
      <c r="FZ5" s="9298"/>
      <c r="GA5" s="9298"/>
      <c r="GB5" s="9298"/>
      <c r="GC5" s="9298"/>
      <c r="GD5" s="9299"/>
      <c r="GE5" s="9297"/>
      <c r="GF5" s="9298"/>
      <c r="GG5" s="9298"/>
      <c r="GH5" s="9298"/>
      <c r="GI5" s="9298"/>
      <c r="GJ5" s="9298"/>
      <c r="GK5" s="9298"/>
      <c r="GL5" s="9298"/>
      <c r="GM5" s="9298"/>
      <c r="GN5" s="9298"/>
      <c r="GO5" s="9299"/>
      <c r="GP5" s="9297"/>
      <c r="GQ5" s="9298"/>
      <c r="GR5" s="9298"/>
      <c r="GS5" s="9298"/>
      <c r="GT5" s="9298"/>
      <c r="GU5" s="9298"/>
      <c r="GV5" s="9298"/>
      <c r="GW5" s="9298"/>
      <c r="GX5" s="9298"/>
      <c r="GY5" s="9298"/>
      <c r="GZ5" s="9299"/>
      <c r="HA5" s="9297"/>
      <c r="HB5" s="9298"/>
      <c r="HC5" s="9298"/>
      <c r="HD5" s="9298"/>
      <c r="HE5" s="9298"/>
      <c r="HF5" s="9298"/>
      <c r="HG5" s="9298"/>
      <c r="HH5" s="9298"/>
      <c r="HI5" s="9298"/>
      <c r="HJ5" s="9298"/>
      <c r="HK5" s="9299"/>
      <c r="HL5" s="9297"/>
      <c r="HM5" s="9298"/>
      <c r="HN5" s="9298"/>
      <c r="HO5" s="9298"/>
      <c r="HP5" s="9298"/>
      <c r="HQ5" s="9298"/>
      <c r="HR5" s="9298"/>
      <c r="HS5" s="9298"/>
      <c r="HT5" s="9298"/>
      <c r="HU5" s="9298"/>
      <c r="HV5" s="9299"/>
      <c r="HW5" s="9297"/>
      <c r="HX5" s="9298"/>
      <c r="HY5" s="9298"/>
      <c r="HZ5" s="9298"/>
      <c r="IA5" s="9298"/>
      <c r="IB5" s="9298"/>
      <c r="IC5" s="9298"/>
      <c r="ID5" s="9298"/>
      <c r="IE5" s="9298"/>
      <c r="IF5" s="9298"/>
      <c r="IG5" s="9299"/>
      <c r="IH5" s="9297"/>
      <c r="II5" s="9298"/>
      <c r="IJ5" s="9298"/>
      <c r="IK5" s="9298"/>
      <c r="IL5" s="9298"/>
      <c r="IM5" s="9298"/>
      <c r="IN5" s="9298"/>
      <c r="IO5" s="9298"/>
      <c r="IP5" s="9298"/>
      <c r="IQ5" s="9298"/>
      <c r="IR5" s="9299"/>
      <c r="IS5" s="9297"/>
      <c r="IT5" s="9298"/>
      <c r="IU5" s="9298"/>
      <c r="IV5" s="9298"/>
      <c r="IW5" s="9298"/>
      <c r="IX5" s="9298"/>
      <c r="IY5" s="9298"/>
      <c r="IZ5" s="9298"/>
      <c r="JA5" s="9298"/>
      <c r="JB5" s="9298"/>
      <c r="JC5" s="9299"/>
      <c r="JD5" s="9297"/>
      <c r="JE5" s="9298"/>
      <c r="JF5" s="9298"/>
      <c r="JG5" s="9298"/>
      <c r="JH5" s="9298"/>
      <c r="JI5" s="9298"/>
      <c r="JJ5" s="9298"/>
      <c r="JK5" s="9298"/>
      <c r="JL5" s="9298"/>
      <c r="JM5" s="9298"/>
      <c r="JN5" s="9299"/>
      <c r="JO5" s="9297"/>
      <c r="JP5" s="9298"/>
      <c r="JQ5" s="9298"/>
      <c r="JR5" s="9298"/>
      <c r="JS5" s="9298"/>
      <c r="JT5" s="9298"/>
      <c r="JU5" s="9298"/>
      <c r="JV5" s="9298"/>
      <c r="JW5" s="9298"/>
      <c r="JX5" s="9298"/>
      <c r="JY5" s="9299"/>
      <c r="JZ5" s="9297"/>
      <c r="KA5" s="9298"/>
      <c r="KB5" s="9298"/>
      <c r="KC5" s="9298"/>
      <c r="KD5" s="9298"/>
      <c r="KE5" s="9298"/>
      <c r="KF5" s="9298"/>
      <c r="KG5" s="9298"/>
      <c r="KH5" s="9298"/>
      <c r="KI5" s="9298"/>
      <c r="KJ5" s="9299"/>
      <c r="KK5" s="9297"/>
      <c r="KL5" s="9298"/>
      <c r="KM5" s="9298"/>
      <c r="KN5" s="9298"/>
      <c r="KO5" s="9298"/>
      <c r="KP5" s="9298"/>
      <c r="KQ5" s="9298"/>
      <c r="KR5" s="9298"/>
      <c r="KS5" s="9298"/>
      <c r="KT5" s="9298"/>
      <c r="KU5" s="9299"/>
      <c r="KV5" s="13910"/>
      <c r="KW5" s="13911"/>
      <c r="KX5" s="13911"/>
      <c r="KY5" s="13911"/>
      <c r="KZ5" s="13911"/>
      <c r="LA5" s="13911"/>
      <c r="LB5" s="13911"/>
      <c r="LC5" s="13911"/>
      <c r="LD5" s="13911"/>
      <c r="LE5" s="13911"/>
      <c r="LF5" s="13912"/>
      <c r="LG5" s="13910"/>
      <c r="LH5" s="13911"/>
      <c r="LI5" s="13911"/>
      <c r="LJ5" s="13911"/>
      <c r="LK5" s="13911"/>
      <c r="LL5" s="13911"/>
      <c r="LM5" s="13911"/>
      <c r="LN5" s="13911"/>
      <c r="LO5" s="13911"/>
      <c r="LP5" s="13911"/>
      <c r="LQ5" s="13912"/>
      <c r="LR5" s="13910"/>
      <c r="LS5" s="13911"/>
      <c r="LT5" s="13911"/>
      <c r="LU5" s="13911"/>
      <c r="LV5" s="13911"/>
      <c r="LW5" s="13911"/>
      <c r="LX5" s="13911"/>
      <c r="LY5" s="13911"/>
      <c r="LZ5" s="13911"/>
      <c r="MA5" s="13911"/>
      <c r="MB5" s="13912"/>
      <c r="MC5" s="13910"/>
      <c r="MD5" s="13911"/>
      <c r="ME5" s="13911"/>
      <c r="MF5" s="13911"/>
      <c r="MG5" s="13911"/>
      <c r="MH5" s="13911"/>
      <c r="MI5" s="13911"/>
      <c r="MJ5" s="13911"/>
      <c r="MK5" s="13911"/>
      <c r="ML5" s="13911"/>
      <c r="MM5" s="13912"/>
      <c r="MN5" s="13910"/>
      <c r="MO5" s="13911"/>
      <c r="MP5" s="13911"/>
      <c r="MQ5" s="13911"/>
      <c r="MR5" s="13911"/>
      <c r="MS5" s="13911"/>
      <c r="MT5" s="13911"/>
      <c r="MU5" s="13911"/>
      <c r="MV5" s="13911"/>
      <c r="MW5" s="13911"/>
      <c r="MX5" s="13912"/>
      <c r="MY5" s="13910"/>
      <c r="MZ5" s="13911"/>
      <c r="NA5" s="13911"/>
      <c r="NB5" s="13911"/>
      <c r="NC5" s="13911"/>
      <c r="ND5" s="13911"/>
      <c r="NE5" s="13911"/>
      <c r="NF5" s="13911"/>
      <c r="NG5" s="13911"/>
      <c r="NH5" s="13911"/>
      <c r="NI5" s="13912"/>
      <c r="NJ5" s="13910"/>
      <c r="NK5" s="13911"/>
      <c r="NL5" s="13911"/>
      <c r="NM5" s="13911"/>
      <c r="NN5" s="13911"/>
      <c r="NO5" s="13911"/>
      <c r="NP5" s="13911"/>
      <c r="NQ5" s="13911"/>
      <c r="NR5" s="13911"/>
      <c r="NS5" s="13911"/>
      <c r="NT5" s="13912"/>
      <c r="NU5" s="13910"/>
      <c r="NV5" s="13911"/>
      <c r="NW5" s="13911"/>
      <c r="NX5" s="13911"/>
      <c r="NY5" s="13911"/>
      <c r="NZ5" s="13911"/>
      <c r="OA5" s="13911"/>
      <c r="OB5" s="13911"/>
      <c r="OC5" s="13911"/>
      <c r="OD5" s="13911"/>
      <c r="OE5" s="13912"/>
      <c r="OF5" s="13910"/>
      <c r="OG5" s="13911"/>
      <c r="OH5" s="13911"/>
      <c r="OI5" s="13911"/>
      <c r="OJ5" s="13911"/>
      <c r="OK5" s="13911"/>
      <c r="OL5" s="13911"/>
      <c r="OM5" s="13911"/>
      <c r="ON5" s="13911"/>
      <c r="OO5" s="13911"/>
      <c r="OP5" s="13912"/>
      <c r="OQ5" s="2481"/>
      <c r="OR5" s="1485" t="s">
        <v>483</v>
      </c>
      <c r="OT5" s="723"/>
      <c r="OU5" s="723" t="str">
        <f>IF(T5="","",T5)</f>
        <v>Наименование признака дифференциации</v>
      </c>
      <c r="OV5" s="723"/>
      <c r="OW5" s="723"/>
    </row>
    <row customHeight="1" ht="23.25" hidden="1">
      <c r="A6" s="1591"/>
      <c r="B6" s="1591"/>
      <c r="C6" s="1591"/>
      <c r="D6" s="1591"/>
      <c r="E6" s="2390"/>
      <c r="F6" s="2390"/>
      <c r="G6" s="2390"/>
      <c r="H6" s="2390"/>
      <c r="I6" s="2392"/>
      <c r="J6" s="2391">
        <f>I5&amp;".1"</f>
      </c>
      <c r="K6" s="1591"/>
      <c r="L6" s="1592" t="s">
        <v>407</v>
      </c>
      <c r="P6" s="2393"/>
      <c r="Q6" s="2393">
        <v>1</v>
      </c>
      <c r="R6" s="580"/>
      <c r="S6" s="1721">
        <f>$J6</f>
      </c>
      <c r="T6" s="509" t="s">
        <v>408</v>
      </c>
      <c r="U6" s="523"/>
      <c r="V6" s="2377"/>
      <c r="W6" s="2378"/>
      <c r="X6" s="2378"/>
      <c r="Y6" s="2378"/>
      <c r="Z6" s="2378"/>
      <c r="AA6" s="2378"/>
      <c r="AB6" s="2378"/>
      <c r="AC6" s="2378"/>
      <c r="AD6" s="2378"/>
      <c r="AE6" s="2378"/>
      <c r="AF6" s="2379"/>
      <c r="AG6" s="2377"/>
      <c r="AH6" s="2378"/>
      <c r="AI6" s="2378"/>
      <c r="AJ6" s="2378"/>
      <c r="AK6" s="2378"/>
      <c r="AL6" s="2378"/>
      <c r="AM6" s="2378"/>
      <c r="AN6" s="2378"/>
      <c r="AO6" s="2378"/>
      <c r="AP6" s="2378"/>
      <c r="AQ6" s="2378"/>
      <c r="AR6" s="6430"/>
      <c r="AS6" s="6431"/>
      <c r="AT6" s="6431"/>
      <c r="AU6" s="6431"/>
      <c r="AV6" s="6431"/>
      <c r="AW6" s="6431"/>
      <c r="AX6" s="6431"/>
      <c r="AY6" s="6431"/>
      <c r="AZ6" s="6431"/>
      <c r="BA6" s="6431"/>
      <c r="BB6" s="6432"/>
      <c r="BC6" s="6430"/>
      <c r="BD6" s="6431"/>
      <c r="BE6" s="6431"/>
      <c r="BF6" s="6431"/>
      <c r="BG6" s="6431"/>
      <c r="BH6" s="6431"/>
      <c r="BI6" s="6431"/>
      <c r="BJ6" s="6431"/>
      <c r="BK6" s="6431"/>
      <c r="BL6" s="6431"/>
      <c r="BM6" s="6432"/>
      <c r="BN6" s="9303"/>
      <c r="BO6" s="9304"/>
      <c r="BP6" s="9304"/>
      <c r="BQ6" s="9304"/>
      <c r="BR6" s="9304"/>
      <c r="BS6" s="9304"/>
      <c r="BT6" s="9304"/>
      <c r="BU6" s="9304"/>
      <c r="BV6" s="9304"/>
      <c r="BW6" s="9304"/>
      <c r="BX6" s="9305"/>
      <c r="BY6" s="9303"/>
      <c r="BZ6" s="9304"/>
      <c r="CA6" s="9304"/>
      <c r="CB6" s="9304"/>
      <c r="CC6" s="9304"/>
      <c r="CD6" s="9304"/>
      <c r="CE6" s="9304"/>
      <c r="CF6" s="9304"/>
      <c r="CG6" s="9304"/>
      <c r="CH6" s="9304"/>
      <c r="CI6" s="9305"/>
      <c r="CJ6" s="9303"/>
      <c r="CK6" s="9304"/>
      <c r="CL6" s="9304"/>
      <c r="CM6" s="9304"/>
      <c r="CN6" s="9304"/>
      <c r="CO6" s="9304"/>
      <c r="CP6" s="9304"/>
      <c r="CQ6" s="9304"/>
      <c r="CR6" s="9304"/>
      <c r="CS6" s="9304"/>
      <c r="CT6" s="9305"/>
      <c r="CU6" s="9303"/>
      <c r="CV6" s="9304"/>
      <c r="CW6" s="9304"/>
      <c r="CX6" s="9304"/>
      <c r="CY6" s="9304"/>
      <c r="CZ6" s="9304"/>
      <c r="DA6" s="9304"/>
      <c r="DB6" s="9304"/>
      <c r="DC6" s="9304"/>
      <c r="DD6" s="9304"/>
      <c r="DE6" s="9305"/>
      <c r="DF6" s="9303"/>
      <c r="DG6" s="9304"/>
      <c r="DH6" s="9304"/>
      <c r="DI6" s="9304"/>
      <c r="DJ6" s="9304"/>
      <c r="DK6" s="9304"/>
      <c r="DL6" s="9304"/>
      <c r="DM6" s="9304"/>
      <c r="DN6" s="9304"/>
      <c r="DO6" s="9304"/>
      <c r="DP6" s="9305"/>
      <c r="DQ6" s="9303"/>
      <c r="DR6" s="9304"/>
      <c r="DS6" s="9304"/>
      <c r="DT6" s="9304"/>
      <c r="DU6" s="9304"/>
      <c r="DV6" s="9304"/>
      <c r="DW6" s="9304"/>
      <c r="DX6" s="9304"/>
      <c r="DY6" s="9304"/>
      <c r="DZ6" s="9304"/>
      <c r="EA6" s="9305"/>
      <c r="EB6" s="9303"/>
      <c r="EC6" s="9304"/>
      <c r="ED6" s="9304"/>
      <c r="EE6" s="9304"/>
      <c r="EF6" s="9304"/>
      <c r="EG6" s="9304"/>
      <c r="EH6" s="9304"/>
      <c r="EI6" s="9304"/>
      <c r="EJ6" s="9304"/>
      <c r="EK6" s="9304"/>
      <c r="EL6" s="9305"/>
      <c r="EM6" s="9303"/>
      <c r="EN6" s="9304"/>
      <c r="EO6" s="9304"/>
      <c r="EP6" s="9304"/>
      <c r="EQ6" s="9304"/>
      <c r="ER6" s="9304"/>
      <c r="ES6" s="9304"/>
      <c r="ET6" s="9304"/>
      <c r="EU6" s="9304"/>
      <c r="EV6" s="9304"/>
      <c r="EW6" s="9305"/>
      <c r="EX6" s="9303"/>
      <c r="EY6" s="9304"/>
      <c r="EZ6" s="9304"/>
      <c r="FA6" s="9304"/>
      <c r="FB6" s="9304"/>
      <c r="FC6" s="9304"/>
      <c r="FD6" s="9304"/>
      <c r="FE6" s="9304"/>
      <c r="FF6" s="9304"/>
      <c r="FG6" s="9304"/>
      <c r="FH6" s="9305"/>
      <c r="FI6" s="9303"/>
      <c r="FJ6" s="9304"/>
      <c r="FK6" s="9304"/>
      <c r="FL6" s="9304"/>
      <c r="FM6" s="9304"/>
      <c r="FN6" s="9304"/>
      <c r="FO6" s="9304"/>
      <c r="FP6" s="9304"/>
      <c r="FQ6" s="9304"/>
      <c r="FR6" s="9304"/>
      <c r="FS6" s="9305"/>
      <c r="FT6" s="9303"/>
      <c r="FU6" s="9304"/>
      <c r="FV6" s="9304"/>
      <c r="FW6" s="9304"/>
      <c r="FX6" s="9304"/>
      <c r="FY6" s="9304"/>
      <c r="FZ6" s="9304"/>
      <c r="GA6" s="9304"/>
      <c r="GB6" s="9304"/>
      <c r="GC6" s="9304"/>
      <c r="GD6" s="9305"/>
      <c r="GE6" s="9303"/>
      <c r="GF6" s="9304"/>
      <c r="GG6" s="9304"/>
      <c r="GH6" s="9304"/>
      <c r="GI6" s="9304"/>
      <c r="GJ6" s="9304"/>
      <c r="GK6" s="9304"/>
      <c r="GL6" s="9304"/>
      <c r="GM6" s="9304"/>
      <c r="GN6" s="9304"/>
      <c r="GO6" s="9305"/>
      <c r="GP6" s="9303"/>
      <c r="GQ6" s="9304"/>
      <c r="GR6" s="9304"/>
      <c r="GS6" s="9304"/>
      <c r="GT6" s="9304"/>
      <c r="GU6" s="9304"/>
      <c r="GV6" s="9304"/>
      <c r="GW6" s="9304"/>
      <c r="GX6" s="9304"/>
      <c r="GY6" s="9304"/>
      <c r="GZ6" s="9305"/>
      <c r="HA6" s="9303"/>
      <c r="HB6" s="9304"/>
      <c r="HC6" s="9304"/>
      <c r="HD6" s="9304"/>
      <c r="HE6" s="9304"/>
      <c r="HF6" s="9304"/>
      <c r="HG6" s="9304"/>
      <c r="HH6" s="9304"/>
      <c r="HI6" s="9304"/>
      <c r="HJ6" s="9304"/>
      <c r="HK6" s="9305"/>
      <c r="HL6" s="9303"/>
      <c r="HM6" s="9304"/>
      <c r="HN6" s="9304"/>
      <c r="HO6" s="9304"/>
      <c r="HP6" s="9304"/>
      <c r="HQ6" s="9304"/>
      <c r="HR6" s="9304"/>
      <c r="HS6" s="9304"/>
      <c r="HT6" s="9304"/>
      <c r="HU6" s="9304"/>
      <c r="HV6" s="9305"/>
      <c r="HW6" s="9303"/>
      <c r="HX6" s="9304"/>
      <c r="HY6" s="9304"/>
      <c r="HZ6" s="9304"/>
      <c r="IA6" s="9304"/>
      <c r="IB6" s="9304"/>
      <c r="IC6" s="9304"/>
      <c r="ID6" s="9304"/>
      <c r="IE6" s="9304"/>
      <c r="IF6" s="9304"/>
      <c r="IG6" s="9305"/>
      <c r="IH6" s="9303"/>
      <c r="II6" s="9304"/>
      <c r="IJ6" s="9304"/>
      <c r="IK6" s="9304"/>
      <c r="IL6" s="9304"/>
      <c r="IM6" s="9304"/>
      <c r="IN6" s="9304"/>
      <c r="IO6" s="9304"/>
      <c r="IP6" s="9304"/>
      <c r="IQ6" s="9304"/>
      <c r="IR6" s="9305"/>
      <c r="IS6" s="9303"/>
      <c r="IT6" s="9304"/>
      <c r="IU6" s="9304"/>
      <c r="IV6" s="9304"/>
      <c r="IW6" s="9304"/>
      <c r="IX6" s="9304"/>
      <c r="IY6" s="9304"/>
      <c r="IZ6" s="9304"/>
      <c r="JA6" s="9304"/>
      <c r="JB6" s="9304"/>
      <c r="JC6" s="9305"/>
      <c r="JD6" s="9303"/>
      <c r="JE6" s="9304"/>
      <c r="JF6" s="9304"/>
      <c r="JG6" s="9304"/>
      <c r="JH6" s="9304"/>
      <c r="JI6" s="9304"/>
      <c r="JJ6" s="9304"/>
      <c r="JK6" s="9304"/>
      <c r="JL6" s="9304"/>
      <c r="JM6" s="9304"/>
      <c r="JN6" s="9305"/>
      <c r="JO6" s="9303"/>
      <c r="JP6" s="9304"/>
      <c r="JQ6" s="9304"/>
      <c r="JR6" s="9304"/>
      <c r="JS6" s="9304"/>
      <c r="JT6" s="9304"/>
      <c r="JU6" s="9304"/>
      <c r="JV6" s="9304"/>
      <c r="JW6" s="9304"/>
      <c r="JX6" s="9304"/>
      <c r="JY6" s="9305"/>
      <c r="JZ6" s="9303"/>
      <c r="KA6" s="9304"/>
      <c r="KB6" s="9304"/>
      <c r="KC6" s="9304"/>
      <c r="KD6" s="9304"/>
      <c r="KE6" s="9304"/>
      <c r="KF6" s="9304"/>
      <c r="KG6" s="9304"/>
      <c r="KH6" s="9304"/>
      <c r="KI6" s="9304"/>
      <c r="KJ6" s="9305"/>
      <c r="KK6" s="9303"/>
      <c r="KL6" s="9304"/>
      <c r="KM6" s="9304"/>
      <c r="KN6" s="9304"/>
      <c r="KO6" s="9304"/>
      <c r="KP6" s="9304"/>
      <c r="KQ6" s="9304"/>
      <c r="KR6" s="9304"/>
      <c r="KS6" s="9304"/>
      <c r="KT6" s="9304"/>
      <c r="KU6" s="9305"/>
      <c r="KV6" s="13919"/>
      <c r="KW6" s="13920"/>
      <c r="KX6" s="13920"/>
      <c r="KY6" s="13920"/>
      <c r="KZ6" s="13920"/>
      <c r="LA6" s="13920"/>
      <c r="LB6" s="13920"/>
      <c r="LC6" s="13920"/>
      <c r="LD6" s="13920"/>
      <c r="LE6" s="13920"/>
      <c r="LF6" s="13921"/>
      <c r="LG6" s="13919"/>
      <c r="LH6" s="13920"/>
      <c r="LI6" s="13920"/>
      <c r="LJ6" s="13920"/>
      <c r="LK6" s="13920"/>
      <c r="LL6" s="13920"/>
      <c r="LM6" s="13920"/>
      <c r="LN6" s="13920"/>
      <c r="LO6" s="13920"/>
      <c r="LP6" s="13920"/>
      <c r="LQ6" s="13921"/>
      <c r="LR6" s="13919"/>
      <c r="LS6" s="13920"/>
      <c r="LT6" s="13920"/>
      <c r="LU6" s="13920"/>
      <c r="LV6" s="13920"/>
      <c r="LW6" s="13920"/>
      <c r="LX6" s="13920"/>
      <c r="LY6" s="13920"/>
      <c r="LZ6" s="13920"/>
      <c r="MA6" s="13920"/>
      <c r="MB6" s="13921"/>
      <c r="MC6" s="13919"/>
      <c r="MD6" s="13920"/>
      <c r="ME6" s="13920"/>
      <c r="MF6" s="13920"/>
      <c r="MG6" s="13920"/>
      <c r="MH6" s="13920"/>
      <c r="MI6" s="13920"/>
      <c r="MJ6" s="13920"/>
      <c r="MK6" s="13920"/>
      <c r="ML6" s="13920"/>
      <c r="MM6" s="13921"/>
      <c r="MN6" s="13919"/>
      <c r="MO6" s="13920"/>
      <c r="MP6" s="13920"/>
      <c r="MQ6" s="13920"/>
      <c r="MR6" s="13920"/>
      <c r="MS6" s="13920"/>
      <c r="MT6" s="13920"/>
      <c r="MU6" s="13920"/>
      <c r="MV6" s="13920"/>
      <c r="MW6" s="13920"/>
      <c r="MX6" s="13921"/>
      <c r="MY6" s="13919"/>
      <c r="MZ6" s="13920"/>
      <c r="NA6" s="13920"/>
      <c r="NB6" s="13920"/>
      <c r="NC6" s="13920"/>
      <c r="ND6" s="13920"/>
      <c r="NE6" s="13920"/>
      <c r="NF6" s="13920"/>
      <c r="NG6" s="13920"/>
      <c r="NH6" s="13920"/>
      <c r="NI6" s="13921"/>
      <c r="NJ6" s="13919"/>
      <c r="NK6" s="13920"/>
      <c r="NL6" s="13920"/>
      <c r="NM6" s="13920"/>
      <c r="NN6" s="13920"/>
      <c r="NO6" s="13920"/>
      <c r="NP6" s="13920"/>
      <c r="NQ6" s="13920"/>
      <c r="NR6" s="13920"/>
      <c r="NS6" s="13920"/>
      <c r="NT6" s="13921"/>
      <c r="NU6" s="13919"/>
      <c r="NV6" s="13920"/>
      <c r="NW6" s="13920"/>
      <c r="NX6" s="13920"/>
      <c r="NY6" s="13920"/>
      <c r="NZ6" s="13920"/>
      <c r="OA6" s="13920"/>
      <c r="OB6" s="13920"/>
      <c r="OC6" s="13920"/>
      <c r="OD6" s="13920"/>
      <c r="OE6" s="13921"/>
      <c r="OF6" s="13919"/>
      <c r="OG6" s="13920"/>
      <c r="OH6" s="13920"/>
      <c r="OI6" s="13920"/>
      <c r="OJ6" s="13920"/>
      <c r="OK6" s="13920"/>
      <c r="OL6" s="13920"/>
      <c r="OM6" s="13920"/>
      <c r="ON6" s="13920"/>
      <c r="OO6" s="13920"/>
      <c r="OP6" s="13921"/>
      <c r="OQ6" s="2379"/>
      <c r="OR6" s="1535" t="s">
        <v>484</v>
      </c>
      <c r="OT6" s="723"/>
      <c r="OU6" s="723" t="str">
        <f>IF(T6="","",T6)</f>
        <v>Группа потребителей</v>
      </c>
      <c r="OV6" s="723"/>
      <c r="OW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974"/>
      <c r="Y7" s="974"/>
      <c r="Z7" s="974"/>
      <c r="AA7" s="974"/>
      <c r="AB7" s="974"/>
      <c r="AC7" s="2394"/>
      <c r="AD7" s="2264" t="s">
        <v>66</v>
      </c>
      <c r="AE7" s="2394"/>
      <c r="AF7" s="2264" t="s">
        <v>66</v>
      </c>
      <c r="AG7" s="974"/>
      <c r="AH7" s="974"/>
      <c r="AI7" s="974"/>
      <c r="AJ7" s="974"/>
      <c r="AK7" s="974"/>
      <c r="AL7" s="974"/>
      <c r="AM7" s="974"/>
      <c r="AN7" s="2394"/>
      <c r="AO7" s="2264" t="s">
        <v>66</v>
      </c>
      <c r="AP7" s="2396"/>
      <c r="AQ7" s="2264" t="s">
        <v>66</v>
      </c>
      <c r="AR7" s="6433"/>
      <c r="AS7" s="6433"/>
      <c r="AT7" s="6433"/>
      <c r="AU7" s="6433"/>
      <c r="AV7" s="6433"/>
      <c r="AW7" s="6433"/>
      <c r="AX7" s="6433"/>
      <c r="AY7" s="6434"/>
      <c r="AZ7" s="6435" t="s">
        <v>66</v>
      </c>
      <c r="BA7" s="6434"/>
      <c r="BB7" s="6435" t="s">
        <v>66</v>
      </c>
      <c r="BC7" s="6433"/>
      <c r="BD7" s="6433"/>
      <c r="BE7" s="6433"/>
      <c r="BF7" s="6433"/>
      <c r="BG7" s="6433"/>
      <c r="BH7" s="6433"/>
      <c r="BI7" s="6433"/>
      <c r="BJ7" s="6434"/>
      <c r="BK7" s="6435" t="s">
        <v>66</v>
      </c>
      <c r="BL7" s="6434"/>
      <c r="BM7" s="6435" t="s">
        <v>66</v>
      </c>
      <c r="BN7" s="9309"/>
      <c r="BO7" s="9309"/>
      <c r="BP7" s="9309"/>
      <c r="BQ7" s="9309"/>
      <c r="BR7" s="9309"/>
      <c r="BS7" s="9309"/>
      <c r="BT7" s="9309"/>
      <c r="BU7" s="9310"/>
      <c r="BV7" s="9311" t="s">
        <v>66</v>
      </c>
      <c r="BW7" s="9310"/>
      <c r="BX7" s="9311" t="s">
        <v>66</v>
      </c>
      <c r="BY7" s="9309"/>
      <c r="BZ7" s="9309"/>
      <c r="CA7" s="9309"/>
      <c r="CB7" s="9309"/>
      <c r="CC7" s="9309"/>
      <c r="CD7" s="9309"/>
      <c r="CE7" s="9309"/>
      <c r="CF7" s="9310"/>
      <c r="CG7" s="9311" t="s">
        <v>66</v>
      </c>
      <c r="CH7" s="9310"/>
      <c r="CI7" s="9311" t="s">
        <v>66</v>
      </c>
      <c r="CJ7" s="9309"/>
      <c r="CK7" s="9309"/>
      <c r="CL7" s="9309"/>
      <c r="CM7" s="9309"/>
      <c r="CN7" s="9309"/>
      <c r="CO7" s="9309"/>
      <c r="CP7" s="9309"/>
      <c r="CQ7" s="9310"/>
      <c r="CR7" s="9311" t="s">
        <v>66</v>
      </c>
      <c r="CS7" s="9310"/>
      <c r="CT7" s="9311" t="s">
        <v>66</v>
      </c>
      <c r="CU7" s="9309"/>
      <c r="CV7" s="9309"/>
      <c r="CW7" s="9309"/>
      <c r="CX7" s="9309"/>
      <c r="CY7" s="9309"/>
      <c r="CZ7" s="9309"/>
      <c r="DA7" s="9309"/>
      <c r="DB7" s="9310"/>
      <c r="DC7" s="9311" t="s">
        <v>66</v>
      </c>
      <c r="DD7" s="9310"/>
      <c r="DE7" s="9311" t="s">
        <v>66</v>
      </c>
      <c r="DF7" s="9309"/>
      <c r="DG7" s="9309"/>
      <c r="DH7" s="9309"/>
      <c r="DI7" s="9309"/>
      <c r="DJ7" s="9309"/>
      <c r="DK7" s="9309"/>
      <c r="DL7" s="9309"/>
      <c r="DM7" s="9310"/>
      <c r="DN7" s="9311" t="s">
        <v>66</v>
      </c>
      <c r="DO7" s="9310"/>
      <c r="DP7" s="9311" t="s">
        <v>66</v>
      </c>
      <c r="DQ7" s="9309"/>
      <c r="DR7" s="9309"/>
      <c r="DS7" s="9309"/>
      <c r="DT7" s="9309"/>
      <c r="DU7" s="9309"/>
      <c r="DV7" s="9309"/>
      <c r="DW7" s="9309"/>
      <c r="DX7" s="9310"/>
      <c r="DY7" s="9311" t="s">
        <v>66</v>
      </c>
      <c r="DZ7" s="9310"/>
      <c r="EA7" s="9311" t="s">
        <v>66</v>
      </c>
      <c r="EB7" s="9309"/>
      <c r="EC7" s="9309"/>
      <c r="ED7" s="9309"/>
      <c r="EE7" s="9309"/>
      <c r="EF7" s="9309"/>
      <c r="EG7" s="9309"/>
      <c r="EH7" s="9309"/>
      <c r="EI7" s="9310"/>
      <c r="EJ7" s="9311" t="s">
        <v>66</v>
      </c>
      <c r="EK7" s="9310"/>
      <c r="EL7" s="9311" t="s">
        <v>66</v>
      </c>
      <c r="EM7" s="9309"/>
      <c r="EN7" s="9309"/>
      <c r="EO7" s="9309"/>
      <c r="EP7" s="9309"/>
      <c r="EQ7" s="9309"/>
      <c r="ER7" s="9309"/>
      <c r="ES7" s="9309"/>
      <c r="ET7" s="9310"/>
      <c r="EU7" s="9311" t="s">
        <v>66</v>
      </c>
      <c r="EV7" s="9310"/>
      <c r="EW7" s="9311" t="s">
        <v>66</v>
      </c>
      <c r="EX7" s="9309"/>
      <c r="EY7" s="9309"/>
      <c r="EZ7" s="9309"/>
      <c r="FA7" s="9309"/>
      <c r="FB7" s="9309"/>
      <c r="FC7" s="9309"/>
      <c r="FD7" s="9309"/>
      <c r="FE7" s="9310"/>
      <c r="FF7" s="9311" t="s">
        <v>66</v>
      </c>
      <c r="FG7" s="9310"/>
      <c r="FH7" s="9311" t="s">
        <v>66</v>
      </c>
      <c r="FI7" s="9309"/>
      <c r="FJ7" s="9309"/>
      <c r="FK7" s="9309"/>
      <c r="FL7" s="9309"/>
      <c r="FM7" s="9309"/>
      <c r="FN7" s="9309"/>
      <c r="FO7" s="9309"/>
      <c r="FP7" s="9310"/>
      <c r="FQ7" s="9311" t="s">
        <v>66</v>
      </c>
      <c r="FR7" s="9310"/>
      <c r="FS7" s="9311" t="s">
        <v>66</v>
      </c>
      <c r="FT7" s="9309"/>
      <c r="FU7" s="9309"/>
      <c r="FV7" s="9309"/>
      <c r="FW7" s="9309"/>
      <c r="FX7" s="9309"/>
      <c r="FY7" s="9309"/>
      <c r="FZ7" s="9309"/>
      <c r="GA7" s="9310"/>
      <c r="GB7" s="9311" t="s">
        <v>66</v>
      </c>
      <c r="GC7" s="9310"/>
      <c r="GD7" s="9311" t="s">
        <v>66</v>
      </c>
      <c r="GE7" s="9309"/>
      <c r="GF7" s="9309"/>
      <c r="GG7" s="9309"/>
      <c r="GH7" s="9309"/>
      <c r="GI7" s="9309"/>
      <c r="GJ7" s="9309"/>
      <c r="GK7" s="9309"/>
      <c r="GL7" s="9310"/>
      <c r="GM7" s="9311" t="s">
        <v>66</v>
      </c>
      <c r="GN7" s="9310"/>
      <c r="GO7" s="9311" t="s">
        <v>66</v>
      </c>
      <c r="GP7" s="9309"/>
      <c r="GQ7" s="9309"/>
      <c r="GR7" s="9309"/>
      <c r="GS7" s="9309"/>
      <c r="GT7" s="9309"/>
      <c r="GU7" s="9309"/>
      <c r="GV7" s="9309"/>
      <c r="GW7" s="9310"/>
      <c r="GX7" s="9311" t="s">
        <v>66</v>
      </c>
      <c r="GY7" s="9310"/>
      <c r="GZ7" s="9311" t="s">
        <v>66</v>
      </c>
      <c r="HA7" s="9309"/>
      <c r="HB7" s="9309"/>
      <c r="HC7" s="9309"/>
      <c r="HD7" s="9309"/>
      <c r="HE7" s="9309"/>
      <c r="HF7" s="9309"/>
      <c r="HG7" s="9309"/>
      <c r="HH7" s="9310"/>
      <c r="HI7" s="9311" t="s">
        <v>66</v>
      </c>
      <c r="HJ7" s="9310"/>
      <c r="HK7" s="9311" t="s">
        <v>66</v>
      </c>
      <c r="HL7" s="9309"/>
      <c r="HM7" s="9309"/>
      <c r="HN7" s="9309"/>
      <c r="HO7" s="9309"/>
      <c r="HP7" s="9309"/>
      <c r="HQ7" s="9309"/>
      <c r="HR7" s="9309"/>
      <c r="HS7" s="9310"/>
      <c r="HT7" s="9311" t="s">
        <v>66</v>
      </c>
      <c r="HU7" s="9310"/>
      <c r="HV7" s="9311" t="s">
        <v>66</v>
      </c>
      <c r="HW7" s="9309"/>
      <c r="HX7" s="9309"/>
      <c r="HY7" s="9309"/>
      <c r="HZ7" s="9309"/>
      <c r="IA7" s="9309"/>
      <c r="IB7" s="9309"/>
      <c r="IC7" s="9309"/>
      <c r="ID7" s="9310"/>
      <c r="IE7" s="9311" t="s">
        <v>66</v>
      </c>
      <c r="IF7" s="9310"/>
      <c r="IG7" s="9311" t="s">
        <v>66</v>
      </c>
      <c r="IH7" s="9309"/>
      <c r="II7" s="9309"/>
      <c r="IJ7" s="9309"/>
      <c r="IK7" s="9309"/>
      <c r="IL7" s="9309"/>
      <c r="IM7" s="9309"/>
      <c r="IN7" s="9309"/>
      <c r="IO7" s="9310"/>
      <c r="IP7" s="9311" t="s">
        <v>66</v>
      </c>
      <c r="IQ7" s="9310"/>
      <c r="IR7" s="9311" t="s">
        <v>66</v>
      </c>
      <c r="IS7" s="9309"/>
      <c r="IT7" s="9309"/>
      <c r="IU7" s="9309"/>
      <c r="IV7" s="9309"/>
      <c r="IW7" s="9309"/>
      <c r="IX7" s="9309"/>
      <c r="IY7" s="9309"/>
      <c r="IZ7" s="9310"/>
      <c r="JA7" s="9311" t="s">
        <v>66</v>
      </c>
      <c r="JB7" s="9310"/>
      <c r="JC7" s="9311" t="s">
        <v>66</v>
      </c>
      <c r="JD7" s="9309"/>
      <c r="JE7" s="9309"/>
      <c r="JF7" s="9309"/>
      <c r="JG7" s="9309"/>
      <c r="JH7" s="9309"/>
      <c r="JI7" s="9309"/>
      <c r="JJ7" s="9309"/>
      <c r="JK7" s="9310"/>
      <c r="JL7" s="9311" t="s">
        <v>66</v>
      </c>
      <c r="JM7" s="9310"/>
      <c r="JN7" s="9311" t="s">
        <v>66</v>
      </c>
      <c r="JO7" s="9309"/>
      <c r="JP7" s="9309"/>
      <c r="JQ7" s="9309"/>
      <c r="JR7" s="9309"/>
      <c r="JS7" s="9309"/>
      <c r="JT7" s="9309"/>
      <c r="JU7" s="9309"/>
      <c r="JV7" s="9310"/>
      <c r="JW7" s="9311" t="s">
        <v>66</v>
      </c>
      <c r="JX7" s="9310"/>
      <c r="JY7" s="9311" t="s">
        <v>66</v>
      </c>
      <c r="JZ7" s="9309"/>
      <c r="KA7" s="9309"/>
      <c r="KB7" s="9309"/>
      <c r="KC7" s="9309"/>
      <c r="KD7" s="9309"/>
      <c r="KE7" s="9309"/>
      <c r="KF7" s="9309"/>
      <c r="KG7" s="9310"/>
      <c r="KH7" s="9311" t="s">
        <v>66</v>
      </c>
      <c r="KI7" s="9310"/>
      <c r="KJ7" s="9311" t="s">
        <v>66</v>
      </c>
      <c r="KK7" s="9309"/>
      <c r="KL7" s="9309"/>
      <c r="KM7" s="9309"/>
      <c r="KN7" s="9309"/>
      <c r="KO7" s="9309"/>
      <c r="KP7" s="9309"/>
      <c r="KQ7" s="9309"/>
      <c r="KR7" s="9310"/>
      <c r="KS7" s="9311" t="s">
        <v>66</v>
      </c>
      <c r="KT7" s="9310"/>
      <c r="KU7" s="9311" t="s">
        <v>66</v>
      </c>
      <c r="KV7" s="13928"/>
      <c r="KW7" s="13928"/>
      <c r="KX7" s="13928"/>
      <c r="KY7" s="13928"/>
      <c r="KZ7" s="13928"/>
      <c r="LA7" s="13928"/>
      <c r="LB7" s="13928"/>
      <c r="LC7" s="13929"/>
      <c r="LD7" s="13930" t="s">
        <v>66</v>
      </c>
      <c r="LE7" s="13929"/>
      <c r="LF7" s="13930" t="s">
        <v>66</v>
      </c>
      <c r="LG7" s="13928"/>
      <c r="LH7" s="13928"/>
      <c r="LI7" s="13928"/>
      <c r="LJ7" s="13928"/>
      <c r="LK7" s="13928"/>
      <c r="LL7" s="13928"/>
      <c r="LM7" s="13928"/>
      <c r="LN7" s="13929"/>
      <c r="LO7" s="13930" t="s">
        <v>66</v>
      </c>
      <c r="LP7" s="13929"/>
      <c r="LQ7" s="13930" t="s">
        <v>66</v>
      </c>
      <c r="LR7" s="13928"/>
      <c r="LS7" s="13928"/>
      <c r="LT7" s="13928"/>
      <c r="LU7" s="13928"/>
      <c r="LV7" s="13928"/>
      <c r="LW7" s="13928"/>
      <c r="LX7" s="13928"/>
      <c r="LY7" s="13929"/>
      <c r="LZ7" s="13930" t="s">
        <v>66</v>
      </c>
      <c r="MA7" s="13929"/>
      <c r="MB7" s="13930" t="s">
        <v>66</v>
      </c>
      <c r="MC7" s="13928"/>
      <c r="MD7" s="13928"/>
      <c r="ME7" s="13928"/>
      <c r="MF7" s="13928"/>
      <c r="MG7" s="13928"/>
      <c r="MH7" s="13928"/>
      <c r="MI7" s="13928"/>
      <c r="MJ7" s="13929"/>
      <c r="MK7" s="13930" t="s">
        <v>66</v>
      </c>
      <c r="ML7" s="13929"/>
      <c r="MM7" s="13930" t="s">
        <v>66</v>
      </c>
      <c r="MN7" s="13928"/>
      <c r="MO7" s="13928"/>
      <c r="MP7" s="13928"/>
      <c r="MQ7" s="13928"/>
      <c r="MR7" s="13928"/>
      <c r="MS7" s="13928"/>
      <c r="MT7" s="13928"/>
      <c r="MU7" s="13929"/>
      <c r="MV7" s="13930" t="s">
        <v>66</v>
      </c>
      <c r="MW7" s="13929"/>
      <c r="MX7" s="13930" t="s">
        <v>66</v>
      </c>
      <c r="MY7" s="13928"/>
      <c r="MZ7" s="13928"/>
      <c r="NA7" s="13928"/>
      <c r="NB7" s="13928"/>
      <c r="NC7" s="13928"/>
      <c r="ND7" s="13928"/>
      <c r="NE7" s="13928"/>
      <c r="NF7" s="13929"/>
      <c r="NG7" s="13930" t="s">
        <v>66</v>
      </c>
      <c r="NH7" s="13929"/>
      <c r="NI7" s="13930" t="s">
        <v>66</v>
      </c>
      <c r="NJ7" s="13928"/>
      <c r="NK7" s="13928"/>
      <c r="NL7" s="13928"/>
      <c r="NM7" s="13928"/>
      <c r="NN7" s="13928"/>
      <c r="NO7" s="13928"/>
      <c r="NP7" s="13928"/>
      <c r="NQ7" s="13929"/>
      <c r="NR7" s="13930" t="s">
        <v>66</v>
      </c>
      <c r="NS7" s="13929"/>
      <c r="NT7" s="13930" t="s">
        <v>66</v>
      </c>
      <c r="NU7" s="13928"/>
      <c r="NV7" s="13928"/>
      <c r="NW7" s="13928"/>
      <c r="NX7" s="13928"/>
      <c r="NY7" s="13928"/>
      <c r="NZ7" s="13928"/>
      <c r="OA7" s="13928"/>
      <c r="OB7" s="13929"/>
      <c r="OC7" s="13930" t="s">
        <v>66</v>
      </c>
      <c r="OD7" s="13929"/>
      <c r="OE7" s="13930" t="s">
        <v>66</v>
      </c>
      <c r="OF7" s="13928"/>
      <c r="OG7" s="13928"/>
      <c r="OH7" s="13928"/>
      <c r="OI7" s="13928"/>
      <c r="OJ7" s="13928"/>
      <c r="OK7" s="13928"/>
      <c r="OL7" s="13928"/>
      <c r="OM7" s="13929"/>
      <c r="ON7" s="13930" t="s">
        <v>66</v>
      </c>
      <c r="OO7" s="13929"/>
      <c r="OP7" s="13930" t="s">
        <v>66</v>
      </c>
      <c r="OQ7" s="1666"/>
      <c r="OR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OS7" s="734">
        <f>STRCHECKDATE(V8:OQ8)</f>
      </c>
      <c r="OT7" s="723"/>
      <c r="OU7" s="723" t="str">
        <f>IF(T7="","",T7)</f>
        <v/>
      </c>
      <c r="OV7" s="723"/>
      <c r="OW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48"/>
      <c r="Y8" s="548"/>
      <c r="Z8" s="548"/>
      <c r="AA8" s="548"/>
      <c r="AB8" s="548"/>
      <c r="AC8" s="2395"/>
      <c r="AD8" s="2264"/>
      <c r="AE8" s="2395"/>
      <c r="AF8" s="2264"/>
      <c r="AG8" s="548"/>
      <c r="AH8" s="548"/>
      <c r="AI8" s="548"/>
      <c r="AJ8" s="548"/>
      <c r="AK8" s="548"/>
      <c r="AL8" s="548"/>
      <c r="AM8" s="548"/>
      <c r="AN8" s="2395"/>
      <c r="AO8" s="2264"/>
      <c r="AP8" s="2397"/>
      <c r="AQ8" s="2264"/>
      <c r="AR8" s="6436"/>
      <c r="AS8" s="6436"/>
      <c r="AT8" s="6436"/>
      <c r="AU8" s="6436"/>
      <c r="AV8" s="6436"/>
      <c r="AW8" s="6436"/>
      <c r="AX8" s="6436"/>
      <c r="AY8" s="6437"/>
      <c r="AZ8" s="6435"/>
      <c r="BA8" s="6437"/>
      <c r="BB8" s="6435"/>
      <c r="BC8" s="6436"/>
      <c r="BD8" s="6436"/>
      <c r="BE8" s="6436"/>
      <c r="BF8" s="6436"/>
      <c r="BG8" s="6436"/>
      <c r="BH8" s="6436"/>
      <c r="BI8" s="6436"/>
      <c r="BJ8" s="6437"/>
      <c r="BK8" s="6435"/>
      <c r="BL8" s="6437"/>
      <c r="BM8" s="6435"/>
      <c r="BN8" s="9314"/>
      <c r="BO8" s="9314"/>
      <c r="BP8" s="9314"/>
      <c r="BQ8" s="9314"/>
      <c r="BR8" s="9314"/>
      <c r="BS8" s="9314"/>
      <c r="BT8" s="9314"/>
      <c r="BU8" s="9315"/>
      <c r="BV8" s="9311"/>
      <c r="BW8" s="9315"/>
      <c r="BX8" s="9311"/>
      <c r="BY8" s="9314"/>
      <c r="BZ8" s="9314"/>
      <c r="CA8" s="9314"/>
      <c r="CB8" s="9314"/>
      <c r="CC8" s="9314"/>
      <c r="CD8" s="9314"/>
      <c r="CE8" s="9314"/>
      <c r="CF8" s="9315"/>
      <c r="CG8" s="9311"/>
      <c r="CH8" s="9315"/>
      <c r="CI8" s="9311"/>
      <c r="CJ8" s="9314"/>
      <c r="CK8" s="9314"/>
      <c r="CL8" s="9314"/>
      <c r="CM8" s="9314"/>
      <c r="CN8" s="9314"/>
      <c r="CO8" s="9314"/>
      <c r="CP8" s="9314"/>
      <c r="CQ8" s="9315"/>
      <c r="CR8" s="9311"/>
      <c r="CS8" s="9315"/>
      <c r="CT8" s="9311"/>
      <c r="CU8" s="9314"/>
      <c r="CV8" s="9314"/>
      <c r="CW8" s="9314"/>
      <c r="CX8" s="9314"/>
      <c r="CY8" s="9314"/>
      <c r="CZ8" s="9314"/>
      <c r="DA8" s="9314"/>
      <c r="DB8" s="9315"/>
      <c r="DC8" s="9311"/>
      <c r="DD8" s="9315"/>
      <c r="DE8" s="9311"/>
      <c r="DF8" s="9314"/>
      <c r="DG8" s="9314"/>
      <c r="DH8" s="9314"/>
      <c r="DI8" s="9314"/>
      <c r="DJ8" s="9314"/>
      <c r="DK8" s="9314"/>
      <c r="DL8" s="9314"/>
      <c r="DM8" s="9315"/>
      <c r="DN8" s="9311"/>
      <c r="DO8" s="9315"/>
      <c r="DP8" s="9311"/>
      <c r="DQ8" s="9314"/>
      <c r="DR8" s="9314"/>
      <c r="DS8" s="9314"/>
      <c r="DT8" s="9314"/>
      <c r="DU8" s="9314"/>
      <c r="DV8" s="9314"/>
      <c r="DW8" s="9314"/>
      <c r="DX8" s="9315"/>
      <c r="DY8" s="9311"/>
      <c r="DZ8" s="9315"/>
      <c r="EA8" s="9311"/>
      <c r="EB8" s="9314"/>
      <c r="EC8" s="9314"/>
      <c r="ED8" s="9314"/>
      <c r="EE8" s="9314"/>
      <c r="EF8" s="9314"/>
      <c r="EG8" s="9314"/>
      <c r="EH8" s="9314"/>
      <c r="EI8" s="9315"/>
      <c r="EJ8" s="9311"/>
      <c r="EK8" s="9315"/>
      <c r="EL8" s="9311"/>
      <c r="EM8" s="9314"/>
      <c r="EN8" s="9314"/>
      <c r="EO8" s="9314"/>
      <c r="EP8" s="9314"/>
      <c r="EQ8" s="9314"/>
      <c r="ER8" s="9314"/>
      <c r="ES8" s="9314"/>
      <c r="ET8" s="9315"/>
      <c r="EU8" s="9311"/>
      <c r="EV8" s="9315"/>
      <c r="EW8" s="9311"/>
      <c r="EX8" s="9314"/>
      <c r="EY8" s="9314"/>
      <c r="EZ8" s="9314"/>
      <c r="FA8" s="9314"/>
      <c r="FB8" s="9314"/>
      <c r="FC8" s="9314"/>
      <c r="FD8" s="9314"/>
      <c r="FE8" s="9315"/>
      <c r="FF8" s="9311"/>
      <c r="FG8" s="9315"/>
      <c r="FH8" s="9311"/>
      <c r="FI8" s="9314"/>
      <c r="FJ8" s="9314"/>
      <c r="FK8" s="9314"/>
      <c r="FL8" s="9314"/>
      <c r="FM8" s="9314"/>
      <c r="FN8" s="9314"/>
      <c r="FO8" s="9314"/>
      <c r="FP8" s="9315"/>
      <c r="FQ8" s="9311"/>
      <c r="FR8" s="9315"/>
      <c r="FS8" s="9311"/>
      <c r="FT8" s="9314"/>
      <c r="FU8" s="9314"/>
      <c r="FV8" s="9314"/>
      <c r="FW8" s="9314"/>
      <c r="FX8" s="9314"/>
      <c r="FY8" s="9314"/>
      <c r="FZ8" s="9314"/>
      <c r="GA8" s="9315"/>
      <c r="GB8" s="9311"/>
      <c r="GC8" s="9315"/>
      <c r="GD8" s="9311"/>
      <c r="GE8" s="9314"/>
      <c r="GF8" s="9314"/>
      <c r="GG8" s="9314"/>
      <c r="GH8" s="9314"/>
      <c r="GI8" s="9314"/>
      <c r="GJ8" s="9314"/>
      <c r="GK8" s="9314"/>
      <c r="GL8" s="9315"/>
      <c r="GM8" s="9311"/>
      <c r="GN8" s="9315"/>
      <c r="GO8" s="9311"/>
      <c r="GP8" s="9314"/>
      <c r="GQ8" s="9314"/>
      <c r="GR8" s="9314"/>
      <c r="GS8" s="9314"/>
      <c r="GT8" s="9314"/>
      <c r="GU8" s="9314"/>
      <c r="GV8" s="9314"/>
      <c r="GW8" s="9315"/>
      <c r="GX8" s="9311"/>
      <c r="GY8" s="9315"/>
      <c r="GZ8" s="9311"/>
      <c r="HA8" s="9314"/>
      <c r="HB8" s="9314"/>
      <c r="HC8" s="9314"/>
      <c r="HD8" s="9314"/>
      <c r="HE8" s="9314"/>
      <c r="HF8" s="9314"/>
      <c r="HG8" s="9314"/>
      <c r="HH8" s="9315"/>
      <c r="HI8" s="9311"/>
      <c r="HJ8" s="9315"/>
      <c r="HK8" s="9311"/>
      <c r="HL8" s="9314"/>
      <c r="HM8" s="9314"/>
      <c r="HN8" s="9314"/>
      <c r="HO8" s="9314"/>
      <c r="HP8" s="9314"/>
      <c r="HQ8" s="9314"/>
      <c r="HR8" s="9314"/>
      <c r="HS8" s="9315"/>
      <c r="HT8" s="9311"/>
      <c r="HU8" s="9315"/>
      <c r="HV8" s="9311"/>
      <c r="HW8" s="9314"/>
      <c r="HX8" s="9314"/>
      <c r="HY8" s="9314"/>
      <c r="HZ8" s="9314"/>
      <c r="IA8" s="9314"/>
      <c r="IB8" s="9314"/>
      <c r="IC8" s="9314"/>
      <c r="ID8" s="9315"/>
      <c r="IE8" s="9311"/>
      <c r="IF8" s="9315"/>
      <c r="IG8" s="9311"/>
      <c r="IH8" s="9314"/>
      <c r="II8" s="9314"/>
      <c r="IJ8" s="9314"/>
      <c r="IK8" s="9314"/>
      <c r="IL8" s="9314"/>
      <c r="IM8" s="9314"/>
      <c r="IN8" s="9314"/>
      <c r="IO8" s="9315"/>
      <c r="IP8" s="9311"/>
      <c r="IQ8" s="9315"/>
      <c r="IR8" s="9311"/>
      <c r="IS8" s="9314"/>
      <c r="IT8" s="9314"/>
      <c r="IU8" s="9314"/>
      <c r="IV8" s="9314"/>
      <c r="IW8" s="9314"/>
      <c r="IX8" s="9314"/>
      <c r="IY8" s="9314"/>
      <c r="IZ8" s="9315"/>
      <c r="JA8" s="9311"/>
      <c r="JB8" s="9315"/>
      <c r="JC8" s="9311"/>
      <c r="JD8" s="9314"/>
      <c r="JE8" s="9314"/>
      <c r="JF8" s="9314"/>
      <c r="JG8" s="9314"/>
      <c r="JH8" s="9314"/>
      <c r="JI8" s="9314"/>
      <c r="JJ8" s="9314"/>
      <c r="JK8" s="9315"/>
      <c r="JL8" s="9311"/>
      <c r="JM8" s="9315"/>
      <c r="JN8" s="9311"/>
      <c r="JO8" s="9314"/>
      <c r="JP8" s="9314"/>
      <c r="JQ8" s="9314"/>
      <c r="JR8" s="9314"/>
      <c r="JS8" s="9314"/>
      <c r="JT8" s="9314"/>
      <c r="JU8" s="9314"/>
      <c r="JV8" s="9315"/>
      <c r="JW8" s="9311"/>
      <c r="JX8" s="9315"/>
      <c r="JY8" s="9311"/>
      <c r="JZ8" s="9314"/>
      <c r="KA8" s="9314"/>
      <c r="KB8" s="9314"/>
      <c r="KC8" s="9314"/>
      <c r="KD8" s="9314"/>
      <c r="KE8" s="9314"/>
      <c r="KF8" s="9314"/>
      <c r="KG8" s="9315"/>
      <c r="KH8" s="9311"/>
      <c r="KI8" s="9315"/>
      <c r="KJ8" s="9311"/>
      <c r="KK8" s="9314"/>
      <c r="KL8" s="9314"/>
      <c r="KM8" s="9314"/>
      <c r="KN8" s="9314"/>
      <c r="KO8" s="9314"/>
      <c r="KP8" s="9314"/>
      <c r="KQ8" s="9314"/>
      <c r="KR8" s="9315"/>
      <c r="KS8" s="9311"/>
      <c r="KT8" s="9315"/>
      <c r="KU8" s="9311"/>
      <c r="KV8" s="13935"/>
      <c r="KW8" s="13935"/>
      <c r="KX8" s="13935"/>
      <c r="KY8" s="13935"/>
      <c r="KZ8" s="13935"/>
      <c r="LA8" s="13935"/>
      <c r="LB8" s="13935"/>
      <c r="LC8" s="13936"/>
      <c r="LD8" s="13930"/>
      <c r="LE8" s="13936"/>
      <c r="LF8" s="13930"/>
      <c r="LG8" s="13935"/>
      <c r="LH8" s="13935"/>
      <c r="LI8" s="13935"/>
      <c r="LJ8" s="13935"/>
      <c r="LK8" s="13935"/>
      <c r="LL8" s="13935"/>
      <c r="LM8" s="13935"/>
      <c r="LN8" s="13936"/>
      <c r="LO8" s="13930"/>
      <c r="LP8" s="13936"/>
      <c r="LQ8" s="13930"/>
      <c r="LR8" s="13935"/>
      <c r="LS8" s="13935"/>
      <c r="LT8" s="13935"/>
      <c r="LU8" s="13935"/>
      <c r="LV8" s="13935"/>
      <c r="LW8" s="13935"/>
      <c r="LX8" s="13935"/>
      <c r="LY8" s="13936"/>
      <c r="LZ8" s="13930"/>
      <c r="MA8" s="13936"/>
      <c r="MB8" s="13930"/>
      <c r="MC8" s="13935"/>
      <c r="MD8" s="13935"/>
      <c r="ME8" s="13935"/>
      <c r="MF8" s="13935"/>
      <c r="MG8" s="13935"/>
      <c r="MH8" s="13935"/>
      <c r="MI8" s="13935"/>
      <c r="MJ8" s="13936"/>
      <c r="MK8" s="13930"/>
      <c r="ML8" s="13936"/>
      <c r="MM8" s="13930"/>
      <c r="MN8" s="13935"/>
      <c r="MO8" s="13935"/>
      <c r="MP8" s="13935"/>
      <c r="MQ8" s="13935"/>
      <c r="MR8" s="13935"/>
      <c r="MS8" s="13935"/>
      <c r="MT8" s="13935"/>
      <c r="MU8" s="13936"/>
      <c r="MV8" s="13930"/>
      <c r="MW8" s="13936"/>
      <c r="MX8" s="13930"/>
      <c r="MY8" s="13935"/>
      <c r="MZ8" s="13935"/>
      <c r="NA8" s="13935"/>
      <c r="NB8" s="13935"/>
      <c r="NC8" s="13935"/>
      <c r="ND8" s="13935"/>
      <c r="NE8" s="13935"/>
      <c r="NF8" s="13936"/>
      <c r="NG8" s="13930"/>
      <c r="NH8" s="13936"/>
      <c r="NI8" s="13930"/>
      <c r="NJ8" s="13935"/>
      <c r="NK8" s="13935"/>
      <c r="NL8" s="13935"/>
      <c r="NM8" s="13935"/>
      <c r="NN8" s="13935"/>
      <c r="NO8" s="13935"/>
      <c r="NP8" s="13935"/>
      <c r="NQ8" s="13936"/>
      <c r="NR8" s="13930"/>
      <c r="NS8" s="13936"/>
      <c r="NT8" s="13930"/>
      <c r="NU8" s="13935"/>
      <c r="NV8" s="13935"/>
      <c r="NW8" s="13935"/>
      <c r="NX8" s="13935"/>
      <c r="NY8" s="13935"/>
      <c r="NZ8" s="13935"/>
      <c r="OA8" s="13935"/>
      <c r="OB8" s="13936"/>
      <c r="OC8" s="13930"/>
      <c r="OD8" s="13936"/>
      <c r="OE8" s="13930"/>
      <c r="OF8" s="13935"/>
      <c r="OG8" s="13935"/>
      <c r="OH8" s="13935"/>
      <c r="OI8" s="13935"/>
      <c r="OJ8" s="13935"/>
      <c r="OK8" s="13935"/>
      <c r="OL8" s="13935"/>
      <c r="OM8" s="13936"/>
      <c r="ON8" s="13930"/>
      <c r="OO8" s="13936"/>
      <c r="OP8" s="13930"/>
      <c r="OQ8" s="1667"/>
      <c r="OR8" s="2482"/>
      <c r="OT8" s="723"/>
      <c r="OU8" s="723" t="str">
        <f>IF(T8="","",T8)</f>
        <v/>
      </c>
      <c r="OV8" s="723"/>
      <c r="OW8" s="723"/>
    </row>
    <row customHeight="1" ht="21" hidden="1">
      <c r="A9" s="1591"/>
      <c r="B9" s="1591"/>
      <c r="C9" s="1591"/>
      <c r="D9" s="1591"/>
      <c r="E9" s="2390"/>
      <c r="F9" s="2390"/>
      <c r="G9" s="2390"/>
      <c r="H9" s="2390"/>
      <c r="I9" s="2392"/>
      <c r="J9" s="2391"/>
      <c r="K9" s="1591"/>
      <c r="L9" s="1592"/>
      <c r="P9" s="2393"/>
      <c r="Q9" s="2393"/>
      <c r="R9" s="579"/>
      <c r="S9" s="1506"/>
      <c r="T9" s="510" t="s">
        <v>485</v>
      </c>
      <c r="U9" s="590"/>
      <c r="V9" s="590"/>
      <c r="W9" s="823"/>
      <c r="X9" s="823"/>
      <c r="Y9" s="823"/>
      <c r="Z9" s="823"/>
      <c r="AA9" s="823"/>
      <c r="AB9" s="823"/>
      <c r="AC9" s="590"/>
      <c r="AD9" s="590"/>
      <c r="AE9" s="590"/>
      <c r="AF9" s="590"/>
      <c r="AG9" s="590"/>
      <c r="AH9" s="823"/>
      <c r="AI9" s="823"/>
      <c r="AJ9" s="823"/>
      <c r="AK9" s="823"/>
      <c r="AL9" s="823"/>
      <c r="AM9" s="590"/>
      <c r="AN9" s="590"/>
      <c r="AO9" s="590"/>
      <c r="AP9" s="590"/>
      <c r="AQ9" s="590"/>
      <c r="AR9" s="6438"/>
      <c r="AS9" s="6439"/>
      <c r="AT9" s="6440"/>
      <c r="AU9" s="6441"/>
      <c r="AV9" s="6442"/>
      <c r="AW9" s="6443"/>
      <c r="AX9" s="6444"/>
      <c r="AY9" s="6445"/>
      <c r="AZ9" s="6446"/>
      <c r="BA9" s="6447"/>
      <c r="BB9" s="6448"/>
      <c r="BC9" s="6449"/>
      <c r="BD9" s="6450"/>
      <c r="BE9" s="6451"/>
      <c r="BF9" s="6452"/>
      <c r="BG9" s="6453"/>
      <c r="BH9" s="6454"/>
      <c r="BI9" s="6455"/>
      <c r="BJ9" s="6456"/>
      <c r="BK9" s="6457"/>
      <c r="BL9" s="6458"/>
      <c r="BM9" s="6459"/>
      <c r="BN9" s="9338"/>
      <c r="BO9" s="9339"/>
      <c r="BP9" s="9340"/>
      <c r="BQ9" s="9341"/>
      <c r="BR9" s="9342"/>
      <c r="BS9" s="9343"/>
      <c r="BT9" s="9344"/>
      <c r="BU9" s="9345"/>
      <c r="BV9" s="9346"/>
      <c r="BW9" s="9347"/>
      <c r="BX9" s="9348"/>
      <c r="BY9" s="9349"/>
      <c r="BZ9" s="9350"/>
      <c r="CA9" s="9351"/>
      <c r="CB9" s="9352"/>
      <c r="CC9" s="9353"/>
      <c r="CD9" s="9354"/>
      <c r="CE9" s="9355"/>
      <c r="CF9" s="9356"/>
      <c r="CG9" s="9357"/>
      <c r="CH9" s="9358"/>
      <c r="CI9" s="9359"/>
      <c r="CJ9" s="9360"/>
      <c r="CK9" s="9361"/>
      <c r="CL9" s="9362"/>
      <c r="CM9" s="9363"/>
      <c r="CN9" s="9364"/>
      <c r="CO9" s="9365"/>
      <c r="CP9" s="9366"/>
      <c r="CQ9" s="9367"/>
      <c r="CR9" s="9368"/>
      <c r="CS9" s="9369"/>
      <c r="CT9" s="9370"/>
      <c r="CU9" s="9371"/>
      <c r="CV9" s="9372"/>
      <c r="CW9" s="9373"/>
      <c r="CX9" s="9374"/>
      <c r="CY9" s="9375"/>
      <c r="CZ9" s="9376"/>
      <c r="DA9" s="9377"/>
      <c r="DB9" s="9378"/>
      <c r="DC9" s="9379"/>
      <c r="DD9" s="9380"/>
      <c r="DE9" s="9381"/>
      <c r="DF9" s="9382"/>
      <c r="DG9" s="9383"/>
      <c r="DH9" s="9384"/>
      <c r="DI9" s="9385"/>
      <c r="DJ9" s="9386"/>
      <c r="DK9" s="9387"/>
      <c r="DL9" s="9388"/>
      <c r="DM9" s="9389"/>
      <c r="DN9" s="9390"/>
      <c r="DO9" s="9391"/>
      <c r="DP9" s="9392"/>
      <c r="DQ9" s="9393"/>
      <c r="DR9" s="9394"/>
      <c r="DS9" s="9395"/>
      <c r="DT9" s="9396"/>
      <c r="DU9" s="9397"/>
      <c r="DV9" s="9398"/>
      <c r="DW9" s="9399"/>
      <c r="DX9" s="9400"/>
      <c r="DY9" s="9401"/>
      <c r="DZ9" s="9402"/>
      <c r="EA9" s="9403"/>
      <c r="EB9" s="9404"/>
      <c r="EC9" s="9405"/>
      <c r="ED9" s="9406"/>
      <c r="EE9" s="9407"/>
      <c r="EF9" s="9408"/>
      <c r="EG9" s="9409"/>
      <c r="EH9" s="9410"/>
      <c r="EI9" s="9411"/>
      <c r="EJ9" s="9412"/>
      <c r="EK9" s="9413"/>
      <c r="EL9" s="9414"/>
      <c r="EM9" s="9415"/>
      <c r="EN9" s="9416"/>
      <c r="EO9" s="9417"/>
      <c r="EP9" s="9418"/>
      <c r="EQ9" s="9419"/>
      <c r="ER9" s="9420"/>
      <c r="ES9" s="9421"/>
      <c r="ET9" s="9422"/>
      <c r="EU9" s="9423"/>
      <c r="EV9" s="9424"/>
      <c r="EW9" s="9425"/>
      <c r="EX9" s="9426"/>
      <c r="EY9" s="9427"/>
      <c r="EZ9" s="9428"/>
      <c r="FA9" s="9429"/>
      <c r="FB9" s="9430"/>
      <c r="FC9" s="9431"/>
      <c r="FD9" s="9432"/>
      <c r="FE9" s="9433"/>
      <c r="FF9" s="9434"/>
      <c r="FG9" s="9435"/>
      <c r="FH9" s="9436"/>
      <c r="FI9" s="9437"/>
      <c r="FJ9" s="9438"/>
      <c r="FK9" s="9439"/>
      <c r="FL9" s="9440"/>
      <c r="FM9" s="9441"/>
      <c r="FN9" s="9442"/>
      <c r="FO9" s="9443"/>
      <c r="FP9" s="9444"/>
      <c r="FQ9" s="9445"/>
      <c r="FR9" s="9446"/>
      <c r="FS9" s="9447"/>
      <c r="FT9" s="9448"/>
      <c r="FU9" s="9449"/>
      <c r="FV9" s="9450"/>
      <c r="FW9" s="9451"/>
      <c r="FX9" s="9452"/>
      <c r="FY9" s="9453"/>
      <c r="FZ9" s="9454"/>
      <c r="GA9" s="9455"/>
      <c r="GB9" s="9456"/>
      <c r="GC9" s="9457"/>
      <c r="GD9" s="9458"/>
      <c r="GE9" s="9459"/>
      <c r="GF9" s="9460"/>
      <c r="GG9" s="9461"/>
      <c r="GH9" s="9462"/>
      <c r="GI9" s="9463"/>
      <c r="GJ9" s="9464"/>
      <c r="GK9" s="9465"/>
      <c r="GL9" s="9466"/>
      <c r="GM9" s="9467"/>
      <c r="GN9" s="9468"/>
      <c r="GO9" s="9469"/>
      <c r="GP9" s="9470"/>
      <c r="GQ9" s="9471"/>
      <c r="GR9" s="9472"/>
      <c r="GS9" s="9473"/>
      <c r="GT9" s="9474"/>
      <c r="GU9" s="9475"/>
      <c r="GV9" s="9476"/>
      <c r="GW9" s="9477"/>
      <c r="GX9" s="9478"/>
      <c r="GY9" s="9479"/>
      <c r="GZ9" s="9480"/>
      <c r="HA9" s="9481"/>
      <c r="HB9" s="9482"/>
      <c r="HC9" s="9483"/>
      <c r="HD9" s="9484"/>
      <c r="HE9" s="9485"/>
      <c r="HF9" s="9486"/>
      <c r="HG9" s="9487"/>
      <c r="HH9" s="9488"/>
      <c r="HI9" s="9489"/>
      <c r="HJ9" s="9490"/>
      <c r="HK9" s="9491"/>
      <c r="HL9" s="9492"/>
      <c r="HM9" s="9493"/>
      <c r="HN9" s="9494"/>
      <c r="HO9" s="9495"/>
      <c r="HP9" s="9496"/>
      <c r="HQ9" s="9497"/>
      <c r="HR9" s="9498"/>
      <c r="HS9" s="9499"/>
      <c r="HT9" s="9500"/>
      <c r="HU9" s="9501"/>
      <c r="HV9" s="9502"/>
      <c r="HW9" s="9503"/>
      <c r="HX9" s="9504"/>
      <c r="HY9" s="9505"/>
      <c r="HZ9" s="9506"/>
      <c r="IA9" s="9507"/>
      <c r="IB9" s="9508"/>
      <c r="IC9" s="9509"/>
      <c r="ID9" s="9510"/>
      <c r="IE9" s="9511"/>
      <c r="IF9" s="9512"/>
      <c r="IG9" s="9513"/>
      <c r="IH9" s="9514"/>
      <c r="II9" s="9515"/>
      <c r="IJ9" s="9516"/>
      <c r="IK9" s="9517"/>
      <c r="IL9" s="9518"/>
      <c r="IM9" s="9519"/>
      <c r="IN9" s="9520"/>
      <c r="IO9" s="9521"/>
      <c r="IP9" s="9522"/>
      <c r="IQ9" s="9523"/>
      <c r="IR9" s="9524"/>
      <c r="IS9" s="9525"/>
      <c r="IT9" s="9526"/>
      <c r="IU9" s="9527"/>
      <c r="IV9" s="9528"/>
      <c r="IW9" s="9529"/>
      <c r="IX9" s="9530"/>
      <c r="IY9" s="9531"/>
      <c r="IZ9" s="9532"/>
      <c r="JA9" s="9533"/>
      <c r="JB9" s="9534"/>
      <c r="JC9" s="9535"/>
      <c r="JD9" s="9536"/>
      <c r="JE9" s="9537"/>
      <c r="JF9" s="9538"/>
      <c r="JG9" s="9539"/>
      <c r="JH9" s="9540"/>
      <c r="JI9" s="9541"/>
      <c r="JJ9" s="9542"/>
      <c r="JK9" s="9543"/>
      <c r="JL9" s="9544"/>
      <c r="JM9" s="9545"/>
      <c r="JN9" s="9546"/>
      <c r="JO9" s="9547"/>
      <c r="JP9" s="9548"/>
      <c r="JQ9" s="9549"/>
      <c r="JR9" s="9550"/>
      <c r="JS9" s="9551"/>
      <c r="JT9" s="9552"/>
      <c r="JU9" s="9553"/>
      <c r="JV9" s="9554"/>
      <c r="JW9" s="9555"/>
      <c r="JX9" s="9556"/>
      <c r="JY9" s="9557"/>
      <c r="JZ9" s="9558"/>
      <c r="KA9" s="9559"/>
      <c r="KB9" s="9560"/>
      <c r="KC9" s="9561"/>
      <c r="KD9" s="9562"/>
      <c r="KE9" s="9563"/>
      <c r="KF9" s="9564"/>
      <c r="KG9" s="9565"/>
      <c r="KH9" s="9566"/>
      <c r="KI9" s="9567"/>
      <c r="KJ9" s="9568"/>
      <c r="KK9" s="9569"/>
      <c r="KL9" s="9570"/>
      <c r="KM9" s="9571"/>
      <c r="KN9" s="9572"/>
      <c r="KO9" s="9573"/>
      <c r="KP9" s="9574"/>
      <c r="KQ9" s="9575"/>
      <c r="KR9" s="9576"/>
      <c r="KS9" s="9577"/>
      <c r="KT9" s="9578"/>
      <c r="KU9" s="9579"/>
      <c r="KV9" s="14201"/>
      <c r="KW9" s="14202"/>
      <c r="KX9" s="14203"/>
      <c r="KY9" s="14204"/>
      <c r="KZ9" s="14205"/>
      <c r="LA9" s="14206"/>
      <c r="LB9" s="14207"/>
      <c r="LC9" s="14208"/>
      <c r="LD9" s="14209"/>
      <c r="LE9" s="14210"/>
      <c r="LF9" s="14211"/>
      <c r="LG9" s="14212"/>
      <c r="LH9" s="14213"/>
      <c r="LI9" s="14214"/>
      <c r="LJ9" s="14215"/>
      <c r="LK9" s="14216"/>
      <c r="LL9" s="14217"/>
      <c r="LM9" s="14218"/>
      <c r="LN9" s="14219"/>
      <c r="LO9" s="14220"/>
      <c r="LP9" s="14221"/>
      <c r="LQ9" s="14222"/>
      <c r="LR9" s="14223"/>
      <c r="LS9" s="14224"/>
      <c r="LT9" s="14225"/>
      <c r="LU9" s="14226"/>
      <c r="LV9" s="14227"/>
      <c r="LW9" s="14228"/>
      <c r="LX9" s="14229"/>
      <c r="LY9" s="14230"/>
      <c r="LZ9" s="14231"/>
      <c r="MA9" s="14232"/>
      <c r="MB9" s="14233"/>
      <c r="MC9" s="14234"/>
      <c r="MD9" s="14235"/>
      <c r="ME9" s="14236"/>
      <c r="MF9" s="14237"/>
      <c r="MG9" s="14238"/>
      <c r="MH9" s="14239"/>
      <c r="MI9" s="14240"/>
      <c r="MJ9" s="14241"/>
      <c r="MK9" s="14242"/>
      <c r="ML9" s="14243"/>
      <c r="MM9" s="14244"/>
      <c r="MN9" s="14245"/>
      <c r="MO9" s="14246"/>
      <c r="MP9" s="14247"/>
      <c r="MQ9" s="14248"/>
      <c r="MR9" s="14249"/>
      <c r="MS9" s="14250"/>
      <c r="MT9" s="14251"/>
      <c r="MU9" s="14252"/>
      <c r="MV9" s="14253"/>
      <c r="MW9" s="14254"/>
      <c r="MX9" s="14255"/>
      <c r="MY9" s="14256"/>
      <c r="MZ9" s="14257"/>
      <c r="NA9" s="14258"/>
      <c r="NB9" s="14259"/>
      <c r="NC9" s="14260"/>
      <c r="ND9" s="14261"/>
      <c r="NE9" s="14262"/>
      <c r="NF9" s="14263"/>
      <c r="NG9" s="14264"/>
      <c r="NH9" s="14265"/>
      <c r="NI9" s="14266"/>
      <c r="NJ9" s="14267"/>
      <c r="NK9" s="14268"/>
      <c r="NL9" s="14269"/>
      <c r="NM9" s="14270"/>
      <c r="NN9" s="14271"/>
      <c r="NO9" s="14272"/>
      <c r="NP9" s="14273"/>
      <c r="NQ9" s="14274"/>
      <c r="NR9" s="14275"/>
      <c r="NS9" s="14276"/>
      <c r="NT9" s="14277"/>
      <c r="NU9" s="14278"/>
      <c r="NV9" s="14279"/>
      <c r="NW9" s="14280"/>
      <c r="NX9" s="14281"/>
      <c r="NY9" s="14282"/>
      <c r="NZ9" s="14283"/>
      <c r="OA9" s="14284"/>
      <c r="OB9" s="14285"/>
      <c r="OC9" s="14286"/>
      <c r="OD9" s="14287"/>
      <c r="OE9" s="14288"/>
      <c r="OF9" s="14289"/>
      <c r="OG9" s="14290"/>
      <c r="OH9" s="14291"/>
      <c r="OI9" s="14292"/>
      <c r="OJ9" s="14293"/>
      <c r="OK9" s="14294"/>
      <c r="OL9" s="14295"/>
      <c r="OM9" s="14296"/>
      <c r="ON9" s="14297"/>
      <c r="OO9" s="14298"/>
      <c r="OP9" s="14299"/>
      <c r="OQ9" s="590"/>
      <c r="OR9" s="1485" t="s">
        <v>486</v>
      </c>
      <c r="OT9" s="723"/>
      <c r="OU9" s="723" t="str">
        <f>IF(T9="","",T9)</f>
        <v>Добавить значение признака дифференциации</v>
      </c>
      <c r="OV9" s="723"/>
      <c r="OW9" s="723"/>
    </row>
    <row customHeight="1" ht="21" hidden="1">
      <c r="A10" s="1591"/>
      <c r="B10" s="1591"/>
      <c r="C10" s="1591"/>
      <c r="D10" s="1591"/>
      <c r="E10" s="2390"/>
      <c r="F10" s="2390"/>
      <c r="G10" s="2390"/>
      <c r="H10" s="2390"/>
      <c r="I10" s="2391"/>
      <c r="J10" s="1591"/>
      <c r="K10" s="1591"/>
      <c r="L10" s="1592"/>
      <c r="P10" s="2393"/>
      <c r="Q10" s="1709"/>
      <c r="R10" s="579"/>
      <c r="S10" s="1506"/>
      <c r="T10" s="588" t="s">
        <v>413</v>
      </c>
      <c r="U10" s="590"/>
      <c r="V10" s="590"/>
      <c r="W10" s="823"/>
      <c r="X10" s="823"/>
      <c r="Y10" s="823"/>
      <c r="Z10" s="823"/>
      <c r="AA10" s="823"/>
      <c r="AB10" s="823"/>
      <c r="AC10" s="590"/>
      <c r="AD10" s="590"/>
      <c r="AE10" s="590"/>
      <c r="AF10" s="589"/>
      <c r="AG10" s="590"/>
      <c r="AH10" s="823"/>
      <c r="AI10" s="823"/>
      <c r="AJ10" s="823"/>
      <c r="AK10" s="823"/>
      <c r="AL10" s="823"/>
      <c r="AM10" s="590"/>
      <c r="AN10" s="590"/>
      <c r="AO10" s="590"/>
      <c r="AP10" s="590"/>
      <c r="AQ10" s="589"/>
      <c r="AR10" s="6460"/>
      <c r="AS10" s="6461"/>
      <c r="AT10" s="6462"/>
      <c r="AU10" s="6463"/>
      <c r="AV10" s="6464"/>
      <c r="AW10" s="6465"/>
      <c r="AX10" s="6466"/>
      <c r="AY10" s="6467"/>
      <c r="AZ10" s="6468"/>
      <c r="BA10" s="6469"/>
      <c r="BB10" s="6470"/>
      <c r="BC10" s="6471"/>
      <c r="BD10" s="6472"/>
      <c r="BE10" s="6473"/>
      <c r="BF10" s="6474"/>
      <c r="BG10" s="6475"/>
      <c r="BH10" s="6476"/>
      <c r="BI10" s="6477"/>
      <c r="BJ10" s="6478"/>
      <c r="BK10" s="6479"/>
      <c r="BL10" s="6480"/>
      <c r="BM10" s="6481"/>
      <c r="BN10" s="9602"/>
      <c r="BO10" s="9603"/>
      <c r="BP10" s="9604"/>
      <c r="BQ10" s="9605"/>
      <c r="BR10" s="9606"/>
      <c r="BS10" s="9607"/>
      <c r="BT10" s="9608"/>
      <c r="BU10" s="9609"/>
      <c r="BV10" s="9610"/>
      <c r="BW10" s="9611"/>
      <c r="BX10" s="9612"/>
      <c r="BY10" s="9613"/>
      <c r="BZ10" s="9614"/>
      <c r="CA10" s="9615"/>
      <c r="CB10" s="9616"/>
      <c r="CC10" s="9617"/>
      <c r="CD10" s="9618"/>
      <c r="CE10" s="9619"/>
      <c r="CF10" s="9620"/>
      <c r="CG10" s="9621"/>
      <c r="CH10" s="9622"/>
      <c r="CI10" s="9623"/>
      <c r="CJ10" s="9624"/>
      <c r="CK10" s="9625"/>
      <c r="CL10" s="9626"/>
      <c r="CM10" s="9627"/>
      <c r="CN10" s="9628"/>
      <c r="CO10" s="9629"/>
      <c r="CP10" s="9630"/>
      <c r="CQ10" s="9631"/>
      <c r="CR10" s="9632"/>
      <c r="CS10" s="9633"/>
      <c r="CT10" s="9634"/>
      <c r="CU10" s="9635"/>
      <c r="CV10" s="9636"/>
      <c r="CW10" s="9637"/>
      <c r="CX10" s="9638"/>
      <c r="CY10" s="9639"/>
      <c r="CZ10" s="9640"/>
      <c r="DA10" s="9641"/>
      <c r="DB10" s="9642"/>
      <c r="DC10" s="9643"/>
      <c r="DD10" s="9644"/>
      <c r="DE10" s="9645"/>
      <c r="DF10" s="9646"/>
      <c r="DG10" s="9647"/>
      <c r="DH10" s="9648"/>
      <c r="DI10" s="9649"/>
      <c r="DJ10" s="9650"/>
      <c r="DK10" s="9651"/>
      <c r="DL10" s="9652"/>
      <c r="DM10" s="9653"/>
      <c r="DN10" s="9654"/>
      <c r="DO10" s="9655"/>
      <c r="DP10" s="9656"/>
      <c r="DQ10" s="9657"/>
      <c r="DR10" s="9658"/>
      <c r="DS10" s="9659"/>
      <c r="DT10" s="9660"/>
      <c r="DU10" s="9661"/>
      <c r="DV10" s="9662"/>
      <c r="DW10" s="9663"/>
      <c r="DX10" s="9664"/>
      <c r="DY10" s="9665"/>
      <c r="DZ10" s="9666"/>
      <c r="EA10" s="9667"/>
      <c r="EB10" s="9668"/>
      <c r="EC10" s="9669"/>
      <c r="ED10" s="9670"/>
      <c r="EE10" s="9671"/>
      <c r="EF10" s="9672"/>
      <c r="EG10" s="9673"/>
      <c r="EH10" s="9674"/>
      <c r="EI10" s="9675"/>
      <c r="EJ10" s="9676"/>
      <c r="EK10" s="9677"/>
      <c r="EL10" s="9678"/>
      <c r="EM10" s="9679"/>
      <c r="EN10" s="9680"/>
      <c r="EO10" s="9681"/>
      <c r="EP10" s="9682"/>
      <c r="EQ10" s="9683"/>
      <c r="ER10" s="9684"/>
      <c r="ES10" s="9685"/>
      <c r="ET10" s="9686"/>
      <c r="EU10" s="9687"/>
      <c r="EV10" s="9688"/>
      <c r="EW10" s="9689"/>
      <c r="EX10" s="9690"/>
      <c r="EY10" s="9691"/>
      <c r="EZ10" s="9692"/>
      <c r="FA10" s="9693"/>
      <c r="FB10" s="9694"/>
      <c r="FC10" s="9695"/>
      <c r="FD10" s="9696"/>
      <c r="FE10" s="9697"/>
      <c r="FF10" s="9698"/>
      <c r="FG10" s="9699"/>
      <c r="FH10" s="9700"/>
      <c r="FI10" s="9701"/>
      <c r="FJ10" s="9702"/>
      <c r="FK10" s="9703"/>
      <c r="FL10" s="9704"/>
      <c r="FM10" s="9705"/>
      <c r="FN10" s="9706"/>
      <c r="FO10" s="9707"/>
      <c r="FP10" s="9708"/>
      <c r="FQ10" s="9709"/>
      <c r="FR10" s="9710"/>
      <c r="FS10" s="9711"/>
      <c r="FT10" s="9712"/>
      <c r="FU10" s="9713"/>
      <c r="FV10" s="9714"/>
      <c r="FW10" s="9715"/>
      <c r="FX10" s="9716"/>
      <c r="FY10" s="9717"/>
      <c r="FZ10" s="9718"/>
      <c r="GA10" s="9719"/>
      <c r="GB10" s="9720"/>
      <c r="GC10" s="9721"/>
      <c r="GD10" s="9722"/>
      <c r="GE10" s="9723"/>
      <c r="GF10" s="9724"/>
      <c r="GG10" s="9725"/>
      <c r="GH10" s="9726"/>
      <c r="GI10" s="9727"/>
      <c r="GJ10" s="9728"/>
      <c r="GK10" s="9729"/>
      <c r="GL10" s="9730"/>
      <c r="GM10" s="9731"/>
      <c r="GN10" s="9732"/>
      <c r="GO10" s="9733"/>
      <c r="GP10" s="9734"/>
      <c r="GQ10" s="9735"/>
      <c r="GR10" s="9736"/>
      <c r="GS10" s="9737"/>
      <c r="GT10" s="9738"/>
      <c r="GU10" s="9739"/>
      <c r="GV10" s="9740"/>
      <c r="GW10" s="9741"/>
      <c r="GX10" s="9742"/>
      <c r="GY10" s="9743"/>
      <c r="GZ10" s="9744"/>
      <c r="HA10" s="9745"/>
      <c r="HB10" s="9746"/>
      <c r="HC10" s="9747"/>
      <c r="HD10" s="9748"/>
      <c r="HE10" s="9749"/>
      <c r="HF10" s="9750"/>
      <c r="HG10" s="9751"/>
      <c r="HH10" s="9752"/>
      <c r="HI10" s="9753"/>
      <c r="HJ10" s="9754"/>
      <c r="HK10" s="9755"/>
      <c r="HL10" s="9756"/>
      <c r="HM10" s="9757"/>
      <c r="HN10" s="9758"/>
      <c r="HO10" s="9759"/>
      <c r="HP10" s="9760"/>
      <c r="HQ10" s="9761"/>
      <c r="HR10" s="9762"/>
      <c r="HS10" s="9763"/>
      <c r="HT10" s="9764"/>
      <c r="HU10" s="9765"/>
      <c r="HV10" s="9766"/>
      <c r="HW10" s="9767"/>
      <c r="HX10" s="9768"/>
      <c r="HY10" s="9769"/>
      <c r="HZ10" s="9770"/>
      <c r="IA10" s="9771"/>
      <c r="IB10" s="9772"/>
      <c r="IC10" s="9773"/>
      <c r="ID10" s="9774"/>
      <c r="IE10" s="9775"/>
      <c r="IF10" s="9776"/>
      <c r="IG10" s="9777"/>
      <c r="IH10" s="9778"/>
      <c r="II10" s="9779"/>
      <c r="IJ10" s="9780"/>
      <c r="IK10" s="9781"/>
      <c r="IL10" s="9782"/>
      <c r="IM10" s="9783"/>
      <c r="IN10" s="9784"/>
      <c r="IO10" s="9785"/>
      <c r="IP10" s="9786"/>
      <c r="IQ10" s="9787"/>
      <c r="IR10" s="9788"/>
      <c r="IS10" s="9789"/>
      <c r="IT10" s="9790"/>
      <c r="IU10" s="9791"/>
      <c r="IV10" s="9792"/>
      <c r="IW10" s="9793"/>
      <c r="IX10" s="9794"/>
      <c r="IY10" s="9795"/>
      <c r="IZ10" s="9796"/>
      <c r="JA10" s="9797"/>
      <c r="JB10" s="9798"/>
      <c r="JC10" s="9799"/>
      <c r="JD10" s="9800"/>
      <c r="JE10" s="9801"/>
      <c r="JF10" s="9802"/>
      <c r="JG10" s="9803"/>
      <c r="JH10" s="9804"/>
      <c r="JI10" s="9805"/>
      <c r="JJ10" s="9806"/>
      <c r="JK10" s="9807"/>
      <c r="JL10" s="9808"/>
      <c r="JM10" s="9809"/>
      <c r="JN10" s="9810"/>
      <c r="JO10" s="9811"/>
      <c r="JP10" s="9812"/>
      <c r="JQ10" s="9813"/>
      <c r="JR10" s="9814"/>
      <c r="JS10" s="9815"/>
      <c r="JT10" s="9816"/>
      <c r="JU10" s="9817"/>
      <c r="JV10" s="9818"/>
      <c r="JW10" s="9819"/>
      <c r="JX10" s="9820"/>
      <c r="JY10" s="9821"/>
      <c r="JZ10" s="9822"/>
      <c r="KA10" s="9823"/>
      <c r="KB10" s="9824"/>
      <c r="KC10" s="9825"/>
      <c r="KD10" s="9826"/>
      <c r="KE10" s="9827"/>
      <c r="KF10" s="9828"/>
      <c r="KG10" s="9829"/>
      <c r="KH10" s="9830"/>
      <c r="KI10" s="9831"/>
      <c r="KJ10" s="9832"/>
      <c r="KK10" s="9833"/>
      <c r="KL10" s="9834"/>
      <c r="KM10" s="9835"/>
      <c r="KN10" s="9836"/>
      <c r="KO10" s="9837"/>
      <c r="KP10" s="9838"/>
      <c r="KQ10" s="9839"/>
      <c r="KR10" s="9840"/>
      <c r="KS10" s="9841"/>
      <c r="KT10" s="9842"/>
      <c r="KU10" s="9843"/>
      <c r="KV10" s="14564"/>
      <c r="KW10" s="14565"/>
      <c r="KX10" s="14566"/>
      <c r="KY10" s="14567"/>
      <c r="KZ10" s="14568"/>
      <c r="LA10" s="14569"/>
      <c r="LB10" s="14570"/>
      <c r="LC10" s="14571"/>
      <c r="LD10" s="14572"/>
      <c r="LE10" s="14573"/>
      <c r="LF10" s="14574"/>
      <c r="LG10" s="14575"/>
      <c r="LH10" s="14576"/>
      <c r="LI10" s="14577"/>
      <c r="LJ10" s="14578"/>
      <c r="LK10" s="14579"/>
      <c r="LL10" s="14580"/>
      <c r="LM10" s="14581"/>
      <c r="LN10" s="14582"/>
      <c r="LO10" s="14583"/>
      <c r="LP10" s="14584"/>
      <c r="LQ10" s="14585"/>
      <c r="LR10" s="14586"/>
      <c r="LS10" s="14587"/>
      <c r="LT10" s="14588"/>
      <c r="LU10" s="14589"/>
      <c r="LV10" s="14590"/>
      <c r="LW10" s="14591"/>
      <c r="LX10" s="14592"/>
      <c r="LY10" s="14593"/>
      <c r="LZ10" s="14594"/>
      <c r="MA10" s="14595"/>
      <c r="MB10" s="14596"/>
      <c r="MC10" s="14597"/>
      <c r="MD10" s="14598"/>
      <c r="ME10" s="14599"/>
      <c r="MF10" s="14600"/>
      <c r="MG10" s="14601"/>
      <c r="MH10" s="14602"/>
      <c r="MI10" s="14603"/>
      <c r="MJ10" s="14604"/>
      <c r="MK10" s="14605"/>
      <c r="ML10" s="14606"/>
      <c r="MM10" s="14607"/>
      <c r="MN10" s="14608"/>
      <c r="MO10" s="14609"/>
      <c r="MP10" s="14610"/>
      <c r="MQ10" s="14611"/>
      <c r="MR10" s="14612"/>
      <c r="MS10" s="14613"/>
      <c r="MT10" s="14614"/>
      <c r="MU10" s="14615"/>
      <c r="MV10" s="14616"/>
      <c r="MW10" s="14617"/>
      <c r="MX10" s="14618"/>
      <c r="MY10" s="14619"/>
      <c r="MZ10" s="14620"/>
      <c r="NA10" s="14621"/>
      <c r="NB10" s="14622"/>
      <c r="NC10" s="14623"/>
      <c r="ND10" s="14624"/>
      <c r="NE10" s="14625"/>
      <c r="NF10" s="14626"/>
      <c r="NG10" s="14627"/>
      <c r="NH10" s="14628"/>
      <c r="NI10" s="14629"/>
      <c r="NJ10" s="14630"/>
      <c r="NK10" s="14631"/>
      <c r="NL10" s="14632"/>
      <c r="NM10" s="14633"/>
      <c r="NN10" s="14634"/>
      <c r="NO10" s="14635"/>
      <c r="NP10" s="14636"/>
      <c r="NQ10" s="14637"/>
      <c r="NR10" s="14638"/>
      <c r="NS10" s="14639"/>
      <c r="NT10" s="14640"/>
      <c r="NU10" s="14641"/>
      <c r="NV10" s="14642"/>
      <c r="NW10" s="14643"/>
      <c r="NX10" s="14644"/>
      <c r="NY10" s="14645"/>
      <c r="NZ10" s="14646"/>
      <c r="OA10" s="14647"/>
      <c r="OB10" s="14648"/>
      <c r="OC10" s="14649"/>
      <c r="OD10" s="14650"/>
      <c r="OE10" s="14651"/>
      <c r="OF10" s="14652"/>
      <c r="OG10" s="14653"/>
      <c r="OH10" s="14654"/>
      <c r="OI10" s="14655"/>
      <c r="OJ10" s="14656"/>
      <c r="OK10" s="14657"/>
      <c r="OL10" s="14658"/>
      <c r="OM10" s="14659"/>
      <c r="ON10" s="14660"/>
      <c r="OO10" s="14661"/>
      <c r="OP10" s="14662"/>
      <c r="OQ10" s="590"/>
      <c r="OR10" s="1668"/>
      <c r="OT10" s="723"/>
      <c r="OU10" s="723" t="str">
        <f>IF(T10="","",T10)</f>
        <v>Добавить группу потребителей</v>
      </c>
      <c r="OV10" s="723"/>
      <c r="OW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487</v>
      </c>
      <c r="U11" s="590"/>
      <c r="V11" s="590"/>
      <c r="W11" s="823"/>
      <c r="X11" s="823"/>
      <c r="Y11" s="823"/>
      <c r="Z11" s="823"/>
      <c r="AA11" s="823"/>
      <c r="AB11" s="823"/>
      <c r="AC11" s="590"/>
      <c r="AD11" s="590"/>
      <c r="AE11" s="590"/>
      <c r="AF11" s="589"/>
      <c r="AG11" s="590"/>
      <c r="AH11" s="823"/>
      <c r="AI11" s="823"/>
      <c r="AJ11" s="823"/>
      <c r="AK11" s="823"/>
      <c r="AL11" s="823"/>
      <c r="AM11" s="590"/>
      <c r="AN11" s="590"/>
      <c r="AO11" s="590"/>
      <c r="AP11" s="590"/>
      <c r="AQ11" s="589"/>
      <c r="AR11" s="6482"/>
      <c r="AS11" s="6483"/>
      <c r="AT11" s="6484"/>
      <c r="AU11" s="6485"/>
      <c r="AV11" s="6486"/>
      <c r="AW11" s="6487"/>
      <c r="AX11" s="6488"/>
      <c r="AY11" s="6489"/>
      <c r="AZ11" s="6490"/>
      <c r="BA11" s="6491"/>
      <c r="BB11" s="6492"/>
      <c r="BC11" s="6493"/>
      <c r="BD11" s="6494"/>
      <c r="BE11" s="6495"/>
      <c r="BF11" s="6496"/>
      <c r="BG11" s="6497"/>
      <c r="BH11" s="6498"/>
      <c r="BI11" s="6499"/>
      <c r="BJ11" s="6500"/>
      <c r="BK11" s="6501"/>
      <c r="BL11" s="6502"/>
      <c r="BM11" s="6503"/>
      <c r="BN11" s="9866"/>
      <c r="BO11" s="9867"/>
      <c r="BP11" s="9868"/>
      <c r="BQ11" s="9869"/>
      <c r="BR11" s="9870"/>
      <c r="BS11" s="9871"/>
      <c r="BT11" s="9872"/>
      <c r="BU11" s="9873"/>
      <c r="BV11" s="9874"/>
      <c r="BW11" s="9875"/>
      <c r="BX11" s="9876"/>
      <c r="BY11" s="9877"/>
      <c r="BZ11" s="9878"/>
      <c r="CA11" s="9879"/>
      <c r="CB11" s="9880"/>
      <c r="CC11" s="9881"/>
      <c r="CD11" s="9882"/>
      <c r="CE11" s="9883"/>
      <c r="CF11" s="9884"/>
      <c r="CG11" s="9885"/>
      <c r="CH11" s="9886"/>
      <c r="CI11" s="9887"/>
      <c r="CJ11" s="9888"/>
      <c r="CK11" s="9889"/>
      <c r="CL11" s="9890"/>
      <c r="CM11" s="9891"/>
      <c r="CN11" s="9892"/>
      <c r="CO11" s="9893"/>
      <c r="CP11" s="9894"/>
      <c r="CQ11" s="9895"/>
      <c r="CR11" s="9896"/>
      <c r="CS11" s="9897"/>
      <c r="CT11" s="9898"/>
      <c r="CU11" s="9899"/>
      <c r="CV11" s="9900"/>
      <c r="CW11" s="9901"/>
      <c r="CX11" s="9902"/>
      <c r="CY11" s="9903"/>
      <c r="CZ11" s="9904"/>
      <c r="DA11" s="9905"/>
      <c r="DB11" s="9906"/>
      <c r="DC11" s="9907"/>
      <c r="DD11" s="9908"/>
      <c r="DE11" s="9909"/>
      <c r="DF11" s="9910"/>
      <c r="DG11" s="9911"/>
      <c r="DH11" s="9912"/>
      <c r="DI11" s="9913"/>
      <c r="DJ11" s="9914"/>
      <c r="DK11" s="9915"/>
      <c r="DL11" s="9916"/>
      <c r="DM11" s="9917"/>
      <c r="DN11" s="9918"/>
      <c r="DO11" s="9919"/>
      <c r="DP11" s="9920"/>
      <c r="DQ11" s="9921"/>
      <c r="DR11" s="9922"/>
      <c r="DS11" s="9923"/>
      <c r="DT11" s="9924"/>
      <c r="DU11" s="9925"/>
      <c r="DV11" s="9926"/>
      <c r="DW11" s="9927"/>
      <c r="DX11" s="9928"/>
      <c r="DY11" s="9929"/>
      <c r="DZ11" s="9930"/>
      <c r="EA11" s="9931"/>
      <c r="EB11" s="9932"/>
      <c r="EC11" s="9933"/>
      <c r="ED11" s="9934"/>
      <c r="EE11" s="9935"/>
      <c r="EF11" s="9936"/>
      <c r="EG11" s="9937"/>
      <c r="EH11" s="9938"/>
      <c r="EI11" s="9939"/>
      <c r="EJ11" s="9940"/>
      <c r="EK11" s="9941"/>
      <c r="EL11" s="9942"/>
      <c r="EM11" s="9943"/>
      <c r="EN11" s="9944"/>
      <c r="EO11" s="9945"/>
      <c r="EP11" s="9946"/>
      <c r="EQ11" s="9947"/>
      <c r="ER11" s="9948"/>
      <c r="ES11" s="9949"/>
      <c r="ET11" s="9950"/>
      <c r="EU11" s="9951"/>
      <c r="EV11" s="9952"/>
      <c r="EW11" s="9953"/>
      <c r="EX11" s="9954"/>
      <c r="EY11" s="9955"/>
      <c r="EZ11" s="9956"/>
      <c r="FA11" s="9957"/>
      <c r="FB11" s="9958"/>
      <c r="FC11" s="9959"/>
      <c r="FD11" s="9960"/>
      <c r="FE11" s="9961"/>
      <c r="FF11" s="9962"/>
      <c r="FG11" s="9963"/>
      <c r="FH11" s="9964"/>
      <c r="FI11" s="9965"/>
      <c r="FJ11" s="9966"/>
      <c r="FK11" s="9967"/>
      <c r="FL11" s="9968"/>
      <c r="FM11" s="9969"/>
      <c r="FN11" s="9970"/>
      <c r="FO11" s="9971"/>
      <c r="FP11" s="9972"/>
      <c r="FQ11" s="9973"/>
      <c r="FR11" s="9974"/>
      <c r="FS11" s="9975"/>
      <c r="FT11" s="9976"/>
      <c r="FU11" s="9977"/>
      <c r="FV11" s="9978"/>
      <c r="FW11" s="9979"/>
      <c r="FX11" s="9980"/>
      <c r="FY11" s="9981"/>
      <c r="FZ11" s="9982"/>
      <c r="GA11" s="9983"/>
      <c r="GB11" s="9984"/>
      <c r="GC11" s="9985"/>
      <c r="GD11" s="9986"/>
      <c r="GE11" s="9987"/>
      <c r="GF11" s="9988"/>
      <c r="GG11" s="9989"/>
      <c r="GH11" s="9990"/>
      <c r="GI11" s="9991"/>
      <c r="GJ11" s="9992"/>
      <c r="GK11" s="9993"/>
      <c r="GL11" s="9994"/>
      <c r="GM11" s="9995"/>
      <c r="GN11" s="9996"/>
      <c r="GO11" s="9997"/>
      <c r="GP11" s="9998"/>
      <c r="GQ11" s="9999"/>
      <c r="GR11" s="10000"/>
      <c r="GS11" s="10001"/>
      <c r="GT11" s="10002"/>
      <c r="GU11" s="10003"/>
      <c r="GV11" s="10004"/>
      <c r="GW11" s="10005"/>
      <c r="GX11" s="10006"/>
      <c r="GY11" s="10007"/>
      <c r="GZ11" s="10008"/>
      <c r="HA11" s="10009"/>
      <c r="HB11" s="10010"/>
      <c r="HC11" s="10011"/>
      <c r="HD11" s="10012"/>
      <c r="HE11" s="10013"/>
      <c r="HF11" s="10014"/>
      <c r="HG11" s="10015"/>
      <c r="HH11" s="10016"/>
      <c r="HI11" s="10017"/>
      <c r="HJ11" s="10018"/>
      <c r="HK11" s="10019"/>
      <c r="HL11" s="10020"/>
      <c r="HM11" s="10021"/>
      <c r="HN11" s="10022"/>
      <c r="HO11" s="10023"/>
      <c r="HP11" s="10024"/>
      <c r="HQ11" s="10025"/>
      <c r="HR11" s="10026"/>
      <c r="HS11" s="10027"/>
      <c r="HT11" s="10028"/>
      <c r="HU11" s="10029"/>
      <c r="HV11" s="10030"/>
      <c r="HW11" s="10031"/>
      <c r="HX11" s="10032"/>
      <c r="HY11" s="10033"/>
      <c r="HZ11" s="10034"/>
      <c r="IA11" s="10035"/>
      <c r="IB11" s="10036"/>
      <c r="IC11" s="10037"/>
      <c r="ID11" s="10038"/>
      <c r="IE11" s="10039"/>
      <c r="IF11" s="10040"/>
      <c r="IG11" s="10041"/>
      <c r="IH11" s="10042"/>
      <c r="II11" s="10043"/>
      <c r="IJ11" s="10044"/>
      <c r="IK11" s="10045"/>
      <c r="IL11" s="10046"/>
      <c r="IM11" s="10047"/>
      <c r="IN11" s="10048"/>
      <c r="IO11" s="10049"/>
      <c r="IP11" s="10050"/>
      <c r="IQ11" s="10051"/>
      <c r="IR11" s="10052"/>
      <c r="IS11" s="10053"/>
      <c r="IT11" s="10054"/>
      <c r="IU11" s="10055"/>
      <c r="IV11" s="10056"/>
      <c r="IW11" s="10057"/>
      <c r="IX11" s="10058"/>
      <c r="IY11" s="10059"/>
      <c r="IZ11" s="10060"/>
      <c r="JA11" s="10061"/>
      <c r="JB11" s="10062"/>
      <c r="JC11" s="10063"/>
      <c r="JD11" s="10064"/>
      <c r="JE11" s="10065"/>
      <c r="JF11" s="10066"/>
      <c r="JG11" s="10067"/>
      <c r="JH11" s="10068"/>
      <c r="JI11" s="10069"/>
      <c r="JJ11" s="10070"/>
      <c r="JK11" s="10071"/>
      <c r="JL11" s="10072"/>
      <c r="JM11" s="10073"/>
      <c r="JN11" s="10074"/>
      <c r="JO11" s="10075"/>
      <c r="JP11" s="10076"/>
      <c r="JQ11" s="10077"/>
      <c r="JR11" s="10078"/>
      <c r="JS11" s="10079"/>
      <c r="JT11" s="10080"/>
      <c r="JU11" s="10081"/>
      <c r="JV11" s="10082"/>
      <c r="JW11" s="10083"/>
      <c r="JX11" s="10084"/>
      <c r="JY11" s="10085"/>
      <c r="JZ11" s="10086"/>
      <c r="KA11" s="10087"/>
      <c r="KB11" s="10088"/>
      <c r="KC11" s="10089"/>
      <c r="KD11" s="10090"/>
      <c r="KE11" s="10091"/>
      <c r="KF11" s="10092"/>
      <c r="KG11" s="10093"/>
      <c r="KH11" s="10094"/>
      <c r="KI11" s="10095"/>
      <c r="KJ11" s="10096"/>
      <c r="KK11" s="10097"/>
      <c r="KL11" s="10098"/>
      <c r="KM11" s="10099"/>
      <c r="KN11" s="10100"/>
      <c r="KO11" s="10101"/>
      <c r="KP11" s="10102"/>
      <c r="KQ11" s="10103"/>
      <c r="KR11" s="10104"/>
      <c r="KS11" s="10105"/>
      <c r="KT11" s="10106"/>
      <c r="KU11" s="10107"/>
      <c r="KV11" s="14927"/>
      <c r="KW11" s="14928"/>
      <c r="KX11" s="14929"/>
      <c r="KY11" s="14930"/>
      <c r="KZ11" s="14931"/>
      <c r="LA11" s="14932"/>
      <c r="LB11" s="14933"/>
      <c r="LC11" s="14934"/>
      <c r="LD11" s="14935"/>
      <c r="LE11" s="14936"/>
      <c r="LF11" s="14937"/>
      <c r="LG11" s="14938"/>
      <c r="LH11" s="14939"/>
      <c r="LI11" s="14940"/>
      <c r="LJ11" s="14941"/>
      <c r="LK11" s="14942"/>
      <c r="LL11" s="14943"/>
      <c r="LM11" s="14944"/>
      <c r="LN11" s="14945"/>
      <c r="LO11" s="14946"/>
      <c r="LP11" s="14947"/>
      <c r="LQ11" s="14948"/>
      <c r="LR11" s="14949"/>
      <c r="LS11" s="14950"/>
      <c r="LT11" s="14951"/>
      <c r="LU11" s="14952"/>
      <c r="LV11" s="14953"/>
      <c r="LW11" s="14954"/>
      <c r="LX11" s="14955"/>
      <c r="LY11" s="14956"/>
      <c r="LZ11" s="14957"/>
      <c r="MA11" s="14958"/>
      <c r="MB11" s="14959"/>
      <c r="MC11" s="14960"/>
      <c r="MD11" s="14961"/>
      <c r="ME11" s="14962"/>
      <c r="MF11" s="14963"/>
      <c r="MG11" s="14964"/>
      <c r="MH11" s="14965"/>
      <c r="MI11" s="14966"/>
      <c r="MJ11" s="14967"/>
      <c r="MK11" s="14968"/>
      <c r="ML11" s="14969"/>
      <c r="MM11" s="14970"/>
      <c r="MN11" s="14971"/>
      <c r="MO11" s="14972"/>
      <c r="MP11" s="14973"/>
      <c r="MQ11" s="14974"/>
      <c r="MR11" s="14975"/>
      <c r="MS11" s="14976"/>
      <c r="MT11" s="14977"/>
      <c r="MU11" s="14978"/>
      <c r="MV11" s="14979"/>
      <c r="MW11" s="14980"/>
      <c r="MX11" s="14981"/>
      <c r="MY11" s="14982"/>
      <c r="MZ11" s="14983"/>
      <c r="NA11" s="14984"/>
      <c r="NB11" s="14985"/>
      <c r="NC11" s="14986"/>
      <c r="ND11" s="14987"/>
      <c r="NE11" s="14988"/>
      <c r="NF11" s="14989"/>
      <c r="NG11" s="14990"/>
      <c r="NH11" s="14991"/>
      <c r="NI11" s="14992"/>
      <c r="NJ11" s="14993"/>
      <c r="NK11" s="14994"/>
      <c r="NL11" s="14995"/>
      <c r="NM11" s="14996"/>
      <c r="NN11" s="14997"/>
      <c r="NO11" s="14998"/>
      <c r="NP11" s="14999"/>
      <c r="NQ11" s="15000"/>
      <c r="NR11" s="15001"/>
      <c r="NS11" s="15002"/>
      <c r="NT11" s="15003"/>
      <c r="NU11" s="15004"/>
      <c r="NV11" s="15005"/>
      <c r="NW11" s="15006"/>
      <c r="NX11" s="15007"/>
      <c r="NY11" s="15008"/>
      <c r="NZ11" s="15009"/>
      <c r="OA11" s="15010"/>
      <c r="OB11" s="15011"/>
      <c r="OC11" s="15012"/>
      <c r="OD11" s="15013"/>
      <c r="OE11" s="15014"/>
      <c r="OF11" s="15015"/>
      <c r="OG11" s="15016"/>
      <c r="OH11" s="15017"/>
      <c r="OI11" s="15018"/>
      <c r="OJ11" s="15019"/>
      <c r="OK11" s="15020"/>
      <c r="OL11" s="15021"/>
      <c r="OM11" s="15022"/>
      <c r="ON11" s="15023"/>
      <c r="OO11" s="15024"/>
      <c r="OP11" s="15025"/>
      <c r="OQ11" s="590"/>
      <c r="OR11" s="526"/>
      <c r="OT11" s="723"/>
      <c r="OU11" s="723" t="str">
        <f>IF(T11="","",T11)</f>
        <v>Добавить наименование признака дифференциации</v>
      </c>
      <c r="OV11" s="723"/>
      <c r="OW11" s="723"/>
    </row>
    <row s="13514"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252</v>
      </c>
      <c r="U12" s="1552"/>
      <c r="V12" s="1552"/>
      <c r="W12" s="1552"/>
      <c r="X12" s="1552"/>
      <c r="Y12" s="1552"/>
      <c r="Z12" s="1552"/>
      <c r="AA12" s="1552"/>
      <c r="AB12" s="1552"/>
      <c r="AC12" s="1552"/>
      <c r="AD12" s="1552"/>
      <c r="AE12" s="1552"/>
      <c r="AF12" s="1552"/>
      <c r="AG12" s="1552"/>
      <c r="AH12" s="1552"/>
      <c r="AI12" s="1552"/>
      <c r="AJ12" s="1552"/>
      <c r="AK12" s="1552"/>
      <c r="AL12" s="1552"/>
      <c r="AM12" s="1552"/>
      <c r="AN12" s="1552"/>
      <c r="AO12" s="1552"/>
      <c r="AP12" s="1552"/>
      <c r="AQ12" s="1552"/>
      <c r="AR12" s="6504"/>
      <c r="AS12" s="6504"/>
      <c r="AT12" s="6504"/>
      <c r="AU12" s="6504"/>
      <c r="AV12" s="6504"/>
      <c r="AW12" s="6504"/>
      <c r="AX12" s="6504"/>
      <c r="AY12" s="6504"/>
      <c r="AZ12" s="6504"/>
      <c r="BA12" s="6504"/>
      <c r="BB12" s="6504"/>
      <c r="BC12" s="6504"/>
      <c r="BD12" s="6504"/>
      <c r="BE12" s="6504"/>
      <c r="BF12" s="6504"/>
      <c r="BG12" s="6504"/>
      <c r="BH12" s="6504"/>
      <c r="BI12" s="6504"/>
      <c r="BJ12" s="6504"/>
      <c r="BK12" s="6504"/>
      <c r="BL12" s="6504"/>
      <c r="BM12" s="6504"/>
      <c r="BN12" s="10109"/>
      <c r="BO12" s="10109"/>
      <c r="BP12" s="10109"/>
      <c r="BQ12" s="10109"/>
      <c r="BR12" s="10109"/>
      <c r="BS12" s="10109"/>
      <c r="BT12" s="10109"/>
      <c r="BU12" s="10109"/>
      <c r="BV12" s="10109"/>
      <c r="BW12" s="10109"/>
      <c r="BX12" s="10109"/>
      <c r="BY12" s="10109"/>
      <c r="BZ12" s="10109"/>
      <c r="CA12" s="10109"/>
      <c r="CB12" s="10109"/>
      <c r="CC12" s="10109"/>
      <c r="CD12" s="10109"/>
      <c r="CE12" s="10109"/>
      <c r="CF12" s="10109"/>
      <c r="CG12" s="10109"/>
      <c r="CH12" s="10109"/>
      <c r="CI12" s="10109"/>
      <c r="CJ12" s="10109"/>
      <c r="CK12" s="10109"/>
      <c r="CL12" s="10109"/>
      <c r="CM12" s="10109"/>
      <c r="CN12" s="10109"/>
      <c r="CO12" s="10109"/>
      <c r="CP12" s="10109"/>
      <c r="CQ12" s="10109"/>
      <c r="CR12" s="10109"/>
      <c r="CS12" s="10109"/>
      <c r="CT12" s="10109"/>
      <c r="CU12" s="10109"/>
      <c r="CV12" s="10109"/>
      <c r="CW12" s="10109"/>
      <c r="CX12" s="10109"/>
      <c r="CY12" s="10109"/>
      <c r="CZ12" s="10109"/>
      <c r="DA12" s="10109"/>
      <c r="DB12" s="10109"/>
      <c r="DC12" s="10109"/>
      <c r="DD12" s="10109"/>
      <c r="DE12" s="10109"/>
      <c r="DF12" s="10109"/>
      <c r="DG12" s="10109"/>
      <c r="DH12" s="10109"/>
      <c r="DI12" s="10109"/>
      <c r="DJ12" s="10109"/>
      <c r="DK12" s="10109"/>
      <c r="DL12" s="10109"/>
      <c r="DM12" s="10109"/>
      <c r="DN12" s="10109"/>
      <c r="DO12" s="10109"/>
      <c r="DP12" s="10109"/>
      <c r="DQ12" s="10109"/>
      <c r="DR12" s="10109"/>
      <c r="DS12" s="10109"/>
      <c r="DT12" s="10109"/>
      <c r="DU12" s="10109"/>
      <c r="DV12" s="10109"/>
      <c r="DW12" s="10109"/>
      <c r="DX12" s="10109"/>
      <c r="DY12" s="10109"/>
      <c r="DZ12" s="10109"/>
      <c r="EA12" s="10109"/>
      <c r="EB12" s="10109"/>
      <c r="EC12" s="10109"/>
      <c r="ED12" s="10109"/>
      <c r="EE12" s="10109"/>
      <c r="EF12" s="10109"/>
      <c r="EG12" s="10109"/>
      <c r="EH12" s="10109"/>
      <c r="EI12" s="10109"/>
      <c r="EJ12" s="10109"/>
      <c r="EK12" s="10109"/>
      <c r="EL12" s="10109"/>
      <c r="EM12" s="10109"/>
      <c r="EN12" s="10109"/>
      <c r="EO12" s="10109"/>
      <c r="EP12" s="10109"/>
      <c r="EQ12" s="10109"/>
      <c r="ER12" s="10109"/>
      <c r="ES12" s="10109"/>
      <c r="ET12" s="10109"/>
      <c r="EU12" s="10109"/>
      <c r="EV12" s="10109"/>
      <c r="EW12" s="10109"/>
      <c r="EX12" s="10109"/>
      <c r="EY12" s="10109"/>
      <c r="EZ12" s="10109"/>
      <c r="FA12" s="10109"/>
      <c r="FB12" s="10109"/>
      <c r="FC12" s="10109"/>
      <c r="FD12" s="10109"/>
      <c r="FE12" s="10109"/>
      <c r="FF12" s="10109"/>
      <c r="FG12" s="10109"/>
      <c r="FH12" s="10109"/>
      <c r="FI12" s="10109"/>
      <c r="FJ12" s="10109"/>
      <c r="FK12" s="10109"/>
      <c r="FL12" s="10109"/>
      <c r="FM12" s="10109"/>
      <c r="FN12" s="10109"/>
      <c r="FO12" s="10109"/>
      <c r="FP12" s="10109"/>
      <c r="FQ12" s="10109"/>
      <c r="FR12" s="10109"/>
      <c r="FS12" s="10109"/>
      <c r="FT12" s="10109"/>
      <c r="FU12" s="10109"/>
      <c r="FV12" s="10109"/>
      <c r="FW12" s="10109"/>
      <c r="FX12" s="10109"/>
      <c r="FY12" s="10109"/>
      <c r="FZ12" s="10109"/>
      <c r="GA12" s="10109"/>
      <c r="GB12" s="10109"/>
      <c r="GC12" s="10109"/>
      <c r="GD12" s="10109"/>
      <c r="GE12" s="10109"/>
      <c r="GF12" s="10109"/>
      <c r="GG12" s="10109"/>
      <c r="GH12" s="10109"/>
      <c r="GI12" s="10109"/>
      <c r="GJ12" s="10109"/>
      <c r="GK12" s="10109"/>
      <c r="GL12" s="10109"/>
      <c r="GM12" s="10109"/>
      <c r="GN12" s="10109"/>
      <c r="GO12" s="10109"/>
      <c r="GP12" s="10109"/>
      <c r="GQ12" s="10109"/>
      <c r="GR12" s="10109"/>
      <c r="GS12" s="10109"/>
      <c r="GT12" s="10109"/>
      <c r="GU12" s="10109"/>
      <c r="GV12" s="10109"/>
      <c r="GW12" s="10109"/>
      <c r="GX12" s="10109"/>
      <c r="GY12" s="10109"/>
      <c r="GZ12" s="10109"/>
      <c r="HA12" s="10109"/>
      <c r="HB12" s="10109"/>
      <c r="HC12" s="10109"/>
      <c r="HD12" s="10109"/>
      <c r="HE12" s="10109"/>
      <c r="HF12" s="10109"/>
      <c r="HG12" s="10109"/>
      <c r="HH12" s="10109"/>
      <c r="HI12" s="10109"/>
      <c r="HJ12" s="10109"/>
      <c r="HK12" s="10109"/>
      <c r="HL12" s="10109"/>
      <c r="HM12" s="10109"/>
      <c r="HN12" s="10109"/>
      <c r="HO12" s="10109"/>
      <c r="HP12" s="10109"/>
      <c r="HQ12" s="10109"/>
      <c r="HR12" s="10109"/>
      <c r="HS12" s="10109"/>
      <c r="HT12" s="10109"/>
      <c r="HU12" s="10109"/>
      <c r="HV12" s="10109"/>
      <c r="HW12" s="10109"/>
      <c r="HX12" s="10109"/>
      <c r="HY12" s="10109"/>
      <c r="HZ12" s="10109"/>
      <c r="IA12" s="10109"/>
      <c r="IB12" s="10109"/>
      <c r="IC12" s="10109"/>
      <c r="ID12" s="10109"/>
      <c r="IE12" s="10109"/>
      <c r="IF12" s="10109"/>
      <c r="IG12" s="10109"/>
      <c r="IH12" s="10109"/>
      <c r="II12" s="10109"/>
      <c r="IJ12" s="10109"/>
      <c r="IK12" s="10109"/>
      <c r="IL12" s="10109"/>
      <c r="IM12" s="10109"/>
      <c r="IN12" s="10109"/>
      <c r="IO12" s="10109"/>
      <c r="IP12" s="10109"/>
      <c r="IQ12" s="10109"/>
      <c r="IR12" s="10109"/>
      <c r="IS12" s="10109"/>
      <c r="IT12" s="10109"/>
      <c r="IU12" s="10109"/>
      <c r="IV12" s="10109"/>
      <c r="IW12" s="10109"/>
      <c r="IX12" s="10109"/>
      <c r="IY12" s="10109"/>
      <c r="IZ12" s="10109"/>
      <c r="JA12" s="10109"/>
      <c r="JB12" s="10109"/>
      <c r="JC12" s="10109"/>
      <c r="JD12" s="10109"/>
      <c r="JE12" s="10109"/>
      <c r="JF12" s="10109"/>
      <c r="JG12" s="10109"/>
      <c r="JH12" s="10109"/>
      <c r="JI12" s="10109"/>
      <c r="JJ12" s="10109"/>
      <c r="JK12" s="10109"/>
      <c r="JL12" s="10109"/>
      <c r="JM12" s="10109"/>
      <c r="JN12" s="10109"/>
      <c r="JO12" s="10109"/>
      <c r="JP12" s="10109"/>
      <c r="JQ12" s="10109"/>
      <c r="JR12" s="10109"/>
      <c r="JS12" s="10109"/>
      <c r="JT12" s="10109"/>
      <c r="JU12" s="10109"/>
      <c r="JV12" s="10109"/>
      <c r="JW12" s="10109"/>
      <c r="JX12" s="10109"/>
      <c r="JY12" s="10109"/>
      <c r="JZ12" s="10109"/>
      <c r="KA12" s="10109"/>
      <c r="KB12" s="10109"/>
      <c r="KC12" s="10109"/>
      <c r="KD12" s="10109"/>
      <c r="KE12" s="10109"/>
      <c r="KF12" s="10109"/>
      <c r="KG12" s="10109"/>
      <c r="KH12" s="10109"/>
      <c r="KI12" s="10109"/>
      <c r="KJ12" s="10109"/>
      <c r="KK12" s="10109"/>
      <c r="KL12" s="10109"/>
      <c r="KM12" s="10109"/>
      <c r="KN12" s="10109"/>
      <c r="KO12" s="10109"/>
      <c r="KP12" s="10109"/>
      <c r="KQ12" s="10109"/>
      <c r="KR12" s="10109"/>
      <c r="KS12" s="10109"/>
      <c r="KT12" s="10109"/>
      <c r="KU12" s="10109"/>
      <c r="KV12" s="15028"/>
      <c r="KW12" s="15028"/>
      <c r="KX12" s="15028"/>
      <c r="KY12" s="15028"/>
      <c r="KZ12" s="15028"/>
      <c r="LA12" s="15028"/>
      <c r="LB12" s="15028"/>
      <c r="LC12" s="15028"/>
      <c r="LD12" s="15028"/>
      <c r="LE12" s="15028"/>
      <c r="LF12" s="15028"/>
      <c r="LG12" s="15028"/>
      <c r="LH12" s="15028"/>
      <c r="LI12" s="15028"/>
      <c r="LJ12" s="15028"/>
      <c r="LK12" s="15028"/>
      <c r="LL12" s="15028"/>
      <c r="LM12" s="15028"/>
      <c r="LN12" s="15028"/>
      <c r="LO12" s="15028"/>
      <c r="LP12" s="15028"/>
      <c r="LQ12" s="15028"/>
      <c r="LR12" s="15028"/>
      <c r="LS12" s="15028"/>
      <c r="LT12" s="15028"/>
      <c r="LU12" s="15028"/>
      <c r="LV12" s="15028"/>
      <c r="LW12" s="15028"/>
      <c r="LX12" s="15028"/>
      <c r="LY12" s="15028"/>
      <c r="LZ12" s="15028"/>
      <c r="MA12" s="15028"/>
      <c r="MB12" s="15028"/>
      <c r="MC12" s="15028"/>
      <c r="MD12" s="15028"/>
      <c r="ME12" s="15028"/>
      <c r="MF12" s="15028"/>
      <c r="MG12" s="15028"/>
      <c r="MH12" s="15028"/>
      <c r="MI12" s="15028"/>
      <c r="MJ12" s="15028"/>
      <c r="MK12" s="15028"/>
      <c r="ML12" s="15028"/>
      <c r="MM12" s="15028"/>
      <c r="MN12" s="15028"/>
      <c r="MO12" s="15028"/>
      <c r="MP12" s="15028"/>
      <c r="MQ12" s="15028"/>
      <c r="MR12" s="15028"/>
      <c r="MS12" s="15028"/>
      <c r="MT12" s="15028"/>
      <c r="MU12" s="15028"/>
      <c r="MV12" s="15028"/>
      <c r="MW12" s="15028"/>
      <c r="MX12" s="15028"/>
      <c r="MY12" s="15028"/>
      <c r="MZ12" s="15028"/>
      <c r="NA12" s="15028"/>
      <c r="NB12" s="15028"/>
      <c r="NC12" s="15028"/>
      <c r="ND12" s="15028"/>
      <c r="NE12" s="15028"/>
      <c r="NF12" s="15028"/>
      <c r="NG12" s="15028"/>
      <c r="NH12" s="15028"/>
      <c r="NI12" s="15028"/>
      <c r="NJ12" s="15028"/>
      <c r="NK12" s="15028"/>
      <c r="NL12" s="15028"/>
      <c r="NM12" s="15028"/>
      <c r="NN12" s="15028"/>
      <c r="NO12" s="15028"/>
      <c r="NP12" s="15028"/>
      <c r="NQ12" s="15028"/>
      <c r="NR12" s="15028"/>
      <c r="NS12" s="15028"/>
      <c r="NT12" s="15028"/>
      <c r="NU12" s="15028"/>
      <c r="NV12" s="15028"/>
      <c r="NW12" s="15028"/>
      <c r="NX12" s="15028"/>
      <c r="NY12" s="15028"/>
      <c r="NZ12" s="15028"/>
      <c r="OA12" s="15028"/>
      <c r="OB12" s="15028"/>
      <c r="OC12" s="15028"/>
      <c r="OD12" s="15028"/>
      <c r="OE12" s="15028"/>
      <c r="OF12" s="15028"/>
      <c r="OG12" s="15028"/>
      <c r="OH12" s="15028"/>
      <c r="OI12" s="15028"/>
      <c r="OJ12" s="15028"/>
      <c r="OK12" s="15028"/>
      <c r="OL12" s="15028"/>
      <c r="OM12" s="15028"/>
      <c r="ON12" s="15028"/>
      <c r="OO12" s="15028"/>
      <c r="OP12" s="15028"/>
      <c r="OQ12" s="1552"/>
      <c r="OR12" s="1552"/>
      <c r="OT12" s="1012"/>
      <c r="OU12" s="1012" t="str">
        <f>IF(T12="","",T12)</f>
        <v>Добавить централизованную систему для дифференциации</v>
      </c>
      <c r="OV12" s="1012"/>
      <c r="OW12" s="1012"/>
    </row>
    <row s="13606"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253</v>
      </c>
      <c r="U13" s="1552"/>
      <c r="V13" s="1552"/>
      <c r="W13" s="1552"/>
      <c r="X13" s="1552"/>
      <c r="Y13" s="1552"/>
      <c r="Z13" s="1552"/>
      <c r="AA13" s="1552"/>
      <c r="AB13" s="1552"/>
      <c r="AC13" s="1552"/>
      <c r="AD13" s="1552"/>
      <c r="AE13" s="1552"/>
      <c r="AF13" s="1552"/>
      <c r="AG13" s="1552"/>
      <c r="AH13" s="1552"/>
      <c r="AI13" s="1552"/>
      <c r="AJ13" s="1552"/>
      <c r="AK13" s="1552"/>
      <c r="AL13" s="1552"/>
      <c r="AM13" s="1552"/>
      <c r="AN13" s="1552"/>
      <c r="AO13" s="1552"/>
      <c r="AP13" s="1552"/>
      <c r="AQ13" s="1552"/>
      <c r="AR13" s="6504"/>
      <c r="AS13" s="6504"/>
      <c r="AT13" s="6504"/>
      <c r="AU13" s="6504"/>
      <c r="AV13" s="6504"/>
      <c r="AW13" s="6504"/>
      <c r="AX13" s="6504"/>
      <c r="AY13" s="6504"/>
      <c r="AZ13" s="6504"/>
      <c r="BA13" s="6504"/>
      <c r="BB13" s="6504"/>
      <c r="BC13" s="6504"/>
      <c r="BD13" s="6504"/>
      <c r="BE13" s="6504"/>
      <c r="BF13" s="6504"/>
      <c r="BG13" s="6504"/>
      <c r="BH13" s="6504"/>
      <c r="BI13" s="6504"/>
      <c r="BJ13" s="6504"/>
      <c r="BK13" s="6504"/>
      <c r="BL13" s="6504"/>
      <c r="BM13" s="6504"/>
      <c r="BN13" s="10109"/>
      <c r="BO13" s="10109"/>
      <c r="BP13" s="10109"/>
      <c r="BQ13" s="10109"/>
      <c r="BR13" s="10109"/>
      <c r="BS13" s="10109"/>
      <c r="BT13" s="10109"/>
      <c r="BU13" s="10109"/>
      <c r="BV13" s="10109"/>
      <c r="BW13" s="10109"/>
      <c r="BX13" s="10109"/>
      <c r="BY13" s="10109"/>
      <c r="BZ13" s="10109"/>
      <c r="CA13" s="10109"/>
      <c r="CB13" s="10109"/>
      <c r="CC13" s="10109"/>
      <c r="CD13" s="10109"/>
      <c r="CE13" s="10109"/>
      <c r="CF13" s="10109"/>
      <c r="CG13" s="10109"/>
      <c r="CH13" s="10109"/>
      <c r="CI13" s="10109"/>
      <c r="CJ13" s="10109"/>
      <c r="CK13" s="10109"/>
      <c r="CL13" s="10109"/>
      <c r="CM13" s="10109"/>
      <c r="CN13" s="10109"/>
      <c r="CO13" s="10109"/>
      <c r="CP13" s="10109"/>
      <c r="CQ13" s="10109"/>
      <c r="CR13" s="10109"/>
      <c r="CS13" s="10109"/>
      <c r="CT13" s="10109"/>
      <c r="CU13" s="10109"/>
      <c r="CV13" s="10109"/>
      <c r="CW13" s="10109"/>
      <c r="CX13" s="10109"/>
      <c r="CY13" s="10109"/>
      <c r="CZ13" s="10109"/>
      <c r="DA13" s="10109"/>
      <c r="DB13" s="10109"/>
      <c r="DC13" s="10109"/>
      <c r="DD13" s="10109"/>
      <c r="DE13" s="10109"/>
      <c r="DF13" s="10109"/>
      <c r="DG13" s="10109"/>
      <c r="DH13" s="10109"/>
      <c r="DI13" s="10109"/>
      <c r="DJ13" s="10109"/>
      <c r="DK13" s="10109"/>
      <c r="DL13" s="10109"/>
      <c r="DM13" s="10109"/>
      <c r="DN13" s="10109"/>
      <c r="DO13" s="10109"/>
      <c r="DP13" s="10109"/>
      <c r="DQ13" s="10109"/>
      <c r="DR13" s="10109"/>
      <c r="DS13" s="10109"/>
      <c r="DT13" s="10109"/>
      <c r="DU13" s="10109"/>
      <c r="DV13" s="10109"/>
      <c r="DW13" s="10109"/>
      <c r="DX13" s="10109"/>
      <c r="DY13" s="10109"/>
      <c r="DZ13" s="10109"/>
      <c r="EA13" s="10109"/>
      <c r="EB13" s="10109"/>
      <c r="EC13" s="10109"/>
      <c r="ED13" s="10109"/>
      <c r="EE13" s="10109"/>
      <c r="EF13" s="10109"/>
      <c r="EG13" s="10109"/>
      <c r="EH13" s="10109"/>
      <c r="EI13" s="10109"/>
      <c r="EJ13" s="10109"/>
      <c r="EK13" s="10109"/>
      <c r="EL13" s="10109"/>
      <c r="EM13" s="10109"/>
      <c r="EN13" s="10109"/>
      <c r="EO13" s="10109"/>
      <c r="EP13" s="10109"/>
      <c r="EQ13" s="10109"/>
      <c r="ER13" s="10109"/>
      <c r="ES13" s="10109"/>
      <c r="ET13" s="10109"/>
      <c r="EU13" s="10109"/>
      <c r="EV13" s="10109"/>
      <c r="EW13" s="10109"/>
      <c r="EX13" s="10109"/>
      <c r="EY13" s="10109"/>
      <c r="EZ13" s="10109"/>
      <c r="FA13" s="10109"/>
      <c r="FB13" s="10109"/>
      <c r="FC13" s="10109"/>
      <c r="FD13" s="10109"/>
      <c r="FE13" s="10109"/>
      <c r="FF13" s="10109"/>
      <c r="FG13" s="10109"/>
      <c r="FH13" s="10109"/>
      <c r="FI13" s="10109"/>
      <c r="FJ13" s="10109"/>
      <c r="FK13" s="10109"/>
      <c r="FL13" s="10109"/>
      <c r="FM13" s="10109"/>
      <c r="FN13" s="10109"/>
      <c r="FO13" s="10109"/>
      <c r="FP13" s="10109"/>
      <c r="FQ13" s="10109"/>
      <c r="FR13" s="10109"/>
      <c r="FS13" s="10109"/>
      <c r="FT13" s="10109"/>
      <c r="FU13" s="10109"/>
      <c r="FV13" s="10109"/>
      <c r="FW13" s="10109"/>
      <c r="FX13" s="10109"/>
      <c r="FY13" s="10109"/>
      <c r="FZ13" s="10109"/>
      <c r="GA13" s="10109"/>
      <c r="GB13" s="10109"/>
      <c r="GC13" s="10109"/>
      <c r="GD13" s="10109"/>
      <c r="GE13" s="10109"/>
      <c r="GF13" s="10109"/>
      <c r="GG13" s="10109"/>
      <c r="GH13" s="10109"/>
      <c r="GI13" s="10109"/>
      <c r="GJ13" s="10109"/>
      <c r="GK13" s="10109"/>
      <c r="GL13" s="10109"/>
      <c r="GM13" s="10109"/>
      <c r="GN13" s="10109"/>
      <c r="GO13" s="10109"/>
      <c r="GP13" s="10109"/>
      <c r="GQ13" s="10109"/>
      <c r="GR13" s="10109"/>
      <c r="GS13" s="10109"/>
      <c r="GT13" s="10109"/>
      <c r="GU13" s="10109"/>
      <c r="GV13" s="10109"/>
      <c r="GW13" s="10109"/>
      <c r="GX13" s="10109"/>
      <c r="GY13" s="10109"/>
      <c r="GZ13" s="10109"/>
      <c r="HA13" s="10109"/>
      <c r="HB13" s="10109"/>
      <c r="HC13" s="10109"/>
      <c r="HD13" s="10109"/>
      <c r="HE13" s="10109"/>
      <c r="HF13" s="10109"/>
      <c r="HG13" s="10109"/>
      <c r="HH13" s="10109"/>
      <c r="HI13" s="10109"/>
      <c r="HJ13" s="10109"/>
      <c r="HK13" s="10109"/>
      <c r="HL13" s="10109"/>
      <c r="HM13" s="10109"/>
      <c r="HN13" s="10109"/>
      <c r="HO13" s="10109"/>
      <c r="HP13" s="10109"/>
      <c r="HQ13" s="10109"/>
      <c r="HR13" s="10109"/>
      <c r="HS13" s="10109"/>
      <c r="HT13" s="10109"/>
      <c r="HU13" s="10109"/>
      <c r="HV13" s="10109"/>
      <c r="HW13" s="10109"/>
      <c r="HX13" s="10109"/>
      <c r="HY13" s="10109"/>
      <c r="HZ13" s="10109"/>
      <c r="IA13" s="10109"/>
      <c r="IB13" s="10109"/>
      <c r="IC13" s="10109"/>
      <c r="ID13" s="10109"/>
      <c r="IE13" s="10109"/>
      <c r="IF13" s="10109"/>
      <c r="IG13" s="10109"/>
      <c r="IH13" s="10109"/>
      <c r="II13" s="10109"/>
      <c r="IJ13" s="10109"/>
      <c r="IK13" s="10109"/>
      <c r="IL13" s="10109"/>
      <c r="IM13" s="10109"/>
      <c r="IN13" s="10109"/>
      <c r="IO13" s="10109"/>
      <c r="IP13" s="10109"/>
      <c r="IQ13" s="10109"/>
      <c r="IR13" s="10109"/>
      <c r="IS13" s="10109"/>
      <c r="IT13" s="10109"/>
      <c r="IU13" s="10109"/>
      <c r="IV13" s="10109"/>
      <c r="IW13" s="10109"/>
      <c r="IX13" s="10109"/>
      <c r="IY13" s="10109"/>
      <c r="IZ13" s="10109"/>
      <c r="JA13" s="10109"/>
      <c r="JB13" s="10109"/>
      <c r="JC13" s="10109"/>
      <c r="JD13" s="10109"/>
      <c r="JE13" s="10109"/>
      <c r="JF13" s="10109"/>
      <c r="JG13" s="10109"/>
      <c r="JH13" s="10109"/>
      <c r="JI13" s="10109"/>
      <c r="JJ13" s="10109"/>
      <c r="JK13" s="10109"/>
      <c r="JL13" s="10109"/>
      <c r="JM13" s="10109"/>
      <c r="JN13" s="10109"/>
      <c r="JO13" s="10109"/>
      <c r="JP13" s="10109"/>
      <c r="JQ13" s="10109"/>
      <c r="JR13" s="10109"/>
      <c r="JS13" s="10109"/>
      <c r="JT13" s="10109"/>
      <c r="JU13" s="10109"/>
      <c r="JV13" s="10109"/>
      <c r="JW13" s="10109"/>
      <c r="JX13" s="10109"/>
      <c r="JY13" s="10109"/>
      <c r="JZ13" s="10109"/>
      <c r="KA13" s="10109"/>
      <c r="KB13" s="10109"/>
      <c r="KC13" s="10109"/>
      <c r="KD13" s="10109"/>
      <c r="KE13" s="10109"/>
      <c r="KF13" s="10109"/>
      <c r="KG13" s="10109"/>
      <c r="KH13" s="10109"/>
      <c r="KI13" s="10109"/>
      <c r="KJ13" s="10109"/>
      <c r="KK13" s="10109"/>
      <c r="KL13" s="10109"/>
      <c r="KM13" s="10109"/>
      <c r="KN13" s="10109"/>
      <c r="KO13" s="10109"/>
      <c r="KP13" s="10109"/>
      <c r="KQ13" s="10109"/>
      <c r="KR13" s="10109"/>
      <c r="KS13" s="10109"/>
      <c r="KT13" s="10109"/>
      <c r="KU13" s="10109"/>
      <c r="KV13" s="15028"/>
      <c r="KW13" s="15028"/>
      <c r="KX13" s="15028"/>
      <c r="KY13" s="15028"/>
      <c r="KZ13" s="15028"/>
      <c r="LA13" s="15028"/>
      <c r="LB13" s="15028"/>
      <c r="LC13" s="15028"/>
      <c r="LD13" s="15028"/>
      <c r="LE13" s="15028"/>
      <c r="LF13" s="15028"/>
      <c r="LG13" s="15028"/>
      <c r="LH13" s="15028"/>
      <c r="LI13" s="15028"/>
      <c r="LJ13" s="15028"/>
      <c r="LK13" s="15028"/>
      <c r="LL13" s="15028"/>
      <c r="LM13" s="15028"/>
      <c r="LN13" s="15028"/>
      <c r="LO13" s="15028"/>
      <c r="LP13" s="15028"/>
      <c r="LQ13" s="15028"/>
      <c r="LR13" s="15028"/>
      <c r="LS13" s="15028"/>
      <c r="LT13" s="15028"/>
      <c r="LU13" s="15028"/>
      <c r="LV13" s="15028"/>
      <c r="LW13" s="15028"/>
      <c r="LX13" s="15028"/>
      <c r="LY13" s="15028"/>
      <c r="LZ13" s="15028"/>
      <c r="MA13" s="15028"/>
      <c r="MB13" s="15028"/>
      <c r="MC13" s="15028"/>
      <c r="MD13" s="15028"/>
      <c r="ME13" s="15028"/>
      <c r="MF13" s="15028"/>
      <c r="MG13" s="15028"/>
      <c r="MH13" s="15028"/>
      <c r="MI13" s="15028"/>
      <c r="MJ13" s="15028"/>
      <c r="MK13" s="15028"/>
      <c r="ML13" s="15028"/>
      <c r="MM13" s="15028"/>
      <c r="MN13" s="15028"/>
      <c r="MO13" s="15028"/>
      <c r="MP13" s="15028"/>
      <c r="MQ13" s="15028"/>
      <c r="MR13" s="15028"/>
      <c r="MS13" s="15028"/>
      <c r="MT13" s="15028"/>
      <c r="MU13" s="15028"/>
      <c r="MV13" s="15028"/>
      <c r="MW13" s="15028"/>
      <c r="MX13" s="15028"/>
      <c r="MY13" s="15028"/>
      <c r="MZ13" s="15028"/>
      <c r="NA13" s="15028"/>
      <c r="NB13" s="15028"/>
      <c r="NC13" s="15028"/>
      <c r="ND13" s="15028"/>
      <c r="NE13" s="15028"/>
      <c r="NF13" s="15028"/>
      <c r="NG13" s="15028"/>
      <c r="NH13" s="15028"/>
      <c r="NI13" s="15028"/>
      <c r="NJ13" s="15028"/>
      <c r="NK13" s="15028"/>
      <c r="NL13" s="15028"/>
      <c r="NM13" s="15028"/>
      <c r="NN13" s="15028"/>
      <c r="NO13" s="15028"/>
      <c r="NP13" s="15028"/>
      <c r="NQ13" s="15028"/>
      <c r="NR13" s="15028"/>
      <c r="NS13" s="15028"/>
      <c r="NT13" s="15028"/>
      <c r="NU13" s="15028"/>
      <c r="NV13" s="15028"/>
      <c r="NW13" s="15028"/>
      <c r="NX13" s="15028"/>
      <c r="NY13" s="15028"/>
      <c r="NZ13" s="15028"/>
      <c r="OA13" s="15028"/>
      <c r="OB13" s="15028"/>
      <c r="OC13" s="15028"/>
      <c r="OD13" s="15028"/>
      <c r="OE13" s="15028"/>
      <c r="OF13" s="15028"/>
      <c r="OG13" s="15028"/>
      <c r="OH13" s="15028"/>
      <c r="OI13" s="15028"/>
      <c r="OJ13" s="15028"/>
      <c r="OK13" s="15028"/>
      <c r="OL13" s="15028"/>
      <c r="OM13" s="15028"/>
      <c r="ON13" s="15028"/>
      <c r="OO13" s="15028"/>
      <c r="OP13" s="15028"/>
      <c r="OQ13" s="1552"/>
      <c r="OR13" s="1552"/>
      <c r="OT13" s="723"/>
      <c r="OU13" s="723" t="str">
        <f>IF(T13="","",T13)</f>
        <v>Добавить территорию для дифференциации</v>
      </c>
      <c r="OV13" s="723"/>
      <c r="OW13" s="723"/>
    </row>
    <row customHeight="1" ht="14.25" hidden="1">
      <c r="AF14" s="550"/>
      <c r="AQ14" s="550"/>
      <c r="AR14" s="6423"/>
      <c r="AS14" s="6423"/>
      <c r="AT14" s="6423"/>
      <c r="AU14" s="6423"/>
      <c r="AV14" s="6423"/>
      <c r="AW14" s="6423"/>
      <c r="AX14" s="6423"/>
      <c r="AY14" s="6423"/>
      <c r="AZ14" s="6423"/>
      <c r="BA14" s="6423"/>
      <c r="BB14" s="6423"/>
      <c r="BC14" s="6423"/>
      <c r="BD14" s="6423"/>
      <c r="BE14" s="6423"/>
      <c r="BF14" s="6423"/>
      <c r="BG14" s="6423"/>
      <c r="BH14" s="6423"/>
      <c r="BI14" s="6423"/>
      <c r="BJ14" s="6423"/>
      <c r="BK14" s="6423"/>
      <c r="BL14" s="6423"/>
      <c r="BM14" s="6423"/>
      <c r="BN14" s="9287"/>
      <c r="BO14" s="9287"/>
      <c r="BP14" s="9287"/>
      <c r="BQ14" s="9287"/>
      <c r="BR14" s="9287"/>
      <c r="BS14" s="9287"/>
      <c r="BT14" s="9287"/>
      <c r="BU14" s="9287"/>
      <c r="BV14" s="9287"/>
      <c r="BW14" s="9287"/>
      <c r="BX14" s="9287"/>
      <c r="BY14" s="9287"/>
      <c r="BZ14" s="9287"/>
      <c r="CA14" s="9287"/>
      <c r="CB14" s="9287"/>
      <c r="CC14" s="9287"/>
      <c r="CD14" s="9287"/>
      <c r="CE14" s="9287"/>
      <c r="CF14" s="9287"/>
      <c r="CG14" s="9287"/>
      <c r="CH14" s="9287"/>
      <c r="CI14" s="9287"/>
      <c r="CJ14" s="9287"/>
      <c r="CK14" s="9287"/>
      <c r="CL14" s="9287"/>
      <c r="CM14" s="9287"/>
      <c r="CN14" s="9287"/>
      <c r="CO14" s="9287"/>
      <c r="CP14" s="9287"/>
      <c r="CQ14" s="9287"/>
      <c r="CR14" s="9287"/>
      <c r="CS14" s="9287"/>
      <c r="CT14" s="9287"/>
      <c r="CU14" s="9287"/>
      <c r="CV14" s="9287"/>
      <c r="CW14" s="9287"/>
      <c r="CX14" s="9287"/>
      <c r="CY14" s="9287"/>
      <c r="CZ14" s="9287"/>
      <c r="DA14" s="9287"/>
      <c r="DB14" s="9287"/>
      <c r="DC14" s="9287"/>
      <c r="DD14" s="9287"/>
      <c r="DE14" s="9287"/>
      <c r="DF14" s="9287"/>
      <c r="DG14" s="9287"/>
      <c r="DH14" s="9287"/>
      <c r="DI14" s="9287"/>
      <c r="DJ14" s="9287"/>
      <c r="DK14" s="9287"/>
      <c r="DL14" s="9287"/>
      <c r="DM14" s="9287"/>
      <c r="DN14" s="9287"/>
      <c r="DO14" s="9287"/>
      <c r="DP14" s="9287"/>
      <c r="DQ14" s="9287"/>
      <c r="DR14" s="9287"/>
      <c r="DS14" s="9287"/>
      <c r="DT14" s="9287"/>
      <c r="DU14" s="9287"/>
      <c r="DV14" s="9287"/>
      <c r="DW14" s="9287"/>
      <c r="DX14" s="9287"/>
      <c r="DY14" s="9287"/>
      <c r="DZ14" s="9287"/>
      <c r="EA14" s="9287"/>
      <c r="EB14" s="9287"/>
      <c r="EC14" s="9287"/>
      <c r="ED14" s="9287"/>
      <c r="EE14" s="9287"/>
      <c r="EF14" s="9287"/>
      <c r="EG14" s="9287"/>
      <c r="EH14" s="9287"/>
      <c r="EI14" s="9287"/>
      <c r="EJ14" s="9287"/>
      <c r="EK14" s="9287"/>
      <c r="EL14" s="9287"/>
      <c r="EM14" s="9287"/>
      <c r="EN14" s="9287"/>
      <c r="EO14" s="9287"/>
      <c r="EP14" s="9287"/>
      <c r="EQ14" s="9287"/>
      <c r="ER14" s="9287"/>
      <c r="ES14" s="9287"/>
      <c r="ET14" s="9287"/>
      <c r="EU14" s="9287"/>
      <c r="EV14" s="9287"/>
      <c r="EW14" s="9287"/>
      <c r="EX14" s="9287"/>
      <c r="EY14" s="9287"/>
      <c r="EZ14" s="9287"/>
      <c r="FA14" s="9287"/>
      <c r="FB14" s="9287"/>
      <c r="FC14" s="9287"/>
      <c r="FD14" s="9287"/>
      <c r="FE14" s="9287"/>
      <c r="FF14" s="9287"/>
      <c r="FG14" s="9287"/>
      <c r="FH14" s="9287"/>
      <c r="FI14" s="9287"/>
      <c r="FJ14" s="9287"/>
      <c r="FK14" s="9287"/>
      <c r="FL14" s="9287"/>
      <c r="FM14" s="9287"/>
      <c r="FN14" s="9287"/>
      <c r="FO14" s="9287"/>
      <c r="FP14" s="9287"/>
      <c r="FQ14" s="9287"/>
      <c r="FR14" s="9287"/>
      <c r="FS14" s="9287"/>
      <c r="FT14" s="9287"/>
      <c r="FU14" s="9287"/>
      <c r="FV14" s="9287"/>
      <c r="FW14" s="9287"/>
      <c r="FX14" s="9287"/>
      <c r="FY14" s="9287"/>
      <c r="FZ14" s="9287"/>
      <c r="GA14" s="9287"/>
      <c r="GB14" s="9287"/>
      <c r="GC14" s="9287"/>
      <c r="GD14" s="9287"/>
      <c r="GE14" s="9287"/>
      <c r="GF14" s="9287"/>
      <c r="GG14" s="9287"/>
      <c r="GH14" s="9287"/>
      <c r="GI14" s="9287"/>
      <c r="GJ14" s="9287"/>
      <c r="GK14" s="9287"/>
      <c r="GL14" s="9287"/>
      <c r="GM14" s="9287"/>
      <c r="GN14" s="9287"/>
      <c r="GO14" s="9287"/>
      <c r="GP14" s="9287"/>
      <c r="GQ14" s="9287"/>
      <c r="GR14" s="9287"/>
      <c r="GS14" s="9287"/>
      <c r="GT14" s="9287"/>
      <c r="GU14" s="9287"/>
      <c r="GV14" s="9287"/>
      <c r="GW14" s="9287"/>
      <c r="GX14" s="9287"/>
      <c r="GY14" s="9287"/>
      <c r="GZ14" s="9287"/>
      <c r="HA14" s="9287"/>
      <c r="HB14" s="9287"/>
      <c r="HC14" s="9287"/>
      <c r="HD14" s="9287"/>
      <c r="HE14" s="9287"/>
      <c r="HF14" s="9287"/>
      <c r="HG14" s="9287"/>
      <c r="HH14" s="9287"/>
      <c r="HI14" s="9287"/>
      <c r="HJ14" s="9287"/>
      <c r="HK14" s="9287"/>
      <c r="HL14" s="9287"/>
      <c r="HM14" s="9287"/>
      <c r="HN14" s="9287"/>
      <c r="HO14" s="9287"/>
      <c r="HP14" s="9287"/>
      <c r="HQ14" s="9287"/>
      <c r="HR14" s="9287"/>
      <c r="HS14" s="9287"/>
      <c r="HT14" s="9287"/>
      <c r="HU14" s="9287"/>
      <c r="HV14" s="9287"/>
      <c r="HW14" s="9287"/>
      <c r="HX14" s="9287"/>
      <c r="HY14" s="9287"/>
      <c r="HZ14" s="9287"/>
      <c r="IA14" s="9287"/>
      <c r="IB14" s="9287"/>
      <c r="IC14" s="9287"/>
      <c r="ID14" s="9287"/>
      <c r="IE14" s="9287"/>
      <c r="IF14" s="9287"/>
      <c r="IG14" s="9287"/>
      <c r="IH14" s="9287"/>
      <c r="II14" s="9287"/>
      <c r="IJ14" s="9287"/>
      <c r="IK14" s="9287"/>
      <c r="IL14" s="9287"/>
      <c r="IM14" s="9287"/>
      <c r="IN14" s="9287"/>
      <c r="IO14" s="9287"/>
      <c r="IP14" s="9287"/>
      <c r="IQ14" s="9287"/>
      <c r="IR14" s="9287"/>
      <c r="IS14" s="9287"/>
      <c r="IT14" s="9287"/>
      <c r="IU14" s="9287"/>
      <c r="IV14" s="9287"/>
      <c r="IW14" s="9287"/>
      <c r="IX14" s="9287"/>
      <c r="IY14" s="9287"/>
      <c r="IZ14" s="9287"/>
      <c r="JA14" s="9287"/>
      <c r="JB14" s="9287"/>
      <c r="JC14" s="9287"/>
      <c r="JD14" s="9287"/>
      <c r="JE14" s="9287"/>
      <c r="JF14" s="9287"/>
      <c r="JG14" s="9287"/>
      <c r="JH14" s="9287"/>
      <c r="JI14" s="9287"/>
      <c r="JJ14" s="9287"/>
      <c r="JK14" s="9287"/>
      <c r="JL14" s="9287"/>
      <c r="JM14" s="9287"/>
      <c r="JN14" s="9287"/>
      <c r="JO14" s="9287"/>
      <c r="JP14" s="9287"/>
      <c r="JQ14" s="9287"/>
      <c r="JR14" s="9287"/>
      <c r="JS14" s="9287"/>
      <c r="JT14" s="9287"/>
      <c r="JU14" s="9287"/>
      <c r="JV14" s="9287"/>
      <c r="JW14" s="9287"/>
      <c r="JX14" s="9287"/>
      <c r="JY14" s="9287"/>
      <c r="JZ14" s="9287"/>
      <c r="KA14" s="9287"/>
      <c r="KB14" s="9287"/>
      <c r="KC14" s="9287"/>
      <c r="KD14" s="9287"/>
      <c r="KE14" s="9287"/>
      <c r="KF14" s="9287"/>
      <c r="KG14" s="9287"/>
      <c r="KH14" s="9287"/>
      <c r="KI14" s="9287"/>
      <c r="KJ14" s="9287"/>
      <c r="KK14" s="9287"/>
      <c r="KL14" s="9287"/>
      <c r="KM14" s="9287"/>
      <c r="KN14" s="9287"/>
      <c r="KO14" s="9287"/>
      <c r="KP14" s="9287"/>
      <c r="KQ14" s="9287"/>
      <c r="KR14" s="9287"/>
      <c r="KS14" s="9287"/>
      <c r="KT14" s="9287"/>
      <c r="KU14" s="9287"/>
      <c r="KV14" s="13894"/>
      <c r="KW14" s="13894"/>
      <c r="KX14" s="13894"/>
      <c r="KY14" s="13894"/>
      <c r="KZ14" s="13894"/>
      <c r="LA14" s="13894"/>
      <c r="LB14" s="13894"/>
      <c r="LC14" s="13894"/>
      <c r="LD14" s="13894"/>
      <c r="LE14" s="13894"/>
      <c r="LF14" s="13894"/>
      <c r="LG14" s="13894"/>
      <c r="LH14" s="13894"/>
      <c r="LI14" s="13894"/>
      <c r="LJ14" s="13894"/>
      <c r="LK14" s="13894"/>
      <c r="LL14" s="13894"/>
      <c r="LM14" s="13894"/>
      <c r="LN14" s="13894"/>
      <c r="LO14" s="13894"/>
      <c r="LP14" s="13894"/>
      <c r="LQ14" s="13894"/>
      <c r="LR14" s="13894"/>
      <c r="LS14" s="13894"/>
      <c r="LT14" s="13894"/>
      <c r="LU14" s="13894"/>
      <c r="LV14" s="13894"/>
      <c r="LW14" s="13894"/>
      <c r="LX14" s="13894"/>
      <c r="LY14" s="13894"/>
      <c r="LZ14" s="13894"/>
      <c r="MA14" s="13894"/>
      <c r="MB14" s="13894"/>
      <c r="MC14" s="13894"/>
      <c r="MD14" s="13894"/>
      <c r="ME14" s="13894"/>
      <c r="MF14" s="13894"/>
      <c r="MG14" s="13894"/>
      <c r="MH14" s="13894"/>
      <c r="MI14" s="13894"/>
      <c r="MJ14" s="13894"/>
      <c r="MK14" s="13894"/>
      <c r="ML14" s="13894"/>
      <c r="MM14" s="13894"/>
      <c r="MN14" s="13894"/>
      <c r="MO14" s="13894"/>
      <c r="MP14" s="13894"/>
      <c r="MQ14" s="13894"/>
      <c r="MR14" s="13894"/>
      <c r="MS14" s="13894"/>
      <c r="MT14" s="13894"/>
      <c r="MU14" s="13894"/>
      <c r="MV14" s="13894"/>
      <c r="MW14" s="13894"/>
      <c r="MX14" s="13894"/>
      <c r="MY14" s="13894"/>
      <c r="MZ14" s="13894"/>
      <c r="NA14" s="13894"/>
      <c r="NB14" s="13894"/>
      <c r="NC14" s="13894"/>
      <c r="ND14" s="13894"/>
      <c r="NE14" s="13894"/>
      <c r="NF14" s="13894"/>
      <c r="NG14" s="13894"/>
      <c r="NH14" s="13894"/>
      <c r="NI14" s="13894"/>
      <c r="NJ14" s="13894"/>
      <c r="NK14" s="13894"/>
      <c r="NL14" s="13894"/>
      <c r="NM14" s="13894"/>
      <c r="NN14" s="13894"/>
      <c r="NO14" s="13894"/>
      <c r="NP14" s="13894"/>
      <c r="NQ14" s="13894"/>
      <c r="NR14" s="13894"/>
      <c r="NS14" s="13894"/>
      <c r="NT14" s="13894"/>
      <c r="NU14" s="13894"/>
      <c r="NV14" s="13894"/>
      <c r="NW14" s="13894"/>
      <c r="NX14" s="13894"/>
      <c r="NY14" s="13894"/>
      <c r="NZ14" s="13894"/>
      <c r="OA14" s="13894"/>
      <c r="OB14" s="13894"/>
      <c r="OC14" s="13894"/>
      <c r="OD14" s="13894"/>
      <c r="OE14" s="13894"/>
      <c r="OF14" s="13894"/>
      <c r="OG14" s="13894"/>
      <c r="OH14" s="13894"/>
      <c r="OI14" s="13894"/>
      <c r="OJ14" s="13894"/>
      <c r="OK14" s="13894"/>
      <c r="OL14" s="13894"/>
      <c r="OM14" s="13894"/>
      <c r="ON14" s="13894"/>
      <c r="OO14" s="13894"/>
      <c r="OP14" s="13894"/>
    </row>
    <row customHeight="1" ht="14.25" hidden="1">
      <c r="AG15" s="1588"/>
      <c r="AH15" s="1588"/>
      <c r="AI15" s="1588"/>
      <c r="AJ15" s="1588"/>
      <c r="AK15" s="1588"/>
      <c r="AL15" s="1588"/>
      <c r="AM15" s="1588"/>
      <c r="AN15" s="2387"/>
      <c r="AO15" s="2386" t="s">
        <v>66</v>
      </c>
      <c r="AP15" s="2387"/>
      <c r="AQ15" s="2386" t="s">
        <v>66</v>
      </c>
      <c r="AR15" s="6423"/>
      <c r="AS15" s="6423"/>
      <c r="AT15" s="6423"/>
      <c r="AU15" s="6423"/>
      <c r="AV15" s="6423"/>
      <c r="AW15" s="6423"/>
      <c r="AX15" s="6423"/>
      <c r="AY15" s="6423"/>
      <c r="AZ15" s="6423"/>
      <c r="BA15" s="6423"/>
      <c r="BB15" s="6423"/>
      <c r="BC15" s="6423"/>
      <c r="BD15" s="6423"/>
      <c r="BE15" s="6423"/>
      <c r="BF15" s="6423"/>
      <c r="BG15" s="6423"/>
      <c r="BH15" s="6423"/>
      <c r="BI15" s="6423"/>
      <c r="BJ15" s="6423"/>
      <c r="BK15" s="6423"/>
      <c r="BL15" s="6423"/>
      <c r="BM15" s="6423"/>
      <c r="BN15" s="9287"/>
      <c r="BO15" s="9287"/>
      <c r="BP15" s="9287"/>
      <c r="BQ15" s="9287"/>
      <c r="BR15" s="9287"/>
      <c r="BS15" s="9287"/>
      <c r="BT15" s="9287"/>
      <c r="BU15" s="9287"/>
      <c r="BV15" s="9287"/>
      <c r="BW15" s="9287"/>
      <c r="BX15" s="9287"/>
      <c r="BY15" s="9287"/>
      <c r="BZ15" s="9287"/>
      <c r="CA15" s="9287"/>
      <c r="CB15" s="9287"/>
      <c r="CC15" s="9287"/>
      <c r="CD15" s="9287"/>
      <c r="CE15" s="9287"/>
      <c r="CF15" s="9287"/>
      <c r="CG15" s="9287"/>
      <c r="CH15" s="9287"/>
      <c r="CI15" s="9287"/>
      <c r="CJ15" s="9287"/>
      <c r="CK15" s="9287"/>
      <c r="CL15" s="9287"/>
      <c r="CM15" s="9287"/>
      <c r="CN15" s="9287"/>
      <c r="CO15" s="9287"/>
      <c r="CP15" s="9287"/>
      <c r="CQ15" s="9287"/>
      <c r="CR15" s="9287"/>
      <c r="CS15" s="9287"/>
      <c r="CT15" s="9287"/>
      <c r="CU15" s="9287"/>
      <c r="CV15" s="9287"/>
      <c r="CW15" s="9287"/>
      <c r="CX15" s="9287"/>
      <c r="CY15" s="9287"/>
      <c r="CZ15" s="9287"/>
      <c r="DA15" s="9287"/>
      <c r="DB15" s="9287"/>
      <c r="DC15" s="9287"/>
      <c r="DD15" s="9287"/>
      <c r="DE15" s="9287"/>
      <c r="DF15" s="9287"/>
      <c r="DG15" s="9287"/>
      <c r="DH15" s="9287"/>
      <c r="DI15" s="9287"/>
      <c r="DJ15" s="9287"/>
      <c r="DK15" s="9287"/>
      <c r="DL15" s="9287"/>
      <c r="DM15" s="9287"/>
      <c r="DN15" s="9287"/>
      <c r="DO15" s="9287"/>
      <c r="DP15" s="9287"/>
      <c r="DQ15" s="9287"/>
      <c r="DR15" s="9287"/>
      <c r="DS15" s="9287"/>
      <c r="DT15" s="9287"/>
      <c r="DU15" s="9287"/>
      <c r="DV15" s="9287"/>
      <c r="DW15" s="9287"/>
      <c r="DX15" s="9287"/>
      <c r="DY15" s="9287"/>
      <c r="DZ15" s="9287"/>
      <c r="EA15" s="9287"/>
      <c r="EB15" s="9287"/>
      <c r="EC15" s="9287"/>
      <c r="ED15" s="9287"/>
      <c r="EE15" s="9287"/>
      <c r="EF15" s="9287"/>
      <c r="EG15" s="9287"/>
      <c r="EH15" s="9287"/>
      <c r="EI15" s="9287"/>
      <c r="EJ15" s="9287"/>
      <c r="EK15" s="9287"/>
      <c r="EL15" s="9287"/>
      <c r="EM15" s="9287"/>
      <c r="EN15" s="9287"/>
      <c r="EO15" s="9287"/>
      <c r="EP15" s="9287"/>
      <c r="EQ15" s="9287"/>
      <c r="ER15" s="9287"/>
      <c r="ES15" s="9287"/>
      <c r="ET15" s="9287"/>
      <c r="EU15" s="9287"/>
      <c r="EV15" s="9287"/>
      <c r="EW15" s="9287"/>
      <c r="EX15" s="9287"/>
      <c r="EY15" s="9287"/>
      <c r="EZ15" s="9287"/>
      <c r="FA15" s="9287"/>
      <c r="FB15" s="9287"/>
      <c r="FC15" s="9287"/>
      <c r="FD15" s="9287"/>
      <c r="FE15" s="9287"/>
      <c r="FF15" s="9287"/>
      <c r="FG15" s="9287"/>
      <c r="FH15" s="9287"/>
      <c r="FI15" s="9287"/>
      <c r="FJ15" s="9287"/>
      <c r="FK15" s="9287"/>
      <c r="FL15" s="9287"/>
      <c r="FM15" s="9287"/>
      <c r="FN15" s="9287"/>
      <c r="FO15" s="9287"/>
      <c r="FP15" s="9287"/>
      <c r="FQ15" s="9287"/>
      <c r="FR15" s="9287"/>
      <c r="FS15" s="9287"/>
      <c r="FT15" s="9287"/>
      <c r="FU15" s="9287"/>
      <c r="FV15" s="9287"/>
      <c r="FW15" s="9287"/>
      <c r="FX15" s="9287"/>
      <c r="FY15" s="9287"/>
      <c r="FZ15" s="9287"/>
      <c r="GA15" s="9287"/>
      <c r="GB15" s="9287"/>
      <c r="GC15" s="9287"/>
      <c r="GD15" s="9287"/>
      <c r="GE15" s="9287"/>
      <c r="GF15" s="9287"/>
      <c r="GG15" s="9287"/>
      <c r="GH15" s="9287"/>
      <c r="GI15" s="9287"/>
      <c r="GJ15" s="9287"/>
      <c r="GK15" s="9287"/>
      <c r="GL15" s="9287"/>
      <c r="GM15" s="9287"/>
      <c r="GN15" s="9287"/>
      <c r="GO15" s="9287"/>
      <c r="GP15" s="9287"/>
      <c r="GQ15" s="9287"/>
      <c r="GR15" s="9287"/>
      <c r="GS15" s="9287"/>
      <c r="GT15" s="9287"/>
      <c r="GU15" s="9287"/>
      <c r="GV15" s="9287"/>
      <c r="GW15" s="9287"/>
      <c r="GX15" s="9287"/>
      <c r="GY15" s="9287"/>
      <c r="GZ15" s="9287"/>
      <c r="HA15" s="9287"/>
      <c r="HB15" s="9287"/>
      <c r="HC15" s="9287"/>
      <c r="HD15" s="9287"/>
      <c r="HE15" s="9287"/>
      <c r="HF15" s="9287"/>
      <c r="HG15" s="9287"/>
      <c r="HH15" s="9287"/>
      <c r="HI15" s="9287"/>
      <c r="HJ15" s="9287"/>
      <c r="HK15" s="9287"/>
      <c r="HL15" s="9287"/>
      <c r="HM15" s="9287"/>
      <c r="HN15" s="9287"/>
      <c r="HO15" s="9287"/>
      <c r="HP15" s="9287"/>
      <c r="HQ15" s="9287"/>
      <c r="HR15" s="9287"/>
      <c r="HS15" s="9287"/>
      <c r="HT15" s="9287"/>
      <c r="HU15" s="9287"/>
      <c r="HV15" s="9287"/>
      <c r="HW15" s="9287"/>
      <c r="HX15" s="9287"/>
      <c r="HY15" s="9287"/>
      <c r="HZ15" s="9287"/>
      <c r="IA15" s="9287"/>
      <c r="IB15" s="9287"/>
      <c r="IC15" s="9287"/>
      <c r="ID15" s="9287"/>
      <c r="IE15" s="9287"/>
      <c r="IF15" s="9287"/>
      <c r="IG15" s="9287"/>
      <c r="IH15" s="9287"/>
      <c r="II15" s="9287"/>
      <c r="IJ15" s="9287"/>
      <c r="IK15" s="9287"/>
      <c r="IL15" s="9287"/>
      <c r="IM15" s="9287"/>
      <c r="IN15" s="9287"/>
      <c r="IO15" s="9287"/>
      <c r="IP15" s="9287"/>
      <c r="IQ15" s="9287"/>
      <c r="IR15" s="9287"/>
      <c r="IS15" s="9287"/>
      <c r="IT15" s="9287"/>
      <c r="IU15" s="9287"/>
      <c r="IV15" s="9287"/>
      <c r="IW15" s="9287"/>
      <c r="IX15" s="9287"/>
      <c r="IY15" s="9287"/>
      <c r="IZ15" s="9287"/>
      <c r="JA15" s="9287"/>
      <c r="JB15" s="9287"/>
      <c r="JC15" s="9287"/>
      <c r="JD15" s="9287"/>
      <c r="JE15" s="9287"/>
      <c r="JF15" s="9287"/>
      <c r="JG15" s="9287"/>
      <c r="JH15" s="9287"/>
      <c r="JI15" s="9287"/>
      <c r="JJ15" s="9287"/>
      <c r="JK15" s="9287"/>
      <c r="JL15" s="9287"/>
      <c r="JM15" s="9287"/>
      <c r="JN15" s="9287"/>
      <c r="JO15" s="9287"/>
      <c r="JP15" s="9287"/>
      <c r="JQ15" s="9287"/>
      <c r="JR15" s="9287"/>
      <c r="JS15" s="9287"/>
      <c r="JT15" s="9287"/>
      <c r="JU15" s="9287"/>
      <c r="JV15" s="9287"/>
      <c r="JW15" s="9287"/>
      <c r="JX15" s="9287"/>
      <c r="JY15" s="9287"/>
      <c r="JZ15" s="9287"/>
      <c r="KA15" s="9287"/>
      <c r="KB15" s="9287"/>
      <c r="KC15" s="9287"/>
      <c r="KD15" s="9287"/>
      <c r="KE15" s="9287"/>
      <c r="KF15" s="9287"/>
      <c r="KG15" s="9287"/>
      <c r="KH15" s="9287"/>
      <c r="KI15" s="9287"/>
      <c r="KJ15" s="9287"/>
      <c r="KK15" s="9287"/>
      <c r="KL15" s="9287"/>
      <c r="KM15" s="9287"/>
      <c r="KN15" s="9287"/>
      <c r="KO15" s="9287"/>
      <c r="KP15" s="9287"/>
      <c r="KQ15" s="9287"/>
      <c r="KR15" s="9287"/>
      <c r="KS15" s="9287"/>
      <c r="KT15" s="9287"/>
      <c r="KU15" s="9287"/>
      <c r="KV15" s="13894"/>
      <c r="KW15" s="13894"/>
      <c r="KX15" s="13894"/>
      <c r="KY15" s="13894"/>
      <c r="KZ15" s="13894"/>
      <c r="LA15" s="13894"/>
      <c r="LB15" s="13894"/>
      <c r="LC15" s="13894"/>
      <c r="LD15" s="13894"/>
      <c r="LE15" s="13894"/>
      <c r="LF15" s="13894"/>
      <c r="LG15" s="13894"/>
      <c r="LH15" s="13894"/>
      <c r="LI15" s="13894"/>
      <c r="LJ15" s="13894"/>
      <c r="LK15" s="13894"/>
      <c r="LL15" s="13894"/>
      <c r="LM15" s="13894"/>
      <c r="LN15" s="13894"/>
      <c r="LO15" s="13894"/>
      <c r="LP15" s="13894"/>
      <c r="LQ15" s="13894"/>
      <c r="LR15" s="13894"/>
      <c r="LS15" s="13894"/>
      <c r="LT15" s="13894"/>
      <c r="LU15" s="13894"/>
      <c r="LV15" s="13894"/>
      <c r="LW15" s="13894"/>
      <c r="LX15" s="13894"/>
      <c r="LY15" s="13894"/>
      <c r="LZ15" s="13894"/>
      <c r="MA15" s="13894"/>
      <c r="MB15" s="13894"/>
      <c r="MC15" s="13894"/>
      <c r="MD15" s="13894"/>
      <c r="ME15" s="13894"/>
      <c r="MF15" s="13894"/>
      <c r="MG15" s="13894"/>
      <c r="MH15" s="13894"/>
      <c r="MI15" s="13894"/>
      <c r="MJ15" s="13894"/>
      <c r="MK15" s="13894"/>
      <c r="ML15" s="13894"/>
      <c r="MM15" s="13894"/>
      <c r="MN15" s="13894"/>
      <c r="MO15" s="13894"/>
      <c r="MP15" s="13894"/>
      <c r="MQ15" s="13894"/>
      <c r="MR15" s="13894"/>
      <c r="MS15" s="13894"/>
      <c r="MT15" s="13894"/>
      <c r="MU15" s="13894"/>
      <c r="MV15" s="13894"/>
      <c r="MW15" s="13894"/>
      <c r="MX15" s="13894"/>
      <c r="MY15" s="13894"/>
      <c r="MZ15" s="13894"/>
      <c r="NA15" s="13894"/>
      <c r="NB15" s="13894"/>
      <c r="NC15" s="13894"/>
      <c r="ND15" s="13894"/>
      <c r="NE15" s="13894"/>
      <c r="NF15" s="13894"/>
      <c r="NG15" s="13894"/>
      <c r="NH15" s="13894"/>
      <c r="NI15" s="13894"/>
      <c r="NJ15" s="13894"/>
      <c r="NK15" s="13894"/>
      <c r="NL15" s="13894"/>
      <c r="NM15" s="13894"/>
      <c r="NN15" s="13894"/>
      <c r="NO15" s="13894"/>
      <c r="NP15" s="13894"/>
      <c r="NQ15" s="13894"/>
      <c r="NR15" s="13894"/>
      <c r="NS15" s="13894"/>
      <c r="NT15" s="13894"/>
      <c r="NU15" s="13894"/>
      <c r="NV15" s="13894"/>
      <c r="NW15" s="13894"/>
      <c r="NX15" s="13894"/>
      <c r="NY15" s="13894"/>
      <c r="NZ15" s="13894"/>
      <c r="OA15" s="13894"/>
      <c r="OB15" s="13894"/>
      <c r="OC15" s="13894"/>
      <c r="OD15" s="13894"/>
      <c r="OE15" s="13894"/>
      <c r="OF15" s="13894"/>
      <c r="OG15" s="13894"/>
      <c r="OH15" s="13894"/>
      <c r="OI15" s="13894"/>
      <c r="OJ15" s="13894"/>
      <c r="OK15" s="13894"/>
      <c r="OL15" s="13894"/>
      <c r="OM15" s="13894"/>
      <c r="ON15" s="13894"/>
      <c r="OO15" s="13894"/>
      <c r="OP15" s="13894"/>
    </row>
    <row customHeight="1" ht="14.25" hidden="1">
      <c r="AG16" s="1588"/>
      <c r="AH16" s="1588"/>
      <c r="AI16" s="1588"/>
      <c r="AJ16" s="1588"/>
      <c r="AK16" s="1588"/>
      <c r="AL16" s="1588"/>
      <c r="AM16" s="1588"/>
      <c r="AN16" s="2386"/>
      <c r="AO16" s="2386"/>
      <c r="AP16" s="2386"/>
      <c r="AQ16" s="2386"/>
      <c r="AR16" s="6423"/>
      <c r="AS16" s="6423"/>
      <c r="AT16" s="6423"/>
      <c r="AU16" s="6423"/>
      <c r="AV16" s="6423"/>
      <c r="AW16" s="6423"/>
      <c r="AX16" s="6423"/>
      <c r="AY16" s="6423"/>
      <c r="AZ16" s="6423"/>
      <c r="BA16" s="6423"/>
      <c r="BB16" s="6423"/>
      <c r="BC16" s="6423"/>
      <c r="BD16" s="6423"/>
      <c r="BE16" s="6423"/>
      <c r="BF16" s="6423"/>
      <c r="BG16" s="6423"/>
      <c r="BH16" s="6423"/>
      <c r="BI16" s="6423"/>
      <c r="BJ16" s="6423"/>
      <c r="BK16" s="6423"/>
      <c r="BL16" s="6423"/>
      <c r="BM16" s="6423"/>
      <c r="BN16" s="9287"/>
      <c r="BO16" s="9287"/>
      <c r="BP16" s="9287"/>
      <c r="BQ16" s="9287"/>
      <c r="BR16" s="9287"/>
      <c r="BS16" s="9287"/>
      <c r="BT16" s="9287"/>
      <c r="BU16" s="9287"/>
      <c r="BV16" s="9287"/>
      <c r="BW16" s="9287"/>
      <c r="BX16" s="9287"/>
      <c r="BY16" s="9287"/>
      <c r="BZ16" s="9287"/>
      <c r="CA16" s="9287"/>
      <c r="CB16" s="9287"/>
      <c r="CC16" s="9287"/>
      <c r="CD16" s="9287"/>
      <c r="CE16" s="9287"/>
      <c r="CF16" s="9287"/>
      <c r="CG16" s="9287"/>
      <c r="CH16" s="9287"/>
      <c r="CI16" s="9287"/>
      <c r="CJ16" s="9287"/>
      <c r="CK16" s="9287"/>
      <c r="CL16" s="9287"/>
      <c r="CM16" s="9287"/>
      <c r="CN16" s="9287"/>
      <c r="CO16" s="9287"/>
      <c r="CP16" s="9287"/>
      <c r="CQ16" s="9287"/>
      <c r="CR16" s="9287"/>
      <c r="CS16" s="9287"/>
      <c r="CT16" s="9287"/>
      <c r="CU16" s="9287"/>
      <c r="CV16" s="9287"/>
      <c r="CW16" s="9287"/>
      <c r="CX16" s="9287"/>
      <c r="CY16" s="9287"/>
      <c r="CZ16" s="9287"/>
      <c r="DA16" s="9287"/>
      <c r="DB16" s="9287"/>
      <c r="DC16" s="9287"/>
      <c r="DD16" s="9287"/>
      <c r="DE16" s="9287"/>
      <c r="DF16" s="9287"/>
      <c r="DG16" s="9287"/>
      <c r="DH16" s="9287"/>
      <c r="DI16" s="9287"/>
      <c r="DJ16" s="9287"/>
      <c r="DK16" s="9287"/>
      <c r="DL16" s="9287"/>
      <c r="DM16" s="9287"/>
      <c r="DN16" s="9287"/>
      <c r="DO16" s="9287"/>
      <c r="DP16" s="9287"/>
      <c r="DQ16" s="9287"/>
      <c r="DR16" s="9287"/>
      <c r="DS16" s="9287"/>
      <c r="DT16" s="9287"/>
      <c r="DU16" s="9287"/>
      <c r="DV16" s="9287"/>
      <c r="DW16" s="9287"/>
      <c r="DX16" s="9287"/>
      <c r="DY16" s="9287"/>
      <c r="DZ16" s="9287"/>
      <c r="EA16" s="9287"/>
      <c r="EB16" s="9287"/>
      <c r="EC16" s="9287"/>
      <c r="ED16" s="9287"/>
      <c r="EE16" s="9287"/>
      <c r="EF16" s="9287"/>
      <c r="EG16" s="9287"/>
      <c r="EH16" s="9287"/>
      <c r="EI16" s="9287"/>
      <c r="EJ16" s="9287"/>
      <c r="EK16" s="9287"/>
      <c r="EL16" s="9287"/>
      <c r="EM16" s="9287"/>
      <c r="EN16" s="9287"/>
      <c r="EO16" s="9287"/>
      <c r="EP16" s="9287"/>
      <c r="EQ16" s="9287"/>
      <c r="ER16" s="9287"/>
      <c r="ES16" s="9287"/>
      <c r="ET16" s="9287"/>
      <c r="EU16" s="9287"/>
      <c r="EV16" s="9287"/>
      <c r="EW16" s="9287"/>
      <c r="EX16" s="9287"/>
      <c r="EY16" s="9287"/>
      <c r="EZ16" s="9287"/>
      <c r="FA16" s="9287"/>
      <c r="FB16" s="9287"/>
      <c r="FC16" s="9287"/>
      <c r="FD16" s="9287"/>
      <c r="FE16" s="9287"/>
      <c r="FF16" s="9287"/>
      <c r="FG16" s="9287"/>
      <c r="FH16" s="9287"/>
      <c r="FI16" s="9287"/>
      <c r="FJ16" s="9287"/>
      <c r="FK16" s="9287"/>
      <c r="FL16" s="9287"/>
      <c r="FM16" s="9287"/>
      <c r="FN16" s="9287"/>
      <c r="FO16" s="9287"/>
      <c r="FP16" s="9287"/>
      <c r="FQ16" s="9287"/>
      <c r="FR16" s="9287"/>
      <c r="FS16" s="9287"/>
      <c r="FT16" s="9287"/>
      <c r="FU16" s="9287"/>
      <c r="FV16" s="9287"/>
      <c r="FW16" s="9287"/>
      <c r="FX16" s="9287"/>
      <c r="FY16" s="9287"/>
      <c r="FZ16" s="9287"/>
      <c r="GA16" s="9287"/>
      <c r="GB16" s="9287"/>
      <c r="GC16" s="9287"/>
      <c r="GD16" s="9287"/>
      <c r="GE16" s="9287"/>
      <c r="GF16" s="9287"/>
      <c r="GG16" s="9287"/>
      <c r="GH16" s="9287"/>
      <c r="GI16" s="9287"/>
      <c r="GJ16" s="9287"/>
      <c r="GK16" s="9287"/>
      <c r="GL16" s="9287"/>
      <c r="GM16" s="9287"/>
      <c r="GN16" s="9287"/>
      <c r="GO16" s="9287"/>
      <c r="GP16" s="9287"/>
      <c r="GQ16" s="9287"/>
      <c r="GR16" s="9287"/>
      <c r="GS16" s="9287"/>
      <c r="GT16" s="9287"/>
      <c r="GU16" s="9287"/>
      <c r="GV16" s="9287"/>
      <c r="GW16" s="9287"/>
      <c r="GX16" s="9287"/>
      <c r="GY16" s="9287"/>
      <c r="GZ16" s="9287"/>
      <c r="HA16" s="9287"/>
      <c r="HB16" s="9287"/>
      <c r="HC16" s="9287"/>
      <c r="HD16" s="9287"/>
      <c r="HE16" s="9287"/>
      <c r="HF16" s="9287"/>
      <c r="HG16" s="9287"/>
      <c r="HH16" s="9287"/>
      <c r="HI16" s="9287"/>
      <c r="HJ16" s="9287"/>
      <c r="HK16" s="9287"/>
      <c r="HL16" s="9287"/>
      <c r="HM16" s="9287"/>
      <c r="HN16" s="9287"/>
      <c r="HO16" s="9287"/>
      <c r="HP16" s="9287"/>
      <c r="HQ16" s="9287"/>
      <c r="HR16" s="9287"/>
      <c r="HS16" s="9287"/>
      <c r="HT16" s="9287"/>
      <c r="HU16" s="9287"/>
      <c r="HV16" s="9287"/>
      <c r="HW16" s="9287"/>
      <c r="HX16" s="9287"/>
      <c r="HY16" s="9287"/>
      <c r="HZ16" s="9287"/>
      <c r="IA16" s="9287"/>
      <c r="IB16" s="9287"/>
      <c r="IC16" s="9287"/>
      <c r="ID16" s="9287"/>
      <c r="IE16" s="9287"/>
      <c r="IF16" s="9287"/>
      <c r="IG16" s="9287"/>
      <c r="IH16" s="9287"/>
      <c r="II16" s="9287"/>
      <c r="IJ16" s="9287"/>
      <c r="IK16" s="9287"/>
      <c r="IL16" s="9287"/>
      <c r="IM16" s="9287"/>
      <c r="IN16" s="9287"/>
      <c r="IO16" s="9287"/>
      <c r="IP16" s="9287"/>
      <c r="IQ16" s="9287"/>
      <c r="IR16" s="9287"/>
      <c r="IS16" s="9287"/>
      <c r="IT16" s="9287"/>
      <c r="IU16" s="9287"/>
      <c r="IV16" s="9287"/>
      <c r="IW16" s="9287"/>
      <c r="IX16" s="9287"/>
      <c r="IY16" s="9287"/>
      <c r="IZ16" s="9287"/>
      <c r="JA16" s="9287"/>
      <c r="JB16" s="9287"/>
      <c r="JC16" s="9287"/>
      <c r="JD16" s="9287"/>
      <c r="JE16" s="9287"/>
      <c r="JF16" s="9287"/>
      <c r="JG16" s="9287"/>
      <c r="JH16" s="9287"/>
      <c r="JI16" s="9287"/>
      <c r="JJ16" s="9287"/>
      <c r="JK16" s="9287"/>
      <c r="JL16" s="9287"/>
      <c r="JM16" s="9287"/>
      <c r="JN16" s="9287"/>
      <c r="JO16" s="9287"/>
      <c r="JP16" s="9287"/>
      <c r="JQ16" s="9287"/>
      <c r="JR16" s="9287"/>
      <c r="JS16" s="9287"/>
      <c r="JT16" s="9287"/>
      <c r="JU16" s="9287"/>
      <c r="JV16" s="9287"/>
      <c r="JW16" s="9287"/>
      <c r="JX16" s="9287"/>
      <c r="JY16" s="9287"/>
      <c r="JZ16" s="9287"/>
      <c r="KA16" s="9287"/>
      <c r="KB16" s="9287"/>
      <c r="KC16" s="9287"/>
      <c r="KD16" s="9287"/>
      <c r="KE16" s="9287"/>
      <c r="KF16" s="9287"/>
      <c r="KG16" s="9287"/>
      <c r="KH16" s="9287"/>
      <c r="KI16" s="9287"/>
      <c r="KJ16" s="9287"/>
      <c r="KK16" s="9287"/>
      <c r="KL16" s="9287"/>
      <c r="KM16" s="9287"/>
      <c r="KN16" s="9287"/>
      <c r="KO16" s="9287"/>
      <c r="KP16" s="9287"/>
      <c r="KQ16" s="9287"/>
      <c r="KR16" s="9287"/>
      <c r="KS16" s="9287"/>
      <c r="KT16" s="9287"/>
      <c r="KU16" s="9287"/>
      <c r="KV16" s="13894"/>
      <c r="KW16" s="13894"/>
      <c r="KX16" s="13894"/>
      <c r="KY16" s="13894"/>
      <c r="KZ16" s="13894"/>
      <c r="LA16" s="13894"/>
      <c r="LB16" s="13894"/>
      <c r="LC16" s="13894"/>
      <c r="LD16" s="13894"/>
      <c r="LE16" s="13894"/>
      <c r="LF16" s="13894"/>
      <c r="LG16" s="13894"/>
      <c r="LH16" s="13894"/>
      <c r="LI16" s="13894"/>
      <c r="LJ16" s="13894"/>
      <c r="LK16" s="13894"/>
      <c r="LL16" s="13894"/>
      <c r="LM16" s="13894"/>
      <c r="LN16" s="13894"/>
      <c r="LO16" s="13894"/>
      <c r="LP16" s="13894"/>
      <c r="LQ16" s="13894"/>
      <c r="LR16" s="13894"/>
      <c r="LS16" s="13894"/>
      <c r="LT16" s="13894"/>
      <c r="LU16" s="13894"/>
      <c r="LV16" s="13894"/>
      <c r="LW16" s="13894"/>
      <c r="LX16" s="13894"/>
      <c r="LY16" s="13894"/>
      <c r="LZ16" s="13894"/>
      <c r="MA16" s="13894"/>
      <c r="MB16" s="13894"/>
      <c r="MC16" s="13894"/>
      <c r="MD16" s="13894"/>
      <c r="ME16" s="13894"/>
      <c r="MF16" s="13894"/>
      <c r="MG16" s="13894"/>
      <c r="MH16" s="13894"/>
      <c r="MI16" s="13894"/>
      <c r="MJ16" s="13894"/>
      <c r="MK16" s="13894"/>
      <c r="ML16" s="13894"/>
      <c r="MM16" s="13894"/>
      <c r="MN16" s="13894"/>
      <c r="MO16" s="13894"/>
      <c r="MP16" s="13894"/>
      <c r="MQ16" s="13894"/>
      <c r="MR16" s="13894"/>
      <c r="MS16" s="13894"/>
      <c r="MT16" s="13894"/>
      <c r="MU16" s="13894"/>
      <c r="MV16" s="13894"/>
      <c r="MW16" s="13894"/>
      <c r="MX16" s="13894"/>
      <c r="MY16" s="13894"/>
      <c r="MZ16" s="13894"/>
      <c r="NA16" s="13894"/>
      <c r="NB16" s="13894"/>
      <c r="NC16" s="13894"/>
      <c r="ND16" s="13894"/>
      <c r="NE16" s="13894"/>
      <c r="NF16" s="13894"/>
      <c r="NG16" s="13894"/>
      <c r="NH16" s="13894"/>
      <c r="NI16" s="13894"/>
      <c r="NJ16" s="13894"/>
      <c r="NK16" s="13894"/>
      <c r="NL16" s="13894"/>
      <c r="NM16" s="13894"/>
      <c r="NN16" s="13894"/>
      <c r="NO16" s="13894"/>
      <c r="NP16" s="13894"/>
      <c r="NQ16" s="13894"/>
      <c r="NR16" s="13894"/>
      <c r="NS16" s="13894"/>
      <c r="NT16" s="13894"/>
      <c r="NU16" s="13894"/>
      <c r="NV16" s="13894"/>
      <c r="NW16" s="13894"/>
      <c r="NX16" s="13894"/>
      <c r="NY16" s="13894"/>
      <c r="NZ16" s="13894"/>
      <c r="OA16" s="13894"/>
      <c r="OB16" s="13894"/>
      <c r="OC16" s="13894"/>
      <c r="OD16" s="13894"/>
      <c r="OE16" s="13894"/>
      <c r="OF16" s="13894"/>
      <c r="OG16" s="13894"/>
      <c r="OH16" s="13894"/>
      <c r="OI16" s="13894"/>
      <c r="OJ16" s="13894"/>
      <c r="OK16" s="13894"/>
      <c r="OL16" s="13894"/>
      <c r="OM16" s="13894"/>
      <c r="ON16" s="13894"/>
      <c r="OO16" s="13894"/>
      <c r="OP16" s="13894"/>
    </row>
    <row customHeight="1" ht="14.25" hidden="1">
      <c r="AQ17" s="550"/>
      <c r="AR17" s="6423"/>
      <c r="AS17" s="6423"/>
      <c r="AT17" s="6423"/>
      <c r="AU17" s="6423"/>
      <c r="AV17" s="6423"/>
      <c r="AW17" s="6423"/>
      <c r="AX17" s="6423"/>
      <c r="AY17" s="6423"/>
      <c r="AZ17" s="6423"/>
      <c r="BA17" s="6423"/>
      <c r="BB17" s="6423"/>
      <c r="BC17" s="6423"/>
      <c r="BD17" s="6423"/>
      <c r="BE17" s="6423"/>
      <c r="BF17" s="6423"/>
      <c r="BG17" s="6423"/>
      <c r="BH17" s="6423"/>
      <c r="BI17" s="6423"/>
      <c r="BJ17" s="6423"/>
      <c r="BK17" s="6423"/>
      <c r="BL17" s="6423"/>
      <c r="BM17" s="6423"/>
      <c r="BN17" s="9287"/>
      <c r="BO17" s="9287"/>
      <c r="BP17" s="9287"/>
      <c r="BQ17" s="9287"/>
      <c r="BR17" s="9287"/>
      <c r="BS17" s="9287"/>
      <c r="BT17" s="9287"/>
      <c r="BU17" s="9287"/>
      <c r="BV17" s="9287"/>
      <c r="BW17" s="9287"/>
      <c r="BX17" s="9287"/>
      <c r="BY17" s="9287"/>
      <c r="BZ17" s="9287"/>
      <c r="CA17" s="9287"/>
      <c r="CB17" s="9287"/>
      <c r="CC17" s="9287"/>
      <c r="CD17" s="9287"/>
      <c r="CE17" s="9287"/>
      <c r="CF17" s="9287"/>
      <c r="CG17" s="9287"/>
      <c r="CH17" s="9287"/>
      <c r="CI17" s="9287"/>
      <c r="CJ17" s="9287"/>
      <c r="CK17" s="9287"/>
      <c r="CL17" s="9287"/>
      <c r="CM17" s="9287"/>
      <c r="CN17" s="9287"/>
      <c r="CO17" s="9287"/>
      <c r="CP17" s="9287"/>
      <c r="CQ17" s="9287"/>
      <c r="CR17" s="9287"/>
      <c r="CS17" s="9287"/>
      <c r="CT17" s="9287"/>
      <c r="CU17" s="9287"/>
      <c r="CV17" s="9287"/>
      <c r="CW17" s="9287"/>
      <c r="CX17" s="9287"/>
      <c r="CY17" s="9287"/>
      <c r="CZ17" s="9287"/>
      <c r="DA17" s="9287"/>
      <c r="DB17" s="9287"/>
      <c r="DC17" s="9287"/>
      <c r="DD17" s="9287"/>
      <c r="DE17" s="9287"/>
      <c r="DF17" s="9287"/>
      <c r="DG17" s="9287"/>
      <c r="DH17" s="9287"/>
      <c r="DI17" s="9287"/>
      <c r="DJ17" s="9287"/>
      <c r="DK17" s="9287"/>
      <c r="DL17" s="9287"/>
      <c r="DM17" s="9287"/>
      <c r="DN17" s="9287"/>
      <c r="DO17" s="9287"/>
      <c r="DP17" s="9287"/>
      <c r="DQ17" s="9287"/>
      <c r="DR17" s="9287"/>
      <c r="DS17" s="9287"/>
      <c r="DT17" s="9287"/>
      <c r="DU17" s="9287"/>
      <c r="DV17" s="9287"/>
      <c r="DW17" s="9287"/>
      <c r="DX17" s="9287"/>
      <c r="DY17" s="9287"/>
      <c r="DZ17" s="9287"/>
      <c r="EA17" s="9287"/>
      <c r="EB17" s="9287"/>
      <c r="EC17" s="9287"/>
      <c r="ED17" s="9287"/>
      <c r="EE17" s="9287"/>
      <c r="EF17" s="9287"/>
      <c r="EG17" s="9287"/>
      <c r="EH17" s="9287"/>
      <c r="EI17" s="9287"/>
      <c r="EJ17" s="9287"/>
      <c r="EK17" s="9287"/>
      <c r="EL17" s="9287"/>
      <c r="EM17" s="9287"/>
      <c r="EN17" s="9287"/>
      <c r="EO17" s="9287"/>
      <c r="EP17" s="9287"/>
      <c r="EQ17" s="9287"/>
      <c r="ER17" s="9287"/>
      <c r="ES17" s="9287"/>
      <c r="ET17" s="9287"/>
      <c r="EU17" s="9287"/>
      <c r="EV17" s="9287"/>
      <c r="EW17" s="9287"/>
      <c r="EX17" s="9287"/>
      <c r="EY17" s="9287"/>
      <c r="EZ17" s="9287"/>
      <c r="FA17" s="9287"/>
      <c r="FB17" s="9287"/>
      <c r="FC17" s="9287"/>
      <c r="FD17" s="9287"/>
      <c r="FE17" s="9287"/>
      <c r="FF17" s="9287"/>
      <c r="FG17" s="9287"/>
      <c r="FH17" s="9287"/>
      <c r="FI17" s="9287"/>
      <c r="FJ17" s="9287"/>
      <c r="FK17" s="9287"/>
      <c r="FL17" s="9287"/>
      <c r="FM17" s="9287"/>
      <c r="FN17" s="9287"/>
      <c r="FO17" s="9287"/>
      <c r="FP17" s="9287"/>
      <c r="FQ17" s="9287"/>
      <c r="FR17" s="9287"/>
      <c r="FS17" s="9287"/>
      <c r="FT17" s="9287"/>
      <c r="FU17" s="9287"/>
      <c r="FV17" s="9287"/>
      <c r="FW17" s="9287"/>
      <c r="FX17" s="9287"/>
      <c r="FY17" s="9287"/>
      <c r="FZ17" s="9287"/>
      <c r="GA17" s="9287"/>
      <c r="GB17" s="9287"/>
      <c r="GC17" s="9287"/>
      <c r="GD17" s="9287"/>
      <c r="GE17" s="9287"/>
      <c r="GF17" s="9287"/>
      <c r="GG17" s="9287"/>
      <c r="GH17" s="9287"/>
      <c r="GI17" s="9287"/>
      <c r="GJ17" s="9287"/>
      <c r="GK17" s="9287"/>
      <c r="GL17" s="9287"/>
      <c r="GM17" s="9287"/>
      <c r="GN17" s="9287"/>
      <c r="GO17" s="9287"/>
      <c r="GP17" s="9287"/>
      <c r="GQ17" s="9287"/>
      <c r="GR17" s="9287"/>
      <c r="GS17" s="9287"/>
      <c r="GT17" s="9287"/>
      <c r="GU17" s="9287"/>
      <c r="GV17" s="9287"/>
      <c r="GW17" s="9287"/>
      <c r="GX17" s="9287"/>
      <c r="GY17" s="9287"/>
      <c r="GZ17" s="9287"/>
      <c r="HA17" s="9287"/>
      <c r="HB17" s="9287"/>
      <c r="HC17" s="9287"/>
      <c r="HD17" s="9287"/>
      <c r="HE17" s="9287"/>
      <c r="HF17" s="9287"/>
      <c r="HG17" s="9287"/>
      <c r="HH17" s="9287"/>
      <c r="HI17" s="9287"/>
      <c r="HJ17" s="9287"/>
      <c r="HK17" s="9287"/>
      <c r="HL17" s="9287"/>
      <c r="HM17" s="9287"/>
      <c r="HN17" s="9287"/>
      <c r="HO17" s="9287"/>
      <c r="HP17" s="9287"/>
      <c r="HQ17" s="9287"/>
      <c r="HR17" s="9287"/>
      <c r="HS17" s="9287"/>
      <c r="HT17" s="9287"/>
      <c r="HU17" s="9287"/>
      <c r="HV17" s="9287"/>
      <c r="HW17" s="9287"/>
      <c r="HX17" s="9287"/>
      <c r="HY17" s="9287"/>
      <c r="HZ17" s="9287"/>
      <c r="IA17" s="9287"/>
      <c r="IB17" s="9287"/>
      <c r="IC17" s="9287"/>
      <c r="ID17" s="9287"/>
      <c r="IE17" s="9287"/>
      <c r="IF17" s="9287"/>
      <c r="IG17" s="9287"/>
      <c r="IH17" s="9287"/>
      <c r="II17" s="9287"/>
      <c r="IJ17" s="9287"/>
      <c r="IK17" s="9287"/>
      <c r="IL17" s="9287"/>
      <c r="IM17" s="9287"/>
      <c r="IN17" s="9287"/>
      <c r="IO17" s="9287"/>
      <c r="IP17" s="9287"/>
      <c r="IQ17" s="9287"/>
      <c r="IR17" s="9287"/>
      <c r="IS17" s="9287"/>
      <c r="IT17" s="9287"/>
      <c r="IU17" s="9287"/>
      <c r="IV17" s="9287"/>
      <c r="IW17" s="9287"/>
      <c r="IX17" s="9287"/>
      <c r="IY17" s="9287"/>
      <c r="IZ17" s="9287"/>
      <c r="JA17" s="9287"/>
      <c r="JB17" s="9287"/>
      <c r="JC17" s="9287"/>
      <c r="JD17" s="9287"/>
      <c r="JE17" s="9287"/>
      <c r="JF17" s="9287"/>
      <c r="JG17" s="9287"/>
      <c r="JH17" s="9287"/>
      <c r="JI17" s="9287"/>
      <c r="JJ17" s="9287"/>
      <c r="JK17" s="9287"/>
      <c r="JL17" s="9287"/>
      <c r="JM17" s="9287"/>
      <c r="JN17" s="9287"/>
      <c r="JO17" s="9287"/>
      <c r="JP17" s="9287"/>
      <c r="JQ17" s="9287"/>
      <c r="JR17" s="9287"/>
      <c r="JS17" s="9287"/>
      <c r="JT17" s="9287"/>
      <c r="JU17" s="9287"/>
      <c r="JV17" s="9287"/>
      <c r="JW17" s="9287"/>
      <c r="JX17" s="9287"/>
      <c r="JY17" s="9287"/>
      <c r="JZ17" s="9287"/>
      <c r="KA17" s="9287"/>
      <c r="KB17" s="9287"/>
      <c r="KC17" s="9287"/>
      <c r="KD17" s="9287"/>
      <c r="KE17" s="9287"/>
      <c r="KF17" s="9287"/>
      <c r="KG17" s="9287"/>
      <c r="KH17" s="9287"/>
      <c r="KI17" s="9287"/>
      <c r="KJ17" s="9287"/>
      <c r="KK17" s="9287"/>
      <c r="KL17" s="9287"/>
      <c r="KM17" s="9287"/>
      <c r="KN17" s="9287"/>
      <c r="KO17" s="9287"/>
      <c r="KP17" s="9287"/>
      <c r="KQ17" s="9287"/>
      <c r="KR17" s="9287"/>
      <c r="KS17" s="9287"/>
      <c r="KT17" s="9287"/>
      <c r="KU17" s="9287"/>
      <c r="KV17" s="13894"/>
      <c r="KW17" s="13894"/>
      <c r="KX17" s="13894"/>
      <c r="KY17" s="13894"/>
      <c r="KZ17" s="13894"/>
      <c r="LA17" s="13894"/>
      <c r="LB17" s="13894"/>
      <c r="LC17" s="13894"/>
      <c r="LD17" s="13894"/>
      <c r="LE17" s="13894"/>
      <c r="LF17" s="13894"/>
      <c r="LG17" s="13894"/>
      <c r="LH17" s="13894"/>
      <c r="LI17" s="13894"/>
      <c r="LJ17" s="13894"/>
      <c r="LK17" s="13894"/>
      <c r="LL17" s="13894"/>
      <c r="LM17" s="13894"/>
      <c r="LN17" s="13894"/>
      <c r="LO17" s="13894"/>
      <c r="LP17" s="13894"/>
      <c r="LQ17" s="13894"/>
      <c r="LR17" s="13894"/>
      <c r="LS17" s="13894"/>
      <c r="LT17" s="13894"/>
      <c r="LU17" s="13894"/>
      <c r="LV17" s="13894"/>
      <c r="LW17" s="13894"/>
      <c r="LX17" s="13894"/>
      <c r="LY17" s="13894"/>
      <c r="LZ17" s="13894"/>
      <c r="MA17" s="13894"/>
      <c r="MB17" s="13894"/>
      <c r="MC17" s="13894"/>
      <c r="MD17" s="13894"/>
      <c r="ME17" s="13894"/>
      <c r="MF17" s="13894"/>
      <c r="MG17" s="13894"/>
      <c r="MH17" s="13894"/>
      <c r="MI17" s="13894"/>
      <c r="MJ17" s="13894"/>
      <c r="MK17" s="13894"/>
      <c r="ML17" s="13894"/>
      <c r="MM17" s="13894"/>
      <c r="MN17" s="13894"/>
      <c r="MO17" s="13894"/>
      <c r="MP17" s="13894"/>
      <c r="MQ17" s="13894"/>
      <c r="MR17" s="13894"/>
      <c r="MS17" s="13894"/>
      <c r="MT17" s="13894"/>
      <c r="MU17" s="13894"/>
      <c r="MV17" s="13894"/>
      <c r="MW17" s="13894"/>
      <c r="MX17" s="13894"/>
      <c r="MY17" s="13894"/>
      <c r="MZ17" s="13894"/>
      <c r="NA17" s="13894"/>
      <c r="NB17" s="13894"/>
      <c r="NC17" s="13894"/>
      <c r="ND17" s="13894"/>
      <c r="NE17" s="13894"/>
      <c r="NF17" s="13894"/>
      <c r="NG17" s="13894"/>
      <c r="NH17" s="13894"/>
      <c r="NI17" s="13894"/>
      <c r="NJ17" s="13894"/>
      <c r="NK17" s="13894"/>
      <c r="NL17" s="13894"/>
      <c r="NM17" s="13894"/>
      <c r="NN17" s="13894"/>
      <c r="NO17" s="13894"/>
      <c r="NP17" s="13894"/>
      <c r="NQ17" s="13894"/>
      <c r="NR17" s="13894"/>
      <c r="NS17" s="13894"/>
      <c r="NT17" s="13894"/>
      <c r="NU17" s="13894"/>
      <c r="NV17" s="13894"/>
      <c r="NW17" s="13894"/>
      <c r="NX17" s="13894"/>
      <c r="NY17" s="13894"/>
      <c r="NZ17" s="13894"/>
      <c r="OA17" s="13894"/>
      <c r="OB17" s="13894"/>
      <c r="OC17" s="13894"/>
      <c r="OD17" s="13894"/>
      <c r="OE17" s="13894"/>
      <c r="OF17" s="13894"/>
      <c r="OG17" s="13894"/>
      <c r="OH17" s="13894"/>
      <c r="OI17" s="13894"/>
      <c r="OJ17" s="13894"/>
      <c r="OK17" s="13894"/>
      <c r="OL17" s="13894"/>
      <c r="OM17" s="13894"/>
      <c r="ON17" s="13894"/>
      <c r="OO17" s="13894"/>
      <c r="OP17" s="13894"/>
    </row>
    <row s="13533" customFormat="1" customHeight="1" ht="22.5" hidden="1">
      <c r="L18" s="1706"/>
      <c r="M18" s="1590"/>
      <c r="N18" s="1590"/>
      <c r="O18" s="1595" t="s">
        <v>416</v>
      </c>
      <c r="P18" s="1590"/>
      <c r="Q18" s="1599"/>
      <c r="R18" s="1599"/>
      <c r="S18" s="952"/>
      <c r="W18" s="1594"/>
      <c r="X18" s="1594"/>
      <c r="Y18" s="1594"/>
      <c r="Z18" s="1594"/>
      <c r="AA18" s="1594"/>
      <c r="AB18" s="1594"/>
      <c r="AC18" s="1595"/>
      <c r="AE18" s="1595"/>
      <c r="AF18" s="1594"/>
      <c r="AH18" s="1594"/>
      <c r="AI18" s="1594"/>
      <c r="AJ18" s="1594"/>
      <c r="AK18" s="1594"/>
      <c r="AL18" s="1594"/>
      <c r="AN18" s="1595"/>
      <c r="AP18" s="1595"/>
      <c r="AQ18" s="1594"/>
      <c r="AR18" s="6505"/>
      <c r="AS18" s="6505"/>
      <c r="AT18" s="6505"/>
      <c r="AU18" s="6505"/>
      <c r="AV18" s="6505"/>
      <c r="AW18" s="6505"/>
      <c r="AX18" s="6505"/>
      <c r="AY18" s="6506"/>
      <c r="AZ18" s="6505"/>
      <c r="BA18" s="6506"/>
      <c r="BB18" s="6505"/>
      <c r="BC18" s="6505"/>
      <c r="BD18" s="6505"/>
      <c r="BE18" s="6505"/>
      <c r="BF18" s="6505"/>
      <c r="BG18" s="6505"/>
      <c r="BH18" s="6505"/>
      <c r="BI18" s="6505"/>
      <c r="BJ18" s="6506"/>
      <c r="BK18" s="6505"/>
      <c r="BL18" s="6506"/>
      <c r="BM18" s="6505"/>
      <c r="BN18" s="10112"/>
      <c r="BO18" s="10112"/>
      <c r="BP18" s="10112"/>
      <c r="BQ18" s="10112"/>
      <c r="BR18" s="10112"/>
      <c r="BS18" s="10112"/>
      <c r="BT18" s="10112"/>
      <c r="BU18" s="10113"/>
      <c r="BV18" s="10112"/>
      <c r="BW18" s="10113"/>
      <c r="BX18" s="10112"/>
      <c r="BY18" s="10112"/>
      <c r="BZ18" s="10112"/>
      <c r="CA18" s="10112"/>
      <c r="CB18" s="10112"/>
      <c r="CC18" s="10112"/>
      <c r="CD18" s="10112"/>
      <c r="CE18" s="10112"/>
      <c r="CF18" s="10113"/>
      <c r="CG18" s="10112"/>
      <c r="CH18" s="10113"/>
      <c r="CI18" s="10112"/>
      <c r="CJ18" s="10112"/>
      <c r="CK18" s="10112"/>
      <c r="CL18" s="10112"/>
      <c r="CM18" s="10112"/>
      <c r="CN18" s="10112"/>
      <c r="CO18" s="10112"/>
      <c r="CP18" s="10112"/>
      <c r="CQ18" s="10113"/>
      <c r="CR18" s="10112"/>
      <c r="CS18" s="10113"/>
      <c r="CT18" s="10112"/>
      <c r="CU18" s="10112"/>
      <c r="CV18" s="10112"/>
      <c r="CW18" s="10112"/>
      <c r="CX18" s="10112"/>
      <c r="CY18" s="10112"/>
      <c r="CZ18" s="10112"/>
      <c r="DA18" s="10112"/>
      <c r="DB18" s="10113"/>
      <c r="DC18" s="10112"/>
      <c r="DD18" s="10113"/>
      <c r="DE18" s="10112"/>
      <c r="DF18" s="10112"/>
      <c r="DG18" s="10112"/>
      <c r="DH18" s="10112"/>
      <c r="DI18" s="10112"/>
      <c r="DJ18" s="10112"/>
      <c r="DK18" s="10112"/>
      <c r="DL18" s="10112"/>
      <c r="DM18" s="10113"/>
      <c r="DN18" s="10112"/>
      <c r="DO18" s="10113"/>
      <c r="DP18" s="10112"/>
      <c r="DQ18" s="10112"/>
      <c r="DR18" s="10112"/>
      <c r="DS18" s="10112"/>
      <c r="DT18" s="10112"/>
      <c r="DU18" s="10112"/>
      <c r="DV18" s="10112"/>
      <c r="DW18" s="10112"/>
      <c r="DX18" s="10113"/>
      <c r="DY18" s="10112"/>
      <c r="DZ18" s="10113"/>
      <c r="EA18" s="10112"/>
      <c r="EB18" s="10112"/>
      <c r="EC18" s="10112"/>
      <c r="ED18" s="10112"/>
      <c r="EE18" s="10112"/>
      <c r="EF18" s="10112"/>
      <c r="EG18" s="10112"/>
      <c r="EH18" s="10112"/>
      <c r="EI18" s="10113"/>
      <c r="EJ18" s="10112"/>
      <c r="EK18" s="10113"/>
      <c r="EL18" s="10112"/>
      <c r="EM18" s="10112"/>
      <c r="EN18" s="10112"/>
      <c r="EO18" s="10112"/>
      <c r="EP18" s="10112"/>
      <c r="EQ18" s="10112"/>
      <c r="ER18" s="10112"/>
      <c r="ES18" s="10112"/>
      <c r="ET18" s="10113"/>
      <c r="EU18" s="10112"/>
      <c r="EV18" s="10113"/>
      <c r="EW18" s="10112"/>
      <c r="EX18" s="10112"/>
      <c r="EY18" s="10112"/>
      <c r="EZ18" s="10112"/>
      <c r="FA18" s="10112"/>
      <c r="FB18" s="10112"/>
      <c r="FC18" s="10112"/>
      <c r="FD18" s="10112"/>
      <c r="FE18" s="10113"/>
      <c r="FF18" s="10112"/>
      <c r="FG18" s="10113"/>
      <c r="FH18" s="10112"/>
      <c r="FI18" s="10112"/>
      <c r="FJ18" s="10112"/>
      <c r="FK18" s="10112"/>
      <c r="FL18" s="10112"/>
      <c r="FM18" s="10112"/>
      <c r="FN18" s="10112"/>
      <c r="FO18" s="10112"/>
      <c r="FP18" s="10113"/>
      <c r="FQ18" s="10112"/>
      <c r="FR18" s="10113"/>
      <c r="FS18" s="10112"/>
      <c r="FT18" s="10112"/>
      <c r="FU18" s="10112"/>
      <c r="FV18" s="10112"/>
      <c r="FW18" s="10112"/>
      <c r="FX18" s="10112"/>
      <c r="FY18" s="10112"/>
      <c r="FZ18" s="10112"/>
      <c r="GA18" s="10113"/>
      <c r="GB18" s="10112"/>
      <c r="GC18" s="10113"/>
      <c r="GD18" s="10112"/>
      <c r="GE18" s="10112"/>
      <c r="GF18" s="10112"/>
      <c r="GG18" s="10112"/>
      <c r="GH18" s="10112"/>
      <c r="GI18" s="10112"/>
      <c r="GJ18" s="10112"/>
      <c r="GK18" s="10112"/>
      <c r="GL18" s="10113"/>
      <c r="GM18" s="10112"/>
      <c r="GN18" s="10113"/>
      <c r="GO18" s="10112"/>
      <c r="GP18" s="10112"/>
      <c r="GQ18" s="10112"/>
      <c r="GR18" s="10112"/>
      <c r="GS18" s="10112"/>
      <c r="GT18" s="10112"/>
      <c r="GU18" s="10112"/>
      <c r="GV18" s="10112"/>
      <c r="GW18" s="10113"/>
      <c r="GX18" s="10112"/>
      <c r="GY18" s="10113"/>
      <c r="GZ18" s="10112"/>
      <c r="HA18" s="10112"/>
      <c r="HB18" s="10112"/>
      <c r="HC18" s="10112"/>
      <c r="HD18" s="10112"/>
      <c r="HE18" s="10112"/>
      <c r="HF18" s="10112"/>
      <c r="HG18" s="10112"/>
      <c r="HH18" s="10113"/>
      <c r="HI18" s="10112"/>
      <c r="HJ18" s="10113"/>
      <c r="HK18" s="10112"/>
      <c r="HL18" s="10112"/>
      <c r="HM18" s="10112"/>
      <c r="HN18" s="10112"/>
      <c r="HO18" s="10112"/>
      <c r="HP18" s="10112"/>
      <c r="HQ18" s="10112"/>
      <c r="HR18" s="10112"/>
      <c r="HS18" s="10113"/>
      <c r="HT18" s="10112"/>
      <c r="HU18" s="10113"/>
      <c r="HV18" s="10112"/>
      <c r="HW18" s="10112"/>
      <c r="HX18" s="10112"/>
      <c r="HY18" s="10112"/>
      <c r="HZ18" s="10112"/>
      <c r="IA18" s="10112"/>
      <c r="IB18" s="10112"/>
      <c r="IC18" s="10112"/>
      <c r="ID18" s="10113"/>
      <c r="IE18" s="10112"/>
      <c r="IF18" s="10113"/>
      <c r="IG18" s="10112"/>
      <c r="IH18" s="10112"/>
      <c r="II18" s="10112"/>
      <c r="IJ18" s="10112"/>
      <c r="IK18" s="10112"/>
      <c r="IL18" s="10112"/>
      <c r="IM18" s="10112"/>
      <c r="IN18" s="10112"/>
      <c r="IO18" s="10113"/>
      <c r="IP18" s="10112"/>
      <c r="IQ18" s="10113"/>
      <c r="IR18" s="10112"/>
      <c r="IS18" s="10112"/>
      <c r="IT18" s="10112"/>
      <c r="IU18" s="10112"/>
      <c r="IV18" s="10112"/>
      <c r="IW18" s="10112"/>
      <c r="IX18" s="10112"/>
      <c r="IY18" s="10112"/>
      <c r="IZ18" s="10113"/>
      <c r="JA18" s="10112"/>
      <c r="JB18" s="10113"/>
      <c r="JC18" s="10112"/>
      <c r="JD18" s="10112"/>
      <c r="JE18" s="10112"/>
      <c r="JF18" s="10112"/>
      <c r="JG18" s="10112"/>
      <c r="JH18" s="10112"/>
      <c r="JI18" s="10112"/>
      <c r="JJ18" s="10112"/>
      <c r="JK18" s="10113"/>
      <c r="JL18" s="10112"/>
      <c r="JM18" s="10113"/>
      <c r="JN18" s="10112"/>
      <c r="JO18" s="10112"/>
      <c r="JP18" s="10112"/>
      <c r="JQ18" s="10112"/>
      <c r="JR18" s="10112"/>
      <c r="JS18" s="10112"/>
      <c r="JT18" s="10112"/>
      <c r="JU18" s="10112"/>
      <c r="JV18" s="10113"/>
      <c r="JW18" s="10112"/>
      <c r="JX18" s="10113"/>
      <c r="JY18" s="10112"/>
      <c r="JZ18" s="10112"/>
      <c r="KA18" s="10112"/>
      <c r="KB18" s="10112"/>
      <c r="KC18" s="10112"/>
      <c r="KD18" s="10112"/>
      <c r="KE18" s="10112"/>
      <c r="KF18" s="10112"/>
      <c r="KG18" s="10113"/>
      <c r="KH18" s="10112"/>
      <c r="KI18" s="10113"/>
      <c r="KJ18" s="10112"/>
      <c r="KK18" s="10112"/>
      <c r="KL18" s="10112"/>
      <c r="KM18" s="10112"/>
      <c r="KN18" s="10112"/>
      <c r="KO18" s="10112"/>
      <c r="KP18" s="10112"/>
      <c r="KQ18" s="10112"/>
      <c r="KR18" s="10113"/>
      <c r="KS18" s="10112"/>
      <c r="KT18" s="10113"/>
      <c r="KU18" s="10112"/>
      <c r="KV18" s="15033"/>
      <c r="KW18" s="15033"/>
      <c r="KX18" s="15033"/>
      <c r="KY18" s="15033"/>
      <c r="KZ18" s="15033"/>
      <c r="LA18" s="15033"/>
      <c r="LB18" s="15033"/>
      <c r="LC18" s="15034"/>
      <c r="LD18" s="15033"/>
      <c r="LE18" s="15034"/>
      <c r="LF18" s="15033"/>
      <c r="LG18" s="15033"/>
      <c r="LH18" s="15033"/>
      <c r="LI18" s="15033"/>
      <c r="LJ18" s="15033"/>
      <c r="LK18" s="15033"/>
      <c r="LL18" s="15033"/>
      <c r="LM18" s="15033"/>
      <c r="LN18" s="15034"/>
      <c r="LO18" s="15033"/>
      <c r="LP18" s="15034"/>
      <c r="LQ18" s="15033"/>
      <c r="LR18" s="15033"/>
      <c r="LS18" s="15033"/>
      <c r="LT18" s="15033"/>
      <c r="LU18" s="15033"/>
      <c r="LV18" s="15033"/>
      <c r="LW18" s="15033"/>
      <c r="LX18" s="15033"/>
      <c r="LY18" s="15034"/>
      <c r="LZ18" s="15033"/>
      <c r="MA18" s="15034"/>
      <c r="MB18" s="15033"/>
      <c r="MC18" s="15033"/>
      <c r="MD18" s="15033"/>
      <c r="ME18" s="15033"/>
      <c r="MF18" s="15033"/>
      <c r="MG18" s="15033"/>
      <c r="MH18" s="15033"/>
      <c r="MI18" s="15033"/>
      <c r="MJ18" s="15034"/>
      <c r="MK18" s="15033"/>
      <c r="ML18" s="15034"/>
      <c r="MM18" s="15033"/>
      <c r="MN18" s="15033"/>
      <c r="MO18" s="15033"/>
      <c r="MP18" s="15033"/>
      <c r="MQ18" s="15033"/>
      <c r="MR18" s="15033"/>
      <c r="MS18" s="15033"/>
      <c r="MT18" s="15033"/>
      <c r="MU18" s="15034"/>
      <c r="MV18" s="15033"/>
      <c r="MW18" s="15034"/>
      <c r="MX18" s="15033"/>
      <c r="MY18" s="15033"/>
      <c r="MZ18" s="15033"/>
      <c r="NA18" s="15033"/>
      <c r="NB18" s="15033"/>
      <c r="NC18" s="15033"/>
      <c r="ND18" s="15033"/>
      <c r="NE18" s="15033"/>
      <c r="NF18" s="15034"/>
      <c r="NG18" s="15033"/>
      <c r="NH18" s="15034"/>
      <c r="NI18" s="15033"/>
      <c r="NJ18" s="15033"/>
      <c r="NK18" s="15033"/>
      <c r="NL18" s="15033"/>
      <c r="NM18" s="15033"/>
      <c r="NN18" s="15033"/>
      <c r="NO18" s="15033"/>
      <c r="NP18" s="15033"/>
      <c r="NQ18" s="15034"/>
      <c r="NR18" s="15033"/>
      <c r="NS18" s="15034"/>
      <c r="NT18" s="15033"/>
      <c r="NU18" s="15033"/>
      <c r="NV18" s="15033"/>
      <c r="NW18" s="15033"/>
      <c r="NX18" s="15033"/>
      <c r="NY18" s="15033"/>
      <c r="NZ18" s="15033"/>
      <c r="OA18" s="15033"/>
      <c r="OB18" s="15034"/>
      <c r="OC18" s="15033"/>
      <c r="OD18" s="15034"/>
      <c r="OE18" s="15033"/>
      <c r="OF18" s="15033"/>
      <c r="OG18" s="15033"/>
      <c r="OH18" s="15033"/>
      <c r="OI18" s="15033"/>
      <c r="OJ18" s="15033"/>
      <c r="OK18" s="15033"/>
      <c r="OL18" s="15033"/>
      <c r="OM18" s="15034"/>
      <c r="ON18" s="15033"/>
      <c r="OO18" s="15034"/>
      <c r="OP18" s="15033"/>
      <c r="OS18" s="734"/>
      <c r="OT18" s="734"/>
      <c r="OU18" s="734"/>
      <c r="OV18" s="734"/>
      <c r="OW18" s="734"/>
    </row>
    <row s="13533" customFormat="1" customHeight="1" ht="14.25" hidden="1">
      <c r="L19" s="1706"/>
      <c r="M19" s="1590"/>
      <c r="N19" s="1590"/>
      <c r="O19" s="1590"/>
      <c r="P19" s="1590"/>
      <c r="Q19" s="1599"/>
      <c r="R19" s="1599"/>
      <c r="S19" s="952"/>
      <c r="W19" s="1594"/>
      <c r="X19" s="1594"/>
      <c r="Y19" s="1594"/>
      <c r="Z19" s="1594"/>
      <c r="AA19" s="1594"/>
      <c r="AB19" s="1594"/>
      <c r="AF19" s="1594"/>
      <c r="AH19" s="1594"/>
      <c r="AI19" s="1594"/>
      <c r="AJ19" s="1594"/>
      <c r="AK19" s="1594"/>
      <c r="AL19" s="1594"/>
      <c r="AQ19" s="1594"/>
      <c r="AR19" s="6505"/>
      <c r="AS19" s="6505"/>
      <c r="AT19" s="6505"/>
      <c r="AU19" s="6505"/>
      <c r="AV19" s="6505"/>
      <c r="AW19" s="6505"/>
      <c r="AX19" s="6505"/>
      <c r="AY19" s="6505"/>
      <c r="AZ19" s="6505"/>
      <c r="BA19" s="6505"/>
      <c r="BB19" s="6505"/>
      <c r="BC19" s="6505"/>
      <c r="BD19" s="6505"/>
      <c r="BE19" s="6505"/>
      <c r="BF19" s="6505"/>
      <c r="BG19" s="6505"/>
      <c r="BH19" s="6505"/>
      <c r="BI19" s="6505"/>
      <c r="BJ19" s="6505"/>
      <c r="BK19" s="6505"/>
      <c r="BL19" s="6505"/>
      <c r="BM19" s="6505"/>
      <c r="BN19" s="10112"/>
      <c r="BO19" s="10112"/>
      <c r="BP19" s="10112"/>
      <c r="BQ19" s="10112"/>
      <c r="BR19" s="10112"/>
      <c r="BS19" s="10112"/>
      <c r="BT19" s="10112"/>
      <c r="BU19" s="10112"/>
      <c r="BV19" s="10112"/>
      <c r="BW19" s="10112"/>
      <c r="BX19" s="10112"/>
      <c r="BY19" s="10112"/>
      <c r="BZ19" s="10112"/>
      <c r="CA19" s="10112"/>
      <c r="CB19" s="10112"/>
      <c r="CC19" s="10112"/>
      <c r="CD19" s="10112"/>
      <c r="CE19" s="10112"/>
      <c r="CF19" s="10112"/>
      <c r="CG19" s="10112"/>
      <c r="CH19" s="10112"/>
      <c r="CI19" s="10112"/>
      <c r="CJ19" s="10112"/>
      <c r="CK19" s="10112"/>
      <c r="CL19" s="10112"/>
      <c r="CM19" s="10112"/>
      <c r="CN19" s="10112"/>
      <c r="CO19" s="10112"/>
      <c r="CP19" s="10112"/>
      <c r="CQ19" s="10112"/>
      <c r="CR19" s="10112"/>
      <c r="CS19" s="10112"/>
      <c r="CT19" s="10112"/>
      <c r="CU19" s="10112"/>
      <c r="CV19" s="10112"/>
      <c r="CW19" s="10112"/>
      <c r="CX19" s="10112"/>
      <c r="CY19" s="10112"/>
      <c r="CZ19" s="10112"/>
      <c r="DA19" s="10112"/>
      <c r="DB19" s="10112"/>
      <c r="DC19" s="10112"/>
      <c r="DD19" s="10112"/>
      <c r="DE19" s="10112"/>
      <c r="DF19" s="10112"/>
      <c r="DG19" s="10112"/>
      <c r="DH19" s="10112"/>
      <c r="DI19" s="10112"/>
      <c r="DJ19" s="10112"/>
      <c r="DK19" s="10112"/>
      <c r="DL19" s="10112"/>
      <c r="DM19" s="10112"/>
      <c r="DN19" s="10112"/>
      <c r="DO19" s="10112"/>
      <c r="DP19" s="10112"/>
      <c r="DQ19" s="10112"/>
      <c r="DR19" s="10112"/>
      <c r="DS19" s="10112"/>
      <c r="DT19" s="10112"/>
      <c r="DU19" s="10112"/>
      <c r="DV19" s="10112"/>
      <c r="DW19" s="10112"/>
      <c r="DX19" s="10112"/>
      <c r="DY19" s="10112"/>
      <c r="DZ19" s="10112"/>
      <c r="EA19" s="10112"/>
      <c r="EB19" s="10112"/>
      <c r="EC19" s="10112"/>
      <c r="ED19" s="10112"/>
      <c r="EE19" s="10112"/>
      <c r="EF19" s="10112"/>
      <c r="EG19" s="10112"/>
      <c r="EH19" s="10112"/>
      <c r="EI19" s="10112"/>
      <c r="EJ19" s="10112"/>
      <c r="EK19" s="10112"/>
      <c r="EL19" s="10112"/>
      <c r="EM19" s="10112"/>
      <c r="EN19" s="10112"/>
      <c r="EO19" s="10112"/>
      <c r="EP19" s="10112"/>
      <c r="EQ19" s="10112"/>
      <c r="ER19" s="10112"/>
      <c r="ES19" s="10112"/>
      <c r="ET19" s="10112"/>
      <c r="EU19" s="10112"/>
      <c r="EV19" s="10112"/>
      <c r="EW19" s="10112"/>
      <c r="EX19" s="10112"/>
      <c r="EY19" s="10112"/>
      <c r="EZ19" s="10112"/>
      <c r="FA19" s="10112"/>
      <c r="FB19" s="10112"/>
      <c r="FC19" s="10112"/>
      <c r="FD19" s="10112"/>
      <c r="FE19" s="10112"/>
      <c r="FF19" s="10112"/>
      <c r="FG19" s="10112"/>
      <c r="FH19" s="10112"/>
      <c r="FI19" s="10112"/>
      <c r="FJ19" s="10112"/>
      <c r="FK19" s="10112"/>
      <c r="FL19" s="10112"/>
      <c r="FM19" s="10112"/>
      <c r="FN19" s="10112"/>
      <c r="FO19" s="10112"/>
      <c r="FP19" s="10112"/>
      <c r="FQ19" s="10112"/>
      <c r="FR19" s="10112"/>
      <c r="FS19" s="10112"/>
      <c r="FT19" s="10112"/>
      <c r="FU19" s="10112"/>
      <c r="FV19" s="10112"/>
      <c r="FW19" s="10112"/>
      <c r="FX19" s="10112"/>
      <c r="FY19" s="10112"/>
      <c r="FZ19" s="10112"/>
      <c r="GA19" s="10112"/>
      <c r="GB19" s="10112"/>
      <c r="GC19" s="10112"/>
      <c r="GD19" s="10112"/>
      <c r="GE19" s="10112"/>
      <c r="GF19" s="10112"/>
      <c r="GG19" s="10112"/>
      <c r="GH19" s="10112"/>
      <c r="GI19" s="10112"/>
      <c r="GJ19" s="10112"/>
      <c r="GK19" s="10112"/>
      <c r="GL19" s="10112"/>
      <c r="GM19" s="10112"/>
      <c r="GN19" s="10112"/>
      <c r="GO19" s="10112"/>
      <c r="GP19" s="10112"/>
      <c r="GQ19" s="10112"/>
      <c r="GR19" s="10112"/>
      <c r="GS19" s="10112"/>
      <c r="GT19" s="10112"/>
      <c r="GU19" s="10112"/>
      <c r="GV19" s="10112"/>
      <c r="GW19" s="10112"/>
      <c r="GX19" s="10112"/>
      <c r="GY19" s="10112"/>
      <c r="GZ19" s="10112"/>
      <c r="HA19" s="10112"/>
      <c r="HB19" s="10112"/>
      <c r="HC19" s="10112"/>
      <c r="HD19" s="10112"/>
      <c r="HE19" s="10112"/>
      <c r="HF19" s="10112"/>
      <c r="HG19" s="10112"/>
      <c r="HH19" s="10112"/>
      <c r="HI19" s="10112"/>
      <c r="HJ19" s="10112"/>
      <c r="HK19" s="10112"/>
      <c r="HL19" s="10112"/>
      <c r="HM19" s="10112"/>
      <c r="HN19" s="10112"/>
      <c r="HO19" s="10112"/>
      <c r="HP19" s="10112"/>
      <c r="HQ19" s="10112"/>
      <c r="HR19" s="10112"/>
      <c r="HS19" s="10112"/>
      <c r="HT19" s="10112"/>
      <c r="HU19" s="10112"/>
      <c r="HV19" s="10112"/>
      <c r="HW19" s="10112"/>
      <c r="HX19" s="10112"/>
      <c r="HY19" s="10112"/>
      <c r="HZ19" s="10112"/>
      <c r="IA19" s="10112"/>
      <c r="IB19" s="10112"/>
      <c r="IC19" s="10112"/>
      <c r="ID19" s="10112"/>
      <c r="IE19" s="10112"/>
      <c r="IF19" s="10112"/>
      <c r="IG19" s="10112"/>
      <c r="IH19" s="10112"/>
      <c r="II19" s="10112"/>
      <c r="IJ19" s="10112"/>
      <c r="IK19" s="10112"/>
      <c r="IL19" s="10112"/>
      <c r="IM19" s="10112"/>
      <c r="IN19" s="10112"/>
      <c r="IO19" s="10112"/>
      <c r="IP19" s="10112"/>
      <c r="IQ19" s="10112"/>
      <c r="IR19" s="10112"/>
      <c r="IS19" s="10112"/>
      <c r="IT19" s="10112"/>
      <c r="IU19" s="10112"/>
      <c r="IV19" s="10112"/>
      <c r="IW19" s="10112"/>
      <c r="IX19" s="10112"/>
      <c r="IY19" s="10112"/>
      <c r="IZ19" s="10112"/>
      <c r="JA19" s="10112"/>
      <c r="JB19" s="10112"/>
      <c r="JC19" s="10112"/>
      <c r="JD19" s="10112"/>
      <c r="JE19" s="10112"/>
      <c r="JF19" s="10112"/>
      <c r="JG19" s="10112"/>
      <c r="JH19" s="10112"/>
      <c r="JI19" s="10112"/>
      <c r="JJ19" s="10112"/>
      <c r="JK19" s="10112"/>
      <c r="JL19" s="10112"/>
      <c r="JM19" s="10112"/>
      <c r="JN19" s="10112"/>
      <c r="JO19" s="10112"/>
      <c r="JP19" s="10112"/>
      <c r="JQ19" s="10112"/>
      <c r="JR19" s="10112"/>
      <c r="JS19" s="10112"/>
      <c r="JT19" s="10112"/>
      <c r="JU19" s="10112"/>
      <c r="JV19" s="10112"/>
      <c r="JW19" s="10112"/>
      <c r="JX19" s="10112"/>
      <c r="JY19" s="10112"/>
      <c r="JZ19" s="10112"/>
      <c r="KA19" s="10112"/>
      <c r="KB19" s="10112"/>
      <c r="KC19" s="10112"/>
      <c r="KD19" s="10112"/>
      <c r="KE19" s="10112"/>
      <c r="KF19" s="10112"/>
      <c r="KG19" s="10112"/>
      <c r="KH19" s="10112"/>
      <c r="KI19" s="10112"/>
      <c r="KJ19" s="10112"/>
      <c r="KK19" s="10112"/>
      <c r="KL19" s="10112"/>
      <c r="KM19" s="10112"/>
      <c r="KN19" s="10112"/>
      <c r="KO19" s="10112"/>
      <c r="KP19" s="10112"/>
      <c r="KQ19" s="10112"/>
      <c r="KR19" s="10112"/>
      <c r="KS19" s="10112"/>
      <c r="KT19" s="10112"/>
      <c r="KU19" s="10112"/>
      <c r="KV19" s="15033"/>
      <c r="KW19" s="15033"/>
      <c r="KX19" s="15033"/>
      <c r="KY19" s="15033"/>
      <c r="KZ19" s="15033"/>
      <c r="LA19" s="15033"/>
      <c r="LB19" s="15033"/>
      <c r="LC19" s="15033"/>
      <c r="LD19" s="15033"/>
      <c r="LE19" s="15033"/>
      <c r="LF19" s="15033"/>
      <c r="LG19" s="15033"/>
      <c r="LH19" s="15033"/>
      <c r="LI19" s="15033"/>
      <c r="LJ19" s="15033"/>
      <c r="LK19" s="15033"/>
      <c r="LL19" s="15033"/>
      <c r="LM19" s="15033"/>
      <c r="LN19" s="15033"/>
      <c r="LO19" s="15033"/>
      <c r="LP19" s="15033"/>
      <c r="LQ19" s="15033"/>
      <c r="LR19" s="15033"/>
      <c r="LS19" s="15033"/>
      <c r="LT19" s="15033"/>
      <c r="LU19" s="15033"/>
      <c r="LV19" s="15033"/>
      <c r="LW19" s="15033"/>
      <c r="LX19" s="15033"/>
      <c r="LY19" s="15033"/>
      <c r="LZ19" s="15033"/>
      <c r="MA19" s="15033"/>
      <c r="MB19" s="15033"/>
      <c r="MC19" s="15033"/>
      <c r="MD19" s="15033"/>
      <c r="ME19" s="15033"/>
      <c r="MF19" s="15033"/>
      <c r="MG19" s="15033"/>
      <c r="MH19" s="15033"/>
      <c r="MI19" s="15033"/>
      <c r="MJ19" s="15033"/>
      <c r="MK19" s="15033"/>
      <c r="ML19" s="15033"/>
      <c r="MM19" s="15033"/>
      <c r="MN19" s="15033"/>
      <c r="MO19" s="15033"/>
      <c r="MP19" s="15033"/>
      <c r="MQ19" s="15033"/>
      <c r="MR19" s="15033"/>
      <c r="MS19" s="15033"/>
      <c r="MT19" s="15033"/>
      <c r="MU19" s="15033"/>
      <c r="MV19" s="15033"/>
      <c r="MW19" s="15033"/>
      <c r="MX19" s="15033"/>
      <c r="MY19" s="15033"/>
      <c r="MZ19" s="15033"/>
      <c r="NA19" s="15033"/>
      <c r="NB19" s="15033"/>
      <c r="NC19" s="15033"/>
      <c r="ND19" s="15033"/>
      <c r="NE19" s="15033"/>
      <c r="NF19" s="15033"/>
      <c r="NG19" s="15033"/>
      <c r="NH19" s="15033"/>
      <c r="NI19" s="15033"/>
      <c r="NJ19" s="15033"/>
      <c r="NK19" s="15033"/>
      <c r="NL19" s="15033"/>
      <c r="NM19" s="15033"/>
      <c r="NN19" s="15033"/>
      <c r="NO19" s="15033"/>
      <c r="NP19" s="15033"/>
      <c r="NQ19" s="15033"/>
      <c r="NR19" s="15033"/>
      <c r="NS19" s="15033"/>
      <c r="NT19" s="15033"/>
      <c r="NU19" s="15033"/>
      <c r="NV19" s="15033"/>
      <c r="NW19" s="15033"/>
      <c r="NX19" s="15033"/>
      <c r="NY19" s="15033"/>
      <c r="NZ19" s="15033"/>
      <c r="OA19" s="15033"/>
      <c r="OB19" s="15033"/>
      <c r="OC19" s="15033"/>
      <c r="OD19" s="15033"/>
      <c r="OE19" s="15033"/>
      <c r="OF19" s="15033"/>
      <c r="OG19" s="15033"/>
      <c r="OH19" s="15033"/>
      <c r="OI19" s="15033"/>
      <c r="OJ19" s="15033"/>
      <c r="OK19" s="15033"/>
      <c r="OL19" s="15033"/>
      <c r="OM19" s="15033"/>
      <c r="ON19" s="15033"/>
      <c r="OO19" s="15033"/>
      <c r="OP19" s="15033"/>
      <c r="OS19" s="734"/>
      <c r="OT19" s="734"/>
      <c r="OU19" s="734"/>
      <c r="OV19" s="734"/>
      <c r="OW19" s="734"/>
    </row>
    <row s="13533" customFormat="1" customHeight="1" ht="12" hidden="1">
      <c r="L20" s="1706"/>
      <c r="M20" s="1590"/>
      <c r="N20" s="1590"/>
      <c r="O20" s="1592" t="s">
        <v>417</v>
      </c>
      <c r="P20" s="1590"/>
      <c r="Q20" s="1670"/>
      <c r="R20" s="1670"/>
      <c r="S20" s="952"/>
      <c r="T20" s="1385" t="s">
        <v>418</v>
      </c>
      <c r="W20" s="1594"/>
      <c r="X20" s="1594"/>
      <c r="Y20" s="1594"/>
      <c r="Z20" s="1594"/>
      <c r="AA20" s="1594"/>
      <c r="AB20" s="1594"/>
      <c r="AD20" s="409" t="s">
        <v>419</v>
      </c>
      <c r="AF20" s="409" t="s">
        <v>420</v>
      </c>
      <c r="AG20" s="1385" t="s">
        <v>418</v>
      </c>
      <c r="AH20" s="1594"/>
      <c r="AI20" s="1594"/>
      <c r="AJ20" s="1594"/>
      <c r="AK20" s="1594"/>
      <c r="AL20" s="1594"/>
      <c r="AO20" s="409" t="s">
        <v>421</v>
      </c>
      <c r="AQ20" s="409" t="s">
        <v>420</v>
      </c>
      <c r="AR20" s="6505"/>
      <c r="AS20" s="6505"/>
      <c r="AT20" s="6505"/>
      <c r="AU20" s="6505"/>
      <c r="AV20" s="6505"/>
      <c r="AW20" s="6505"/>
      <c r="AX20" s="6505"/>
      <c r="AY20" s="6505"/>
      <c r="AZ20" s="6507" t="s">
        <v>419</v>
      </c>
      <c r="BA20" s="6505"/>
      <c r="BB20" s="6507" t="s">
        <v>420</v>
      </c>
      <c r="BC20" s="6505"/>
      <c r="BD20" s="6505"/>
      <c r="BE20" s="6505"/>
      <c r="BF20" s="6505"/>
      <c r="BG20" s="6505"/>
      <c r="BH20" s="6505"/>
      <c r="BI20" s="6505"/>
      <c r="BJ20" s="6505"/>
      <c r="BK20" s="6507" t="s">
        <v>419</v>
      </c>
      <c r="BL20" s="6505"/>
      <c r="BM20" s="6507" t="s">
        <v>420</v>
      </c>
      <c r="BN20" s="10112"/>
      <c r="BO20" s="10112"/>
      <c r="BP20" s="10112"/>
      <c r="BQ20" s="10112"/>
      <c r="BR20" s="10112"/>
      <c r="BS20" s="10112"/>
      <c r="BT20" s="10112"/>
      <c r="BU20" s="10112"/>
      <c r="BV20" s="10115" t="s">
        <v>419</v>
      </c>
      <c r="BW20" s="10112"/>
      <c r="BX20" s="10115" t="s">
        <v>420</v>
      </c>
      <c r="BY20" s="10112"/>
      <c r="BZ20" s="10112"/>
      <c r="CA20" s="10112"/>
      <c r="CB20" s="10112"/>
      <c r="CC20" s="10112"/>
      <c r="CD20" s="10112"/>
      <c r="CE20" s="10112"/>
      <c r="CF20" s="10112"/>
      <c r="CG20" s="10115" t="s">
        <v>419</v>
      </c>
      <c r="CH20" s="10112"/>
      <c r="CI20" s="10115" t="s">
        <v>420</v>
      </c>
      <c r="CJ20" s="10112"/>
      <c r="CK20" s="10112"/>
      <c r="CL20" s="10112"/>
      <c r="CM20" s="10112"/>
      <c r="CN20" s="10112"/>
      <c r="CO20" s="10112"/>
      <c r="CP20" s="10112"/>
      <c r="CQ20" s="10112"/>
      <c r="CR20" s="10115" t="s">
        <v>419</v>
      </c>
      <c r="CS20" s="10112"/>
      <c r="CT20" s="10115" t="s">
        <v>420</v>
      </c>
      <c r="CU20" s="10112"/>
      <c r="CV20" s="10112"/>
      <c r="CW20" s="10112"/>
      <c r="CX20" s="10112"/>
      <c r="CY20" s="10112"/>
      <c r="CZ20" s="10112"/>
      <c r="DA20" s="10112"/>
      <c r="DB20" s="10112"/>
      <c r="DC20" s="10115" t="s">
        <v>419</v>
      </c>
      <c r="DD20" s="10112"/>
      <c r="DE20" s="10115" t="s">
        <v>420</v>
      </c>
      <c r="DF20" s="10112"/>
      <c r="DG20" s="10112"/>
      <c r="DH20" s="10112"/>
      <c r="DI20" s="10112"/>
      <c r="DJ20" s="10112"/>
      <c r="DK20" s="10112"/>
      <c r="DL20" s="10112"/>
      <c r="DM20" s="10112"/>
      <c r="DN20" s="10115" t="s">
        <v>419</v>
      </c>
      <c r="DO20" s="10112"/>
      <c r="DP20" s="10115" t="s">
        <v>420</v>
      </c>
      <c r="DQ20" s="10112"/>
      <c r="DR20" s="10112"/>
      <c r="DS20" s="10112"/>
      <c r="DT20" s="10112"/>
      <c r="DU20" s="10112"/>
      <c r="DV20" s="10112"/>
      <c r="DW20" s="10112"/>
      <c r="DX20" s="10112"/>
      <c r="DY20" s="10115" t="s">
        <v>419</v>
      </c>
      <c r="DZ20" s="10112"/>
      <c r="EA20" s="10115" t="s">
        <v>420</v>
      </c>
      <c r="EB20" s="10112"/>
      <c r="EC20" s="10112"/>
      <c r="ED20" s="10112"/>
      <c r="EE20" s="10112"/>
      <c r="EF20" s="10112"/>
      <c r="EG20" s="10112"/>
      <c r="EH20" s="10112"/>
      <c r="EI20" s="10112"/>
      <c r="EJ20" s="10115" t="s">
        <v>419</v>
      </c>
      <c r="EK20" s="10112"/>
      <c r="EL20" s="10115" t="s">
        <v>420</v>
      </c>
      <c r="EM20" s="10112"/>
      <c r="EN20" s="10112"/>
      <c r="EO20" s="10112"/>
      <c r="EP20" s="10112"/>
      <c r="EQ20" s="10112"/>
      <c r="ER20" s="10112"/>
      <c r="ES20" s="10112"/>
      <c r="ET20" s="10112"/>
      <c r="EU20" s="10115" t="s">
        <v>419</v>
      </c>
      <c r="EV20" s="10112"/>
      <c r="EW20" s="10115" t="s">
        <v>420</v>
      </c>
      <c r="EX20" s="10112"/>
      <c r="EY20" s="10112"/>
      <c r="EZ20" s="10112"/>
      <c r="FA20" s="10112"/>
      <c r="FB20" s="10112"/>
      <c r="FC20" s="10112"/>
      <c r="FD20" s="10112"/>
      <c r="FE20" s="10112"/>
      <c r="FF20" s="10115" t="s">
        <v>419</v>
      </c>
      <c r="FG20" s="10112"/>
      <c r="FH20" s="10115" t="s">
        <v>420</v>
      </c>
      <c r="FI20" s="10112"/>
      <c r="FJ20" s="10112"/>
      <c r="FK20" s="10112"/>
      <c r="FL20" s="10112"/>
      <c r="FM20" s="10112"/>
      <c r="FN20" s="10112"/>
      <c r="FO20" s="10112"/>
      <c r="FP20" s="10112"/>
      <c r="FQ20" s="10115" t="s">
        <v>419</v>
      </c>
      <c r="FR20" s="10112"/>
      <c r="FS20" s="10115" t="s">
        <v>420</v>
      </c>
      <c r="FT20" s="10112"/>
      <c r="FU20" s="10112"/>
      <c r="FV20" s="10112"/>
      <c r="FW20" s="10112"/>
      <c r="FX20" s="10112"/>
      <c r="FY20" s="10112"/>
      <c r="FZ20" s="10112"/>
      <c r="GA20" s="10112"/>
      <c r="GB20" s="10115" t="s">
        <v>419</v>
      </c>
      <c r="GC20" s="10112"/>
      <c r="GD20" s="10115" t="s">
        <v>420</v>
      </c>
      <c r="GE20" s="10112"/>
      <c r="GF20" s="10112"/>
      <c r="GG20" s="10112"/>
      <c r="GH20" s="10112"/>
      <c r="GI20" s="10112"/>
      <c r="GJ20" s="10112"/>
      <c r="GK20" s="10112"/>
      <c r="GL20" s="10112"/>
      <c r="GM20" s="10115" t="s">
        <v>419</v>
      </c>
      <c r="GN20" s="10112"/>
      <c r="GO20" s="10115" t="s">
        <v>420</v>
      </c>
      <c r="GP20" s="10112"/>
      <c r="GQ20" s="10112"/>
      <c r="GR20" s="10112"/>
      <c r="GS20" s="10112"/>
      <c r="GT20" s="10112"/>
      <c r="GU20" s="10112"/>
      <c r="GV20" s="10112"/>
      <c r="GW20" s="10112"/>
      <c r="GX20" s="10115" t="s">
        <v>419</v>
      </c>
      <c r="GY20" s="10112"/>
      <c r="GZ20" s="10115" t="s">
        <v>420</v>
      </c>
      <c r="HA20" s="10112"/>
      <c r="HB20" s="10112"/>
      <c r="HC20" s="10112"/>
      <c r="HD20" s="10112"/>
      <c r="HE20" s="10112"/>
      <c r="HF20" s="10112"/>
      <c r="HG20" s="10112"/>
      <c r="HH20" s="10112"/>
      <c r="HI20" s="10115" t="s">
        <v>419</v>
      </c>
      <c r="HJ20" s="10112"/>
      <c r="HK20" s="10115" t="s">
        <v>420</v>
      </c>
      <c r="HL20" s="10112"/>
      <c r="HM20" s="10112"/>
      <c r="HN20" s="10112"/>
      <c r="HO20" s="10112"/>
      <c r="HP20" s="10112"/>
      <c r="HQ20" s="10112"/>
      <c r="HR20" s="10112"/>
      <c r="HS20" s="10112"/>
      <c r="HT20" s="10115" t="s">
        <v>419</v>
      </c>
      <c r="HU20" s="10112"/>
      <c r="HV20" s="10115" t="s">
        <v>420</v>
      </c>
      <c r="HW20" s="10112"/>
      <c r="HX20" s="10112"/>
      <c r="HY20" s="10112"/>
      <c r="HZ20" s="10112"/>
      <c r="IA20" s="10112"/>
      <c r="IB20" s="10112"/>
      <c r="IC20" s="10112"/>
      <c r="ID20" s="10112"/>
      <c r="IE20" s="10115" t="s">
        <v>419</v>
      </c>
      <c r="IF20" s="10112"/>
      <c r="IG20" s="10115" t="s">
        <v>420</v>
      </c>
      <c r="IH20" s="10112"/>
      <c r="II20" s="10112"/>
      <c r="IJ20" s="10112"/>
      <c r="IK20" s="10112"/>
      <c r="IL20" s="10112"/>
      <c r="IM20" s="10112"/>
      <c r="IN20" s="10112"/>
      <c r="IO20" s="10112"/>
      <c r="IP20" s="10115" t="s">
        <v>419</v>
      </c>
      <c r="IQ20" s="10112"/>
      <c r="IR20" s="10115" t="s">
        <v>420</v>
      </c>
      <c r="IS20" s="10112"/>
      <c r="IT20" s="10112"/>
      <c r="IU20" s="10112"/>
      <c r="IV20" s="10112"/>
      <c r="IW20" s="10112"/>
      <c r="IX20" s="10112"/>
      <c r="IY20" s="10112"/>
      <c r="IZ20" s="10112"/>
      <c r="JA20" s="10115" t="s">
        <v>419</v>
      </c>
      <c r="JB20" s="10112"/>
      <c r="JC20" s="10115" t="s">
        <v>420</v>
      </c>
      <c r="JD20" s="10112"/>
      <c r="JE20" s="10112"/>
      <c r="JF20" s="10112"/>
      <c r="JG20" s="10112"/>
      <c r="JH20" s="10112"/>
      <c r="JI20" s="10112"/>
      <c r="JJ20" s="10112"/>
      <c r="JK20" s="10112"/>
      <c r="JL20" s="10115" t="s">
        <v>419</v>
      </c>
      <c r="JM20" s="10112"/>
      <c r="JN20" s="10115" t="s">
        <v>420</v>
      </c>
      <c r="JO20" s="10112"/>
      <c r="JP20" s="10112"/>
      <c r="JQ20" s="10112"/>
      <c r="JR20" s="10112"/>
      <c r="JS20" s="10112"/>
      <c r="JT20" s="10112"/>
      <c r="JU20" s="10112"/>
      <c r="JV20" s="10112"/>
      <c r="JW20" s="10115" t="s">
        <v>419</v>
      </c>
      <c r="JX20" s="10112"/>
      <c r="JY20" s="10115" t="s">
        <v>420</v>
      </c>
      <c r="JZ20" s="10112"/>
      <c r="KA20" s="10112"/>
      <c r="KB20" s="10112"/>
      <c r="KC20" s="10112"/>
      <c r="KD20" s="10112"/>
      <c r="KE20" s="10112"/>
      <c r="KF20" s="10112"/>
      <c r="KG20" s="10112"/>
      <c r="KH20" s="10115" t="s">
        <v>419</v>
      </c>
      <c r="KI20" s="10112"/>
      <c r="KJ20" s="10115" t="s">
        <v>420</v>
      </c>
      <c r="KK20" s="10112"/>
      <c r="KL20" s="10112"/>
      <c r="KM20" s="10112"/>
      <c r="KN20" s="10112"/>
      <c r="KO20" s="10112"/>
      <c r="KP20" s="10112"/>
      <c r="KQ20" s="10112"/>
      <c r="KR20" s="10112"/>
      <c r="KS20" s="10115" t="s">
        <v>419</v>
      </c>
      <c r="KT20" s="10112"/>
      <c r="KU20" s="10115" t="s">
        <v>420</v>
      </c>
      <c r="KV20" s="15033"/>
      <c r="KW20" s="15033"/>
      <c r="KX20" s="15033"/>
      <c r="KY20" s="15033"/>
      <c r="KZ20" s="15033"/>
      <c r="LA20" s="15033"/>
      <c r="LB20" s="15033"/>
      <c r="LC20" s="15033"/>
      <c r="LD20" s="15037" t="s">
        <v>419</v>
      </c>
      <c r="LE20" s="15033"/>
      <c r="LF20" s="15037" t="s">
        <v>420</v>
      </c>
      <c r="LG20" s="15033"/>
      <c r="LH20" s="15033"/>
      <c r="LI20" s="15033"/>
      <c r="LJ20" s="15033"/>
      <c r="LK20" s="15033"/>
      <c r="LL20" s="15033"/>
      <c r="LM20" s="15033"/>
      <c r="LN20" s="15033"/>
      <c r="LO20" s="15037" t="s">
        <v>419</v>
      </c>
      <c r="LP20" s="15033"/>
      <c r="LQ20" s="15037" t="s">
        <v>420</v>
      </c>
      <c r="LR20" s="15033"/>
      <c r="LS20" s="15033"/>
      <c r="LT20" s="15033"/>
      <c r="LU20" s="15033"/>
      <c r="LV20" s="15033"/>
      <c r="LW20" s="15033"/>
      <c r="LX20" s="15033"/>
      <c r="LY20" s="15033"/>
      <c r="LZ20" s="15037" t="s">
        <v>419</v>
      </c>
      <c r="MA20" s="15033"/>
      <c r="MB20" s="15037" t="s">
        <v>420</v>
      </c>
      <c r="MC20" s="15033"/>
      <c r="MD20" s="15033"/>
      <c r="ME20" s="15033"/>
      <c r="MF20" s="15033"/>
      <c r="MG20" s="15033"/>
      <c r="MH20" s="15033"/>
      <c r="MI20" s="15033"/>
      <c r="MJ20" s="15033"/>
      <c r="MK20" s="15037" t="s">
        <v>419</v>
      </c>
      <c r="ML20" s="15033"/>
      <c r="MM20" s="15037" t="s">
        <v>420</v>
      </c>
      <c r="MN20" s="15033"/>
      <c r="MO20" s="15033"/>
      <c r="MP20" s="15033"/>
      <c r="MQ20" s="15033"/>
      <c r="MR20" s="15033"/>
      <c r="MS20" s="15033"/>
      <c r="MT20" s="15033"/>
      <c r="MU20" s="15033"/>
      <c r="MV20" s="15037" t="s">
        <v>419</v>
      </c>
      <c r="MW20" s="15033"/>
      <c r="MX20" s="15037" t="s">
        <v>420</v>
      </c>
      <c r="MY20" s="15033"/>
      <c r="MZ20" s="15033"/>
      <c r="NA20" s="15033"/>
      <c r="NB20" s="15033"/>
      <c r="NC20" s="15033"/>
      <c r="ND20" s="15033"/>
      <c r="NE20" s="15033"/>
      <c r="NF20" s="15033"/>
      <c r="NG20" s="15037" t="s">
        <v>419</v>
      </c>
      <c r="NH20" s="15033"/>
      <c r="NI20" s="15037" t="s">
        <v>420</v>
      </c>
      <c r="NJ20" s="15033"/>
      <c r="NK20" s="15033"/>
      <c r="NL20" s="15033"/>
      <c r="NM20" s="15033"/>
      <c r="NN20" s="15033"/>
      <c r="NO20" s="15033"/>
      <c r="NP20" s="15033"/>
      <c r="NQ20" s="15033"/>
      <c r="NR20" s="15037" t="s">
        <v>419</v>
      </c>
      <c r="NS20" s="15033"/>
      <c r="NT20" s="15037" t="s">
        <v>420</v>
      </c>
      <c r="NU20" s="15033"/>
      <c r="NV20" s="15033"/>
      <c r="NW20" s="15033"/>
      <c r="NX20" s="15033"/>
      <c r="NY20" s="15033"/>
      <c r="NZ20" s="15033"/>
      <c r="OA20" s="15033"/>
      <c r="OB20" s="15033"/>
      <c r="OC20" s="15037" t="s">
        <v>419</v>
      </c>
      <c r="OD20" s="15033"/>
      <c r="OE20" s="15037" t="s">
        <v>420</v>
      </c>
      <c r="OF20" s="15033"/>
      <c r="OG20" s="15033"/>
      <c r="OH20" s="15033"/>
      <c r="OI20" s="15033"/>
      <c r="OJ20" s="15033"/>
      <c r="OK20" s="15033"/>
      <c r="OL20" s="15033"/>
      <c r="OM20" s="15033"/>
      <c r="ON20" s="15037" t="s">
        <v>419</v>
      </c>
      <c r="OO20" s="15033"/>
      <c r="OP20" s="15037" t="s">
        <v>420</v>
      </c>
    </row>
    <row customHeight="1" ht="14.25" hidden="1">
      <c r="O21" s="1592"/>
      <c r="AR21" s="6423"/>
      <c r="AS21" s="6423"/>
      <c r="AT21" s="6423"/>
      <c r="AU21" s="6423"/>
      <c r="AV21" s="6423"/>
      <c r="AW21" s="6423"/>
      <c r="AX21" s="6423"/>
      <c r="AY21" s="6423"/>
      <c r="AZ21" s="6423"/>
      <c r="BA21" s="6423"/>
      <c r="BB21" s="6423"/>
      <c r="BC21" s="6423"/>
      <c r="BD21" s="6423"/>
      <c r="BE21" s="6423"/>
      <c r="BF21" s="6423"/>
      <c r="BG21" s="6423"/>
      <c r="BH21" s="6423"/>
      <c r="BI21" s="6423"/>
      <c r="BJ21" s="6423"/>
      <c r="BK21" s="6423"/>
      <c r="BL21" s="6423"/>
      <c r="BM21" s="6423"/>
      <c r="BN21" s="9287"/>
      <c r="BO21" s="9287"/>
      <c r="BP21" s="9287"/>
      <c r="BQ21" s="9287"/>
      <c r="BR21" s="9287"/>
      <c r="BS21" s="9287"/>
      <c r="BT21" s="9287"/>
      <c r="BU21" s="9287"/>
      <c r="BV21" s="9287"/>
      <c r="BW21" s="9287"/>
      <c r="BX21" s="9287"/>
      <c r="BY21" s="9287"/>
      <c r="BZ21" s="9287"/>
      <c r="CA21" s="9287"/>
      <c r="CB21" s="9287"/>
      <c r="CC21" s="9287"/>
      <c r="CD21" s="9287"/>
      <c r="CE21" s="9287"/>
      <c r="CF21" s="9287"/>
      <c r="CG21" s="9287"/>
      <c r="CH21" s="9287"/>
      <c r="CI21" s="9287"/>
      <c r="CJ21" s="9287"/>
      <c r="CK21" s="9287"/>
      <c r="CL21" s="9287"/>
      <c r="CM21" s="9287"/>
      <c r="CN21" s="9287"/>
      <c r="CO21" s="9287"/>
      <c r="CP21" s="9287"/>
      <c r="CQ21" s="9287"/>
      <c r="CR21" s="9287"/>
      <c r="CS21" s="9287"/>
      <c r="CT21" s="9287"/>
      <c r="CU21" s="9287"/>
      <c r="CV21" s="9287"/>
      <c r="CW21" s="9287"/>
      <c r="CX21" s="9287"/>
      <c r="CY21" s="9287"/>
      <c r="CZ21" s="9287"/>
      <c r="DA21" s="9287"/>
      <c r="DB21" s="9287"/>
      <c r="DC21" s="9287"/>
      <c r="DD21" s="9287"/>
      <c r="DE21" s="9287"/>
      <c r="DF21" s="9287"/>
      <c r="DG21" s="9287"/>
      <c r="DH21" s="9287"/>
      <c r="DI21" s="9287"/>
      <c r="DJ21" s="9287"/>
      <c r="DK21" s="9287"/>
      <c r="DL21" s="9287"/>
      <c r="DM21" s="9287"/>
      <c r="DN21" s="9287"/>
      <c r="DO21" s="9287"/>
      <c r="DP21" s="9287"/>
      <c r="DQ21" s="9287"/>
      <c r="DR21" s="9287"/>
      <c r="DS21" s="9287"/>
      <c r="DT21" s="9287"/>
      <c r="DU21" s="9287"/>
      <c r="DV21" s="9287"/>
      <c r="DW21" s="9287"/>
      <c r="DX21" s="9287"/>
      <c r="DY21" s="9287"/>
      <c r="DZ21" s="9287"/>
      <c r="EA21" s="9287"/>
      <c r="EB21" s="9287"/>
      <c r="EC21" s="9287"/>
      <c r="ED21" s="9287"/>
      <c r="EE21" s="9287"/>
      <c r="EF21" s="9287"/>
      <c r="EG21" s="9287"/>
      <c r="EH21" s="9287"/>
      <c r="EI21" s="9287"/>
      <c r="EJ21" s="9287"/>
      <c r="EK21" s="9287"/>
      <c r="EL21" s="9287"/>
      <c r="EM21" s="9287"/>
      <c r="EN21" s="9287"/>
      <c r="EO21" s="9287"/>
      <c r="EP21" s="9287"/>
      <c r="EQ21" s="9287"/>
      <c r="ER21" s="9287"/>
      <c r="ES21" s="9287"/>
      <c r="ET21" s="9287"/>
      <c r="EU21" s="9287"/>
      <c r="EV21" s="9287"/>
      <c r="EW21" s="9287"/>
      <c r="EX21" s="9287"/>
      <c r="EY21" s="9287"/>
      <c r="EZ21" s="9287"/>
      <c r="FA21" s="9287"/>
      <c r="FB21" s="9287"/>
      <c r="FC21" s="9287"/>
      <c r="FD21" s="9287"/>
      <c r="FE21" s="9287"/>
      <c r="FF21" s="9287"/>
      <c r="FG21" s="9287"/>
      <c r="FH21" s="9287"/>
      <c r="FI21" s="9287"/>
      <c r="FJ21" s="9287"/>
      <c r="FK21" s="9287"/>
      <c r="FL21" s="9287"/>
      <c r="FM21" s="9287"/>
      <c r="FN21" s="9287"/>
      <c r="FO21" s="9287"/>
      <c r="FP21" s="9287"/>
      <c r="FQ21" s="9287"/>
      <c r="FR21" s="9287"/>
      <c r="FS21" s="9287"/>
      <c r="FT21" s="9287"/>
      <c r="FU21" s="9287"/>
      <c r="FV21" s="9287"/>
      <c r="FW21" s="9287"/>
      <c r="FX21" s="9287"/>
      <c r="FY21" s="9287"/>
      <c r="FZ21" s="9287"/>
      <c r="GA21" s="9287"/>
      <c r="GB21" s="9287"/>
      <c r="GC21" s="9287"/>
      <c r="GD21" s="9287"/>
      <c r="GE21" s="9287"/>
      <c r="GF21" s="9287"/>
      <c r="GG21" s="9287"/>
      <c r="GH21" s="9287"/>
      <c r="GI21" s="9287"/>
      <c r="GJ21" s="9287"/>
      <c r="GK21" s="9287"/>
      <c r="GL21" s="9287"/>
      <c r="GM21" s="9287"/>
      <c r="GN21" s="9287"/>
      <c r="GO21" s="9287"/>
      <c r="GP21" s="9287"/>
      <c r="GQ21" s="9287"/>
      <c r="GR21" s="9287"/>
      <c r="GS21" s="9287"/>
      <c r="GT21" s="9287"/>
      <c r="GU21" s="9287"/>
      <c r="GV21" s="9287"/>
      <c r="GW21" s="9287"/>
      <c r="GX21" s="9287"/>
      <c r="GY21" s="9287"/>
      <c r="GZ21" s="9287"/>
      <c r="HA21" s="9287"/>
      <c r="HB21" s="9287"/>
      <c r="HC21" s="9287"/>
      <c r="HD21" s="9287"/>
      <c r="HE21" s="9287"/>
      <c r="HF21" s="9287"/>
      <c r="HG21" s="9287"/>
      <c r="HH21" s="9287"/>
      <c r="HI21" s="9287"/>
      <c r="HJ21" s="9287"/>
      <c r="HK21" s="9287"/>
      <c r="HL21" s="9287"/>
      <c r="HM21" s="9287"/>
      <c r="HN21" s="9287"/>
      <c r="HO21" s="9287"/>
      <c r="HP21" s="9287"/>
      <c r="HQ21" s="9287"/>
      <c r="HR21" s="9287"/>
      <c r="HS21" s="9287"/>
      <c r="HT21" s="9287"/>
      <c r="HU21" s="9287"/>
      <c r="HV21" s="9287"/>
      <c r="HW21" s="9287"/>
      <c r="HX21" s="9287"/>
      <c r="HY21" s="9287"/>
      <c r="HZ21" s="9287"/>
      <c r="IA21" s="9287"/>
      <c r="IB21" s="9287"/>
      <c r="IC21" s="9287"/>
      <c r="ID21" s="9287"/>
      <c r="IE21" s="9287"/>
      <c r="IF21" s="9287"/>
      <c r="IG21" s="9287"/>
      <c r="IH21" s="9287"/>
      <c r="II21" s="9287"/>
      <c r="IJ21" s="9287"/>
      <c r="IK21" s="9287"/>
      <c r="IL21" s="9287"/>
      <c r="IM21" s="9287"/>
      <c r="IN21" s="9287"/>
      <c r="IO21" s="9287"/>
      <c r="IP21" s="9287"/>
      <c r="IQ21" s="9287"/>
      <c r="IR21" s="9287"/>
      <c r="IS21" s="9287"/>
      <c r="IT21" s="9287"/>
      <c r="IU21" s="9287"/>
      <c r="IV21" s="9287"/>
      <c r="IW21" s="9287"/>
      <c r="IX21" s="9287"/>
      <c r="IY21" s="9287"/>
      <c r="IZ21" s="9287"/>
      <c r="JA21" s="9287"/>
      <c r="JB21" s="9287"/>
      <c r="JC21" s="9287"/>
      <c r="JD21" s="9287"/>
      <c r="JE21" s="9287"/>
      <c r="JF21" s="9287"/>
      <c r="JG21" s="9287"/>
      <c r="JH21" s="9287"/>
      <c r="JI21" s="9287"/>
      <c r="JJ21" s="9287"/>
      <c r="JK21" s="9287"/>
      <c r="JL21" s="9287"/>
      <c r="JM21" s="9287"/>
      <c r="JN21" s="9287"/>
      <c r="JO21" s="9287"/>
      <c r="JP21" s="9287"/>
      <c r="JQ21" s="9287"/>
      <c r="JR21" s="9287"/>
      <c r="JS21" s="9287"/>
      <c r="JT21" s="9287"/>
      <c r="JU21" s="9287"/>
      <c r="JV21" s="9287"/>
      <c r="JW21" s="9287"/>
      <c r="JX21" s="9287"/>
      <c r="JY21" s="9287"/>
      <c r="JZ21" s="9287"/>
      <c r="KA21" s="9287"/>
      <c r="KB21" s="9287"/>
      <c r="KC21" s="9287"/>
      <c r="KD21" s="9287"/>
      <c r="KE21" s="9287"/>
      <c r="KF21" s="9287"/>
      <c r="KG21" s="9287"/>
      <c r="KH21" s="9287"/>
      <c r="KI21" s="9287"/>
      <c r="KJ21" s="9287"/>
      <c r="KK21" s="9287"/>
      <c r="KL21" s="9287"/>
      <c r="KM21" s="9287"/>
      <c r="KN21" s="9287"/>
      <c r="KO21" s="9287"/>
      <c r="KP21" s="9287"/>
      <c r="KQ21" s="9287"/>
      <c r="KR21" s="9287"/>
      <c r="KS21" s="9287"/>
      <c r="KT21" s="9287"/>
      <c r="KU21" s="9287"/>
      <c r="KV21" s="13894"/>
      <c r="KW21" s="13894"/>
      <c r="KX21" s="13894"/>
      <c r="KY21" s="13894"/>
      <c r="KZ21" s="13894"/>
      <c r="LA21" s="13894"/>
      <c r="LB21" s="13894"/>
      <c r="LC21" s="13894"/>
      <c r="LD21" s="13894"/>
      <c r="LE21" s="13894"/>
      <c r="LF21" s="13894"/>
      <c r="LG21" s="13894"/>
      <c r="LH21" s="13894"/>
      <c r="LI21" s="13894"/>
      <c r="LJ21" s="13894"/>
      <c r="LK21" s="13894"/>
      <c r="LL21" s="13894"/>
      <c r="LM21" s="13894"/>
      <c r="LN21" s="13894"/>
      <c r="LO21" s="13894"/>
      <c r="LP21" s="13894"/>
      <c r="LQ21" s="13894"/>
      <c r="LR21" s="13894"/>
      <c r="LS21" s="13894"/>
      <c r="LT21" s="13894"/>
      <c r="LU21" s="13894"/>
      <c r="LV21" s="13894"/>
      <c r="LW21" s="13894"/>
      <c r="LX21" s="13894"/>
      <c r="LY21" s="13894"/>
      <c r="LZ21" s="13894"/>
      <c r="MA21" s="13894"/>
      <c r="MB21" s="13894"/>
      <c r="MC21" s="13894"/>
      <c r="MD21" s="13894"/>
      <c r="ME21" s="13894"/>
      <c r="MF21" s="13894"/>
      <c r="MG21" s="13894"/>
      <c r="MH21" s="13894"/>
      <c r="MI21" s="13894"/>
      <c r="MJ21" s="13894"/>
      <c r="MK21" s="13894"/>
      <c r="ML21" s="13894"/>
      <c r="MM21" s="13894"/>
      <c r="MN21" s="13894"/>
      <c r="MO21" s="13894"/>
      <c r="MP21" s="13894"/>
      <c r="MQ21" s="13894"/>
      <c r="MR21" s="13894"/>
      <c r="MS21" s="13894"/>
      <c r="MT21" s="13894"/>
      <c r="MU21" s="13894"/>
      <c r="MV21" s="13894"/>
      <c r="MW21" s="13894"/>
      <c r="MX21" s="13894"/>
      <c r="MY21" s="13894"/>
      <c r="MZ21" s="13894"/>
      <c r="NA21" s="13894"/>
      <c r="NB21" s="13894"/>
      <c r="NC21" s="13894"/>
      <c r="ND21" s="13894"/>
      <c r="NE21" s="13894"/>
      <c r="NF21" s="13894"/>
      <c r="NG21" s="13894"/>
      <c r="NH21" s="13894"/>
      <c r="NI21" s="13894"/>
      <c r="NJ21" s="13894"/>
      <c r="NK21" s="13894"/>
      <c r="NL21" s="13894"/>
      <c r="NM21" s="13894"/>
      <c r="NN21" s="13894"/>
      <c r="NO21" s="13894"/>
      <c r="NP21" s="13894"/>
      <c r="NQ21" s="13894"/>
      <c r="NR21" s="13894"/>
      <c r="NS21" s="13894"/>
      <c r="NT21" s="13894"/>
      <c r="NU21" s="13894"/>
      <c r="NV21" s="13894"/>
      <c r="NW21" s="13894"/>
      <c r="NX21" s="13894"/>
      <c r="NY21" s="13894"/>
      <c r="NZ21" s="13894"/>
      <c r="OA21" s="13894"/>
      <c r="OB21" s="13894"/>
      <c r="OC21" s="13894"/>
      <c r="OD21" s="13894"/>
      <c r="OE21" s="13894"/>
      <c r="OF21" s="13894"/>
      <c r="OG21" s="13894"/>
      <c r="OH21" s="13894"/>
      <c r="OI21" s="13894"/>
      <c r="OJ21" s="13894"/>
      <c r="OK21" s="13894"/>
      <c r="OL21" s="13894"/>
      <c r="OM21" s="13894"/>
      <c r="ON21" s="13894"/>
      <c r="OO21" s="13894"/>
      <c r="OP21" s="13894"/>
    </row>
    <row customHeight="1" ht="14.25" hidden="1">
      <c r="O22" s="1592"/>
      <c r="AR22" s="6423"/>
      <c r="AS22" s="6423"/>
      <c r="AT22" s="6423"/>
      <c r="AU22" s="6423"/>
      <c r="AV22" s="6423"/>
      <c r="AW22" s="6423"/>
      <c r="AX22" s="6423"/>
      <c r="AY22" s="6423"/>
      <c r="AZ22" s="6423"/>
      <c r="BA22" s="6423"/>
      <c r="BB22" s="6423"/>
      <c r="BC22" s="6423"/>
      <c r="BD22" s="6423"/>
      <c r="BE22" s="6423"/>
      <c r="BF22" s="6423"/>
      <c r="BG22" s="6423"/>
      <c r="BH22" s="6423"/>
      <c r="BI22" s="6423"/>
      <c r="BJ22" s="6423"/>
      <c r="BK22" s="6423"/>
      <c r="BL22" s="6423"/>
      <c r="BM22" s="6423"/>
      <c r="BN22" s="9287"/>
      <c r="BO22" s="9287"/>
      <c r="BP22" s="9287"/>
      <c r="BQ22" s="9287"/>
      <c r="BR22" s="9287"/>
      <c r="BS22" s="9287"/>
      <c r="BT22" s="9287"/>
      <c r="BU22" s="9287"/>
      <c r="BV22" s="9287"/>
      <c r="BW22" s="9287"/>
      <c r="BX22" s="9287"/>
      <c r="BY22" s="9287"/>
      <c r="BZ22" s="9287"/>
      <c r="CA22" s="9287"/>
      <c r="CB22" s="9287"/>
      <c r="CC22" s="9287"/>
      <c r="CD22" s="9287"/>
      <c r="CE22" s="9287"/>
      <c r="CF22" s="9287"/>
      <c r="CG22" s="9287"/>
      <c r="CH22" s="9287"/>
      <c r="CI22" s="9287"/>
      <c r="CJ22" s="9287"/>
      <c r="CK22" s="9287"/>
      <c r="CL22" s="9287"/>
      <c r="CM22" s="9287"/>
      <c r="CN22" s="9287"/>
      <c r="CO22" s="9287"/>
      <c r="CP22" s="9287"/>
      <c r="CQ22" s="9287"/>
      <c r="CR22" s="9287"/>
      <c r="CS22" s="9287"/>
      <c r="CT22" s="9287"/>
      <c r="CU22" s="9287"/>
      <c r="CV22" s="9287"/>
      <c r="CW22" s="9287"/>
      <c r="CX22" s="9287"/>
      <c r="CY22" s="9287"/>
      <c r="CZ22" s="9287"/>
      <c r="DA22" s="9287"/>
      <c r="DB22" s="9287"/>
      <c r="DC22" s="9287"/>
      <c r="DD22" s="9287"/>
      <c r="DE22" s="9287"/>
      <c r="DF22" s="9287"/>
      <c r="DG22" s="9287"/>
      <c r="DH22" s="9287"/>
      <c r="DI22" s="9287"/>
      <c r="DJ22" s="9287"/>
      <c r="DK22" s="9287"/>
      <c r="DL22" s="9287"/>
      <c r="DM22" s="9287"/>
      <c r="DN22" s="9287"/>
      <c r="DO22" s="9287"/>
      <c r="DP22" s="9287"/>
      <c r="DQ22" s="9287"/>
      <c r="DR22" s="9287"/>
      <c r="DS22" s="9287"/>
      <c r="DT22" s="9287"/>
      <c r="DU22" s="9287"/>
      <c r="DV22" s="9287"/>
      <c r="DW22" s="9287"/>
      <c r="DX22" s="9287"/>
      <c r="DY22" s="9287"/>
      <c r="DZ22" s="9287"/>
      <c r="EA22" s="9287"/>
      <c r="EB22" s="9287"/>
      <c r="EC22" s="9287"/>
      <c r="ED22" s="9287"/>
      <c r="EE22" s="9287"/>
      <c r="EF22" s="9287"/>
      <c r="EG22" s="9287"/>
      <c r="EH22" s="9287"/>
      <c r="EI22" s="9287"/>
      <c r="EJ22" s="9287"/>
      <c r="EK22" s="9287"/>
      <c r="EL22" s="9287"/>
      <c r="EM22" s="9287"/>
      <c r="EN22" s="9287"/>
      <c r="EO22" s="9287"/>
      <c r="EP22" s="9287"/>
      <c r="EQ22" s="9287"/>
      <c r="ER22" s="9287"/>
      <c r="ES22" s="9287"/>
      <c r="ET22" s="9287"/>
      <c r="EU22" s="9287"/>
      <c r="EV22" s="9287"/>
      <c r="EW22" s="9287"/>
      <c r="EX22" s="9287"/>
      <c r="EY22" s="9287"/>
      <c r="EZ22" s="9287"/>
      <c r="FA22" s="9287"/>
      <c r="FB22" s="9287"/>
      <c r="FC22" s="9287"/>
      <c r="FD22" s="9287"/>
      <c r="FE22" s="9287"/>
      <c r="FF22" s="9287"/>
      <c r="FG22" s="9287"/>
      <c r="FH22" s="9287"/>
      <c r="FI22" s="9287"/>
      <c r="FJ22" s="9287"/>
      <c r="FK22" s="9287"/>
      <c r="FL22" s="9287"/>
      <c r="FM22" s="9287"/>
      <c r="FN22" s="9287"/>
      <c r="FO22" s="9287"/>
      <c r="FP22" s="9287"/>
      <c r="FQ22" s="9287"/>
      <c r="FR22" s="9287"/>
      <c r="FS22" s="9287"/>
      <c r="FT22" s="9287"/>
      <c r="FU22" s="9287"/>
      <c r="FV22" s="9287"/>
      <c r="FW22" s="9287"/>
      <c r="FX22" s="9287"/>
      <c r="FY22" s="9287"/>
      <c r="FZ22" s="9287"/>
      <c r="GA22" s="9287"/>
      <c r="GB22" s="9287"/>
      <c r="GC22" s="9287"/>
      <c r="GD22" s="9287"/>
      <c r="GE22" s="9287"/>
      <c r="GF22" s="9287"/>
      <c r="GG22" s="9287"/>
      <c r="GH22" s="9287"/>
      <c r="GI22" s="9287"/>
      <c r="GJ22" s="9287"/>
      <c r="GK22" s="9287"/>
      <c r="GL22" s="9287"/>
      <c r="GM22" s="9287"/>
      <c r="GN22" s="9287"/>
      <c r="GO22" s="9287"/>
      <c r="GP22" s="9287"/>
      <c r="GQ22" s="9287"/>
      <c r="GR22" s="9287"/>
      <c r="GS22" s="9287"/>
      <c r="GT22" s="9287"/>
      <c r="GU22" s="9287"/>
      <c r="GV22" s="9287"/>
      <c r="GW22" s="9287"/>
      <c r="GX22" s="9287"/>
      <c r="GY22" s="9287"/>
      <c r="GZ22" s="9287"/>
      <c r="HA22" s="9287"/>
      <c r="HB22" s="9287"/>
      <c r="HC22" s="9287"/>
      <c r="HD22" s="9287"/>
      <c r="HE22" s="9287"/>
      <c r="HF22" s="9287"/>
      <c r="HG22" s="9287"/>
      <c r="HH22" s="9287"/>
      <c r="HI22" s="9287"/>
      <c r="HJ22" s="9287"/>
      <c r="HK22" s="9287"/>
      <c r="HL22" s="9287"/>
      <c r="HM22" s="9287"/>
      <c r="HN22" s="9287"/>
      <c r="HO22" s="9287"/>
      <c r="HP22" s="9287"/>
      <c r="HQ22" s="9287"/>
      <c r="HR22" s="9287"/>
      <c r="HS22" s="9287"/>
      <c r="HT22" s="9287"/>
      <c r="HU22" s="9287"/>
      <c r="HV22" s="9287"/>
      <c r="HW22" s="9287"/>
      <c r="HX22" s="9287"/>
      <c r="HY22" s="9287"/>
      <c r="HZ22" s="9287"/>
      <c r="IA22" s="9287"/>
      <c r="IB22" s="9287"/>
      <c r="IC22" s="9287"/>
      <c r="ID22" s="9287"/>
      <c r="IE22" s="9287"/>
      <c r="IF22" s="9287"/>
      <c r="IG22" s="9287"/>
      <c r="IH22" s="9287"/>
      <c r="II22" s="9287"/>
      <c r="IJ22" s="9287"/>
      <c r="IK22" s="9287"/>
      <c r="IL22" s="9287"/>
      <c r="IM22" s="9287"/>
      <c r="IN22" s="9287"/>
      <c r="IO22" s="9287"/>
      <c r="IP22" s="9287"/>
      <c r="IQ22" s="9287"/>
      <c r="IR22" s="9287"/>
      <c r="IS22" s="9287"/>
      <c r="IT22" s="9287"/>
      <c r="IU22" s="9287"/>
      <c r="IV22" s="9287"/>
      <c r="IW22" s="9287"/>
      <c r="IX22" s="9287"/>
      <c r="IY22" s="9287"/>
      <c r="IZ22" s="9287"/>
      <c r="JA22" s="9287"/>
      <c r="JB22" s="9287"/>
      <c r="JC22" s="9287"/>
      <c r="JD22" s="9287"/>
      <c r="JE22" s="9287"/>
      <c r="JF22" s="9287"/>
      <c r="JG22" s="9287"/>
      <c r="JH22" s="9287"/>
      <c r="JI22" s="9287"/>
      <c r="JJ22" s="9287"/>
      <c r="JK22" s="9287"/>
      <c r="JL22" s="9287"/>
      <c r="JM22" s="9287"/>
      <c r="JN22" s="9287"/>
      <c r="JO22" s="9287"/>
      <c r="JP22" s="9287"/>
      <c r="JQ22" s="9287"/>
      <c r="JR22" s="9287"/>
      <c r="JS22" s="9287"/>
      <c r="JT22" s="9287"/>
      <c r="JU22" s="9287"/>
      <c r="JV22" s="9287"/>
      <c r="JW22" s="9287"/>
      <c r="JX22" s="9287"/>
      <c r="JY22" s="9287"/>
      <c r="JZ22" s="9287"/>
      <c r="KA22" s="9287"/>
      <c r="KB22" s="9287"/>
      <c r="KC22" s="9287"/>
      <c r="KD22" s="9287"/>
      <c r="KE22" s="9287"/>
      <c r="KF22" s="9287"/>
      <c r="KG22" s="9287"/>
      <c r="KH22" s="9287"/>
      <c r="KI22" s="9287"/>
      <c r="KJ22" s="9287"/>
      <c r="KK22" s="9287"/>
      <c r="KL22" s="9287"/>
      <c r="KM22" s="9287"/>
      <c r="KN22" s="9287"/>
      <c r="KO22" s="9287"/>
      <c r="KP22" s="9287"/>
      <c r="KQ22" s="9287"/>
      <c r="KR22" s="9287"/>
      <c r="KS22" s="9287"/>
      <c r="KT22" s="9287"/>
      <c r="KU22" s="9287"/>
      <c r="KV22" s="13894"/>
      <c r="KW22" s="13894"/>
      <c r="KX22" s="13894"/>
      <c r="KY22" s="13894"/>
      <c r="KZ22" s="13894"/>
      <c r="LA22" s="13894"/>
      <c r="LB22" s="13894"/>
      <c r="LC22" s="13894"/>
      <c r="LD22" s="13894"/>
      <c r="LE22" s="13894"/>
      <c r="LF22" s="13894"/>
      <c r="LG22" s="13894"/>
      <c r="LH22" s="13894"/>
      <c r="LI22" s="13894"/>
      <c r="LJ22" s="13894"/>
      <c r="LK22" s="13894"/>
      <c r="LL22" s="13894"/>
      <c r="LM22" s="13894"/>
      <c r="LN22" s="13894"/>
      <c r="LO22" s="13894"/>
      <c r="LP22" s="13894"/>
      <c r="LQ22" s="13894"/>
      <c r="LR22" s="13894"/>
      <c r="LS22" s="13894"/>
      <c r="LT22" s="13894"/>
      <c r="LU22" s="13894"/>
      <c r="LV22" s="13894"/>
      <c r="LW22" s="13894"/>
      <c r="LX22" s="13894"/>
      <c r="LY22" s="13894"/>
      <c r="LZ22" s="13894"/>
      <c r="MA22" s="13894"/>
      <c r="MB22" s="13894"/>
      <c r="MC22" s="13894"/>
      <c r="MD22" s="13894"/>
      <c r="ME22" s="13894"/>
      <c r="MF22" s="13894"/>
      <c r="MG22" s="13894"/>
      <c r="MH22" s="13894"/>
      <c r="MI22" s="13894"/>
      <c r="MJ22" s="13894"/>
      <c r="MK22" s="13894"/>
      <c r="ML22" s="13894"/>
      <c r="MM22" s="13894"/>
      <c r="MN22" s="13894"/>
      <c r="MO22" s="13894"/>
      <c r="MP22" s="13894"/>
      <c r="MQ22" s="13894"/>
      <c r="MR22" s="13894"/>
      <c r="MS22" s="13894"/>
      <c r="MT22" s="13894"/>
      <c r="MU22" s="13894"/>
      <c r="MV22" s="13894"/>
      <c r="MW22" s="13894"/>
      <c r="MX22" s="13894"/>
      <c r="MY22" s="13894"/>
      <c r="MZ22" s="13894"/>
      <c r="NA22" s="13894"/>
      <c r="NB22" s="13894"/>
      <c r="NC22" s="13894"/>
      <c r="ND22" s="13894"/>
      <c r="NE22" s="13894"/>
      <c r="NF22" s="13894"/>
      <c r="NG22" s="13894"/>
      <c r="NH22" s="13894"/>
      <c r="NI22" s="13894"/>
      <c r="NJ22" s="13894"/>
      <c r="NK22" s="13894"/>
      <c r="NL22" s="13894"/>
      <c r="NM22" s="13894"/>
      <c r="NN22" s="13894"/>
      <c r="NO22" s="13894"/>
      <c r="NP22" s="13894"/>
      <c r="NQ22" s="13894"/>
      <c r="NR22" s="13894"/>
      <c r="NS22" s="13894"/>
      <c r="NT22" s="13894"/>
      <c r="NU22" s="13894"/>
      <c r="NV22" s="13894"/>
      <c r="NW22" s="13894"/>
      <c r="NX22" s="13894"/>
      <c r="NY22" s="13894"/>
      <c r="NZ22" s="13894"/>
      <c r="OA22" s="13894"/>
      <c r="OB22" s="13894"/>
      <c r="OC22" s="13894"/>
      <c r="OD22" s="13894"/>
      <c r="OE22" s="13894"/>
      <c r="OF22" s="13894"/>
      <c r="OG22" s="13894"/>
      <c r="OH22" s="13894"/>
      <c r="OI22" s="13894"/>
      <c r="OJ22" s="13894"/>
      <c r="OK22" s="13894"/>
      <c r="OL22" s="13894"/>
      <c r="OM22" s="13894"/>
      <c r="ON22" s="13894"/>
      <c r="OO22" s="13894"/>
      <c r="OP22" s="13894"/>
    </row>
    <row customHeight="1" ht="14.25">
      <c r="Q23" s="599"/>
      <c r="R23" s="599"/>
      <c r="S23" s="1503"/>
      <c r="T23" s="586"/>
      <c r="U23" s="586"/>
      <c r="V23" s="732"/>
      <c r="W23" s="1863"/>
      <c r="X23" s="1863"/>
      <c r="Y23" s="1863"/>
      <c r="Z23" s="1863"/>
      <c r="AA23" s="1863"/>
      <c r="AB23" s="1863"/>
      <c r="AC23" s="732"/>
      <c r="AD23" s="732"/>
      <c r="AE23" s="732"/>
      <c r="AF23" s="732"/>
      <c r="AG23" s="732"/>
      <c r="AH23" s="1863"/>
      <c r="AI23" s="1863"/>
      <c r="AJ23" s="1863"/>
      <c r="AK23" s="1863"/>
      <c r="AL23" s="1863"/>
      <c r="AM23" s="732"/>
      <c r="AN23" s="732"/>
      <c r="AO23" s="732"/>
      <c r="AP23" s="732"/>
      <c r="AQ23" s="732"/>
      <c r="AR23" s="6423"/>
      <c r="AS23" s="6423"/>
      <c r="AT23" s="6423"/>
      <c r="AU23" s="6423"/>
      <c r="AV23" s="6423"/>
      <c r="AW23" s="6423"/>
      <c r="AX23" s="6423"/>
      <c r="AY23" s="6423"/>
      <c r="AZ23" s="6423"/>
      <c r="BA23" s="6423"/>
      <c r="BB23" s="6423"/>
      <c r="BC23" s="6423"/>
      <c r="BD23" s="6423"/>
      <c r="BE23" s="6423"/>
      <c r="BF23" s="6423"/>
      <c r="BG23" s="6423"/>
      <c r="BH23" s="6423"/>
      <c r="BI23" s="6423"/>
      <c r="BJ23" s="6423"/>
      <c r="BK23" s="6423"/>
      <c r="BL23" s="6423"/>
      <c r="BM23" s="6423"/>
      <c r="BN23" s="9287"/>
      <c r="BO23" s="9287"/>
      <c r="BP23" s="9287"/>
      <c r="BQ23" s="9287"/>
      <c r="BR23" s="9287"/>
      <c r="BS23" s="9287"/>
      <c r="BT23" s="9287"/>
      <c r="BU23" s="9287"/>
      <c r="BV23" s="9287"/>
      <c r="BW23" s="9287"/>
      <c r="BX23" s="9287"/>
      <c r="BY23" s="9287"/>
      <c r="BZ23" s="9287"/>
      <c r="CA23" s="9287"/>
      <c r="CB23" s="9287"/>
      <c r="CC23" s="9287"/>
      <c r="CD23" s="9287"/>
      <c r="CE23" s="9287"/>
      <c r="CF23" s="9287"/>
      <c r="CG23" s="9287"/>
      <c r="CH23" s="9287"/>
      <c r="CI23" s="9287"/>
      <c r="CJ23" s="9287"/>
      <c r="CK23" s="9287"/>
      <c r="CL23" s="9287"/>
      <c r="CM23" s="9287"/>
      <c r="CN23" s="9287"/>
      <c r="CO23" s="9287"/>
      <c r="CP23" s="9287"/>
      <c r="CQ23" s="9287"/>
      <c r="CR23" s="9287"/>
      <c r="CS23" s="9287"/>
      <c r="CT23" s="9287"/>
      <c r="CU23" s="9287"/>
      <c r="CV23" s="9287"/>
      <c r="CW23" s="9287"/>
      <c r="CX23" s="9287"/>
      <c r="CY23" s="9287"/>
      <c r="CZ23" s="9287"/>
      <c r="DA23" s="9287"/>
      <c r="DB23" s="9287"/>
      <c r="DC23" s="9287"/>
      <c r="DD23" s="9287"/>
      <c r="DE23" s="9287"/>
      <c r="DF23" s="9287"/>
      <c r="DG23" s="9287"/>
      <c r="DH23" s="9287"/>
      <c r="DI23" s="9287"/>
      <c r="DJ23" s="9287"/>
      <c r="DK23" s="9287"/>
      <c r="DL23" s="9287"/>
      <c r="DM23" s="9287"/>
      <c r="DN23" s="9287"/>
      <c r="DO23" s="9287"/>
      <c r="DP23" s="9287"/>
      <c r="DQ23" s="9287"/>
      <c r="DR23" s="9287"/>
      <c r="DS23" s="9287"/>
      <c r="DT23" s="9287"/>
      <c r="DU23" s="9287"/>
      <c r="DV23" s="9287"/>
      <c r="DW23" s="9287"/>
      <c r="DX23" s="9287"/>
      <c r="DY23" s="9287"/>
      <c r="DZ23" s="9287"/>
      <c r="EA23" s="9287"/>
      <c r="EB23" s="9287"/>
      <c r="EC23" s="9287"/>
      <c r="ED23" s="9287"/>
      <c r="EE23" s="9287"/>
      <c r="EF23" s="9287"/>
      <c r="EG23" s="9287"/>
      <c r="EH23" s="9287"/>
      <c r="EI23" s="9287"/>
      <c r="EJ23" s="9287"/>
      <c r="EK23" s="9287"/>
      <c r="EL23" s="9287"/>
      <c r="EM23" s="9287"/>
      <c r="EN23" s="9287"/>
      <c r="EO23" s="9287"/>
      <c r="EP23" s="9287"/>
      <c r="EQ23" s="9287"/>
      <c r="ER23" s="9287"/>
      <c r="ES23" s="9287"/>
      <c r="ET23" s="9287"/>
      <c r="EU23" s="9287"/>
      <c r="EV23" s="9287"/>
      <c r="EW23" s="9287"/>
      <c r="EX23" s="9287"/>
      <c r="EY23" s="9287"/>
      <c r="EZ23" s="9287"/>
      <c r="FA23" s="9287"/>
      <c r="FB23" s="9287"/>
      <c r="FC23" s="9287"/>
      <c r="FD23" s="9287"/>
      <c r="FE23" s="9287"/>
      <c r="FF23" s="9287"/>
      <c r="FG23" s="9287"/>
      <c r="FH23" s="9287"/>
      <c r="FI23" s="9287"/>
      <c r="FJ23" s="9287"/>
      <c r="FK23" s="9287"/>
      <c r="FL23" s="9287"/>
      <c r="FM23" s="9287"/>
      <c r="FN23" s="9287"/>
      <c r="FO23" s="9287"/>
      <c r="FP23" s="9287"/>
      <c r="FQ23" s="9287"/>
      <c r="FR23" s="9287"/>
      <c r="FS23" s="9287"/>
      <c r="FT23" s="9287"/>
      <c r="FU23" s="9287"/>
      <c r="FV23" s="9287"/>
      <c r="FW23" s="9287"/>
      <c r="FX23" s="9287"/>
      <c r="FY23" s="9287"/>
      <c r="FZ23" s="9287"/>
      <c r="GA23" s="9287"/>
      <c r="GB23" s="9287"/>
      <c r="GC23" s="9287"/>
      <c r="GD23" s="9287"/>
      <c r="GE23" s="9287"/>
      <c r="GF23" s="9287"/>
      <c r="GG23" s="9287"/>
      <c r="GH23" s="9287"/>
      <c r="GI23" s="9287"/>
      <c r="GJ23" s="9287"/>
      <c r="GK23" s="9287"/>
      <c r="GL23" s="9287"/>
      <c r="GM23" s="9287"/>
      <c r="GN23" s="9287"/>
      <c r="GO23" s="9287"/>
      <c r="GP23" s="9287"/>
      <c r="GQ23" s="9287"/>
      <c r="GR23" s="9287"/>
      <c r="GS23" s="9287"/>
      <c r="GT23" s="9287"/>
      <c r="GU23" s="9287"/>
      <c r="GV23" s="9287"/>
      <c r="GW23" s="9287"/>
      <c r="GX23" s="9287"/>
      <c r="GY23" s="9287"/>
      <c r="GZ23" s="9287"/>
      <c r="HA23" s="9287"/>
      <c r="HB23" s="9287"/>
      <c r="HC23" s="9287"/>
      <c r="HD23" s="9287"/>
      <c r="HE23" s="9287"/>
      <c r="HF23" s="9287"/>
      <c r="HG23" s="9287"/>
      <c r="HH23" s="9287"/>
      <c r="HI23" s="9287"/>
      <c r="HJ23" s="9287"/>
      <c r="HK23" s="9287"/>
      <c r="HL23" s="9287"/>
      <c r="HM23" s="9287"/>
      <c r="HN23" s="9287"/>
      <c r="HO23" s="9287"/>
      <c r="HP23" s="9287"/>
      <c r="HQ23" s="9287"/>
      <c r="HR23" s="9287"/>
      <c r="HS23" s="9287"/>
      <c r="HT23" s="9287"/>
      <c r="HU23" s="9287"/>
      <c r="HV23" s="9287"/>
      <c r="HW23" s="9287"/>
      <c r="HX23" s="9287"/>
      <c r="HY23" s="9287"/>
      <c r="HZ23" s="9287"/>
      <c r="IA23" s="9287"/>
      <c r="IB23" s="9287"/>
      <c r="IC23" s="9287"/>
      <c r="ID23" s="9287"/>
      <c r="IE23" s="9287"/>
      <c r="IF23" s="9287"/>
      <c r="IG23" s="9287"/>
      <c r="IH23" s="9287"/>
      <c r="II23" s="9287"/>
      <c r="IJ23" s="9287"/>
      <c r="IK23" s="9287"/>
      <c r="IL23" s="9287"/>
      <c r="IM23" s="9287"/>
      <c r="IN23" s="9287"/>
      <c r="IO23" s="9287"/>
      <c r="IP23" s="9287"/>
      <c r="IQ23" s="9287"/>
      <c r="IR23" s="9287"/>
      <c r="IS23" s="9287"/>
      <c r="IT23" s="9287"/>
      <c r="IU23" s="9287"/>
      <c r="IV23" s="9287"/>
      <c r="IW23" s="9287"/>
      <c r="IX23" s="9287"/>
      <c r="IY23" s="9287"/>
      <c r="IZ23" s="9287"/>
      <c r="JA23" s="9287"/>
      <c r="JB23" s="9287"/>
      <c r="JC23" s="9287"/>
      <c r="JD23" s="9287"/>
      <c r="JE23" s="9287"/>
      <c r="JF23" s="9287"/>
      <c r="JG23" s="9287"/>
      <c r="JH23" s="9287"/>
      <c r="JI23" s="9287"/>
      <c r="JJ23" s="9287"/>
      <c r="JK23" s="9287"/>
      <c r="JL23" s="9287"/>
      <c r="JM23" s="9287"/>
      <c r="JN23" s="9287"/>
      <c r="JO23" s="9287"/>
      <c r="JP23" s="9287"/>
      <c r="JQ23" s="9287"/>
      <c r="JR23" s="9287"/>
      <c r="JS23" s="9287"/>
      <c r="JT23" s="9287"/>
      <c r="JU23" s="9287"/>
      <c r="JV23" s="9287"/>
      <c r="JW23" s="9287"/>
      <c r="JX23" s="9287"/>
      <c r="JY23" s="9287"/>
      <c r="JZ23" s="9287"/>
      <c r="KA23" s="9287"/>
      <c r="KB23" s="9287"/>
      <c r="KC23" s="9287"/>
      <c r="KD23" s="9287"/>
      <c r="KE23" s="9287"/>
      <c r="KF23" s="9287"/>
      <c r="KG23" s="9287"/>
      <c r="KH23" s="9287"/>
      <c r="KI23" s="9287"/>
      <c r="KJ23" s="9287"/>
      <c r="KK23" s="9287"/>
      <c r="KL23" s="9287"/>
      <c r="KM23" s="9287"/>
      <c r="KN23" s="9287"/>
      <c r="KO23" s="9287"/>
      <c r="KP23" s="9287"/>
      <c r="KQ23" s="9287"/>
      <c r="KR23" s="9287"/>
      <c r="KS23" s="9287"/>
      <c r="KT23" s="9287"/>
      <c r="KU23" s="9287"/>
      <c r="KV23" s="13894"/>
      <c r="KW23" s="13894"/>
      <c r="KX23" s="13894"/>
      <c r="KY23" s="13894"/>
      <c r="KZ23" s="13894"/>
      <c r="LA23" s="13894"/>
      <c r="LB23" s="13894"/>
      <c r="LC23" s="13894"/>
      <c r="LD23" s="13894"/>
      <c r="LE23" s="13894"/>
      <c r="LF23" s="13894"/>
      <c r="LG23" s="13894"/>
      <c r="LH23" s="13894"/>
      <c r="LI23" s="13894"/>
      <c r="LJ23" s="13894"/>
      <c r="LK23" s="13894"/>
      <c r="LL23" s="13894"/>
      <c r="LM23" s="13894"/>
      <c r="LN23" s="13894"/>
      <c r="LO23" s="13894"/>
      <c r="LP23" s="13894"/>
      <c r="LQ23" s="13894"/>
      <c r="LR23" s="13894"/>
      <c r="LS23" s="13894"/>
      <c r="LT23" s="13894"/>
      <c r="LU23" s="13894"/>
      <c r="LV23" s="13894"/>
      <c r="LW23" s="13894"/>
      <c r="LX23" s="13894"/>
      <c r="LY23" s="13894"/>
      <c r="LZ23" s="13894"/>
      <c r="MA23" s="13894"/>
      <c r="MB23" s="13894"/>
      <c r="MC23" s="13894"/>
      <c r="MD23" s="13894"/>
      <c r="ME23" s="13894"/>
      <c r="MF23" s="13894"/>
      <c r="MG23" s="13894"/>
      <c r="MH23" s="13894"/>
      <c r="MI23" s="13894"/>
      <c r="MJ23" s="13894"/>
      <c r="MK23" s="13894"/>
      <c r="ML23" s="13894"/>
      <c r="MM23" s="13894"/>
      <c r="MN23" s="13894"/>
      <c r="MO23" s="13894"/>
      <c r="MP23" s="13894"/>
      <c r="MQ23" s="13894"/>
      <c r="MR23" s="13894"/>
      <c r="MS23" s="13894"/>
      <c r="MT23" s="13894"/>
      <c r="MU23" s="13894"/>
      <c r="MV23" s="13894"/>
      <c r="MW23" s="13894"/>
      <c r="MX23" s="13894"/>
      <c r="MY23" s="13894"/>
      <c r="MZ23" s="13894"/>
      <c r="NA23" s="13894"/>
      <c r="NB23" s="13894"/>
      <c r="NC23" s="13894"/>
      <c r="ND23" s="13894"/>
      <c r="NE23" s="13894"/>
      <c r="NF23" s="13894"/>
      <c r="NG23" s="13894"/>
      <c r="NH23" s="13894"/>
      <c r="NI23" s="13894"/>
      <c r="NJ23" s="13894"/>
      <c r="NK23" s="13894"/>
      <c r="NL23" s="13894"/>
      <c r="NM23" s="13894"/>
      <c r="NN23" s="13894"/>
      <c r="NO23" s="13894"/>
      <c r="NP23" s="13894"/>
      <c r="NQ23" s="13894"/>
      <c r="NR23" s="13894"/>
      <c r="NS23" s="13894"/>
      <c r="NT23" s="13894"/>
      <c r="NU23" s="13894"/>
      <c r="NV23" s="13894"/>
      <c r="NW23" s="13894"/>
      <c r="NX23" s="13894"/>
      <c r="NY23" s="13894"/>
      <c r="NZ23" s="13894"/>
      <c r="OA23" s="13894"/>
      <c r="OB23" s="13894"/>
      <c r="OC23" s="13894"/>
      <c r="OD23" s="13894"/>
      <c r="OE23" s="13894"/>
      <c r="OF23" s="13894"/>
      <c r="OG23" s="13894"/>
      <c r="OH23" s="13894"/>
      <c r="OI23" s="13894"/>
      <c r="OJ23" s="13894"/>
      <c r="OK23" s="13894"/>
      <c r="OL23" s="13894"/>
      <c r="OM23" s="13894"/>
      <c r="ON23" s="13894"/>
      <c r="OO23" s="13894"/>
      <c r="OP23" s="13894"/>
    </row>
    <row customHeight="1" ht="24.75">
      <c r="Q24" s="599"/>
      <c r="R24" s="599"/>
      <c r="S24" s="24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2422"/>
      <c r="AJ24" s="2422"/>
      <c r="AK24" s="2422"/>
      <c r="AL24" s="2422"/>
      <c r="AM24" s="2422"/>
      <c r="AN24" s="2422"/>
      <c r="AO24" s="2422"/>
      <c r="AP24" s="2422"/>
      <c r="AQ24" s="1470"/>
      <c r="AR24" s="6508"/>
      <c r="AS24" s="6508"/>
      <c r="AT24" s="6508"/>
      <c r="AU24" s="6508"/>
      <c r="AV24" s="6508"/>
      <c r="AW24" s="6508"/>
      <c r="AX24" s="6508"/>
      <c r="AY24" s="6508"/>
      <c r="AZ24" s="6508"/>
      <c r="BA24" s="6508"/>
      <c r="BB24" s="6508"/>
      <c r="BC24" s="6508"/>
      <c r="BD24" s="6508"/>
      <c r="BE24" s="6508"/>
      <c r="BF24" s="6508"/>
      <c r="BG24" s="6508"/>
      <c r="BH24" s="6508"/>
      <c r="BI24" s="6508"/>
      <c r="BJ24" s="6508"/>
      <c r="BK24" s="6508"/>
      <c r="BL24" s="6508"/>
      <c r="BM24" s="6508"/>
      <c r="BN24" s="10117"/>
      <c r="BO24" s="10117"/>
      <c r="BP24" s="10117"/>
      <c r="BQ24" s="10117"/>
      <c r="BR24" s="10117"/>
      <c r="BS24" s="10117"/>
      <c r="BT24" s="10117"/>
      <c r="BU24" s="10117"/>
      <c r="BV24" s="10117"/>
      <c r="BW24" s="10117"/>
      <c r="BX24" s="10117"/>
      <c r="BY24" s="10117"/>
      <c r="BZ24" s="10117"/>
      <c r="CA24" s="10117"/>
      <c r="CB24" s="10117"/>
      <c r="CC24" s="10117"/>
      <c r="CD24" s="10117"/>
      <c r="CE24" s="10117"/>
      <c r="CF24" s="10117"/>
      <c r="CG24" s="10117"/>
      <c r="CH24" s="10117"/>
      <c r="CI24" s="10117"/>
      <c r="CJ24" s="10117"/>
      <c r="CK24" s="10117"/>
      <c r="CL24" s="10117"/>
      <c r="CM24" s="10117"/>
      <c r="CN24" s="10117"/>
      <c r="CO24" s="10117"/>
      <c r="CP24" s="10117"/>
      <c r="CQ24" s="10117"/>
      <c r="CR24" s="10117"/>
      <c r="CS24" s="10117"/>
      <c r="CT24" s="10117"/>
      <c r="CU24" s="10117"/>
      <c r="CV24" s="10117"/>
      <c r="CW24" s="10117"/>
      <c r="CX24" s="10117"/>
      <c r="CY24" s="10117"/>
      <c r="CZ24" s="10117"/>
      <c r="DA24" s="10117"/>
      <c r="DB24" s="10117"/>
      <c r="DC24" s="10117"/>
      <c r="DD24" s="10117"/>
      <c r="DE24" s="10117"/>
      <c r="DF24" s="10117"/>
      <c r="DG24" s="10117"/>
      <c r="DH24" s="10117"/>
      <c r="DI24" s="10117"/>
      <c r="DJ24" s="10117"/>
      <c r="DK24" s="10117"/>
      <c r="DL24" s="10117"/>
      <c r="DM24" s="10117"/>
      <c r="DN24" s="10117"/>
      <c r="DO24" s="10117"/>
      <c r="DP24" s="10117"/>
      <c r="DQ24" s="10117"/>
      <c r="DR24" s="10117"/>
      <c r="DS24" s="10117"/>
      <c r="DT24" s="10117"/>
      <c r="DU24" s="10117"/>
      <c r="DV24" s="10117"/>
      <c r="DW24" s="10117"/>
      <c r="DX24" s="10117"/>
      <c r="DY24" s="10117"/>
      <c r="DZ24" s="10117"/>
      <c r="EA24" s="10117"/>
      <c r="EB24" s="10117"/>
      <c r="EC24" s="10117"/>
      <c r="ED24" s="10117"/>
      <c r="EE24" s="10117"/>
      <c r="EF24" s="10117"/>
      <c r="EG24" s="10117"/>
      <c r="EH24" s="10117"/>
      <c r="EI24" s="10117"/>
      <c r="EJ24" s="10117"/>
      <c r="EK24" s="10117"/>
      <c r="EL24" s="10117"/>
      <c r="EM24" s="10117"/>
      <c r="EN24" s="10117"/>
      <c r="EO24" s="10117"/>
      <c r="EP24" s="10117"/>
      <c r="EQ24" s="10117"/>
      <c r="ER24" s="10117"/>
      <c r="ES24" s="10117"/>
      <c r="ET24" s="10117"/>
      <c r="EU24" s="10117"/>
      <c r="EV24" s="10117"/>
      <c r="EW24" s="10117"/>
      <c r="EX24" s="10117"/>
      <c r="EY24" s="10117"/>
      <c r="EZ24" s="10117"/>
      <c r="FA24" s="10117"/>
      <c r="FB24" s="10117"/>
      <c r="FC24" s="10117"/>
      <c r="FD24" s="10117"/>
      <c r="FE24" s="10117"/>
      <c r="FF24" s="10117"/>
      <c r="FG24" s="10117"/>
      <c r="FH24" s="10117"/>
      <c r="FI24" s="10117"/>
      <c r="FJ24" s="10117"/>
      <c r="FK24" s="10117"/>
      <c r="FL24" s="10117"/>
      <c r="FM24" s="10117"/>
      <c r="FN24" s="10117"/>
      <c r="FO24" s="10117"/>
      <c r="FP24" s="10117"/>
      <c r="FQ24" s="10117"/>
      <c r="FR24" s="10117"/>
      <c r="FS24" s="10117"/>
      <c r="FT24" s="10117"/>
      <c r="FU24" s="10117"/>
      <c r="FV24" s="10117"/>
      <c r="FW24" s="10117"/>
      <c r="FX24" s="10117"/>
      <c r="FY24" s="10117"/>
      <c r="FZ24" s="10117"/>
      <c r="GA24" s="10117"/>
      <c r="GB24" s="10117"/>
      <c r="GC24" s="10117"/>
      <c r="GD24" s="10117"/>
      <c r="GE24" s="10117"/>
      <c r="GF24" s="10117"/>
      <c r="GG24" s="10117"/>
      <c r="GH24" s="10117"/>
      <c r="GI24" s="10117"/>
      <c r="GJ24" s="10117"/>
      <c r="GK24" s="10117"/>
      <c r="GL24" s="10117"/>
      <c r="GM24" s="10117"/>
      <c r="GN24" s="10117"/>
      <c r="GO24" s="10117"/>
      <c r="GP24" s="10117"/>
      <c r="GQ24" s="10117"/>
      <c r="GR24" s="10117"/>
      <c r="GS24" s="10117"/>
      <c r="GT24" s="10117"/>
      <c r="GU24" s="10117"/>
      <c r="GV24" s="10117"/>
      <c r="GW24" s="10117"/>
      <c r="GX24" s="10117"/>
      <c r="GY24" s="10117"/>
      <c r="GZ24" s="10117"/>
      <c r="HA24" s="10117"/>
      <c r="HB24" s="10117"/>
      <c r="HC24" s="10117"/>
      <c r="HD24" s="10117"/>
      <c r="HE24" s="10117"/>
      <c r="HF24" s="10117"/>
      <c r="HG24" s="10117"/>
      <c r="HH24" s="10117"/>
      <c r="HI24" s="10117"/>
      <c r="HJ24" s="10117"/>
      <c r="HK24" s="10117"/>
      <c r="HL24" s="10117"/>
      <c r="HM24" s="10117"/>
      <c r="HN24" s="10117"/>
      <c r="HO24" s="10117"/>
      <c r="HP24" s="10117"/>
      <c r="HQ24" s="10117"/>
      <c r="HR24" s="10117"/>
      <c r="HS24" s="10117"/>
      <c r="HT24" s="10117"/>
      <c r="HU24" s="10117"/>
      <c r="HV24" s="10117"/>
      <c r="HW24" s="10117"/>
      <c r="HX24" s="10117"/>
      <c r="HY24" s="10117"/>
      <c r="HZ24" s="10117"/>
      <c r="IA24" s="10117"/>
      <c r="IB24" s="10117"/>
      <c r="IC24" s="10117"/>
      <c r="ID24" s="10117"/>
      <c r="IE24" s="10117"/>
      <c r="IF24" s="10117"/>
      <c r="IG24" s="10117"/>
      <c r="IH24" s="10117"/>
      <c r="II24" s="10117"/>
      <c r="IJ24" s="10117"/>
      <c r="IK24" s="10117"/>
      <c r="IL24" s="10117"/>
      <c r="IM24" s="10117"/>
      <c r="IN24" s="10117"/>
      <c r="IO24" s="10117"/>
      <c r="IP24" s="10117"/>
      <c r="IQ24" s="10117"/>
      <c r="IR24" s="10117"/>
      <c r="IS24" s="10117"/>
      <c r="IT24" s="10117"/>
      <c r="IU24" s="10117"/>
      <c r="IV24" s="10117"/>
      <c r="IW24" s="10117"/>
      <c r="IX24" s="10117"/>
      <c r="IY24" s="10117"/>
      <c r="IZ24" s="10117"/>
      <c r="JA24" s="10117"/>
      <c r="JB24" s="10117"/>
      <c r="JC24" s="10117"/>
      <c r="JD24" s="10117"/>
      <c r="JE24" s="10117"/>
      <c r="JF24" s="10117"/>
      <c r="JG24" s="10117"/>
      <c r="JH24" s="10117"/>
      <c r="JI24" s="10117"/>
      <c r="JJ24" s="10117"/>
      <c r="JK24" s="10117"/>
      <c r="JL24" s="10117"/>
      <c r="JM24" s="10117"/>
      <c r="JN24" s="10117"/>
      <c r="JO24" s="10117"/>
      <c r="JP24" s="10117"/>
      <c r="JQ24" s="10117"/>
      <c r="JR24" s="10117"/>
      <c r="JS24" s="10117"/>
      <c r="JT24" s="10117"/>
      <c r="JU24" s="10117"/>
      <c r="JV24" s="10117"/>
      <c r="JW24" s="10117"/>
      <c r="JX24" s="10117"/>
      <c r="JY24" s="10117"/>
      <c r="JZ24" s="10117"/>
      <c r="KA24" s="10117"/>
      <c r="KB24" s="10117"/>
      <c r="KC24" s="10117"/>
      <c r="KD24" s="10117"/>
      <c r="KE24" s="10117"/>
      <c r="KF24" s="10117"/>
      <c r="KG24" s="10117"/>
      <c r="KH24" s="10117"/>
      <c r="KI24" s="10117"/>
      <c r="KJ24" s="10117"/>
      <c r="KK24" s="10117"/>
      <c r="KL24" s="10117"/>
      <c r="KM24" s="10117"/>
      <c r="KN24" s="10117"/>
      <c r="KO24" s="10117"/>
      <c r="KP24" s="10117"/>
      <c r="KQ24" s="10117"/>
      <c r="KR24" s="10117"/>
      <c r="KS24" s="10117"/>
      <c r="KT24" s="10117"/>
      <c r="KU24" s="10117"/>
      <c r="KV24" s="15040"/>
      <c r="KW24" s="15040"/>
      <c r="KX24" s="15040"/>
      <c r="KY24" s="15040"/>
      <c r="KZ24" s="15040"/>
      <c r="LA24" s="15040"/>
      <c r="LB24" s="15040"/>
      <c r="LC24" s="15040"/>
      <c r="LD24" s="15040"/>
      <c r="LE24" s="15040"/>
      <c r="LF24" s="15040"/>
      <c r="LG24" s="15040"/>
      <c r="LH24" s="15040"/>
      <c r="LI24" s="15040"/>
      <c r="LJ24" s="15040"/>
      <c r="LK24" s="15040"/>
      <c r="LL24" s="15040"/>
      <c r="LM24" s="15040"/>
      <c r="LN24" s="15040"/>
      <c r="LO24" s="15040"/>
      <c r="LP24" s="15040"/>
      <c r="LQ24" s="15040"/>
      <c r="LR24" s="15040"/>
      <c r="LS24" s="15040"/>
      <c r="LT24" s="15040"/>
      <c r="LU24" s="15040"/>
      <c r="LV24" s="15040"/>
      <c r="LW24" s="15040"/>
      <c r="LX24" s="15040"/>
      <c r="LY24" s="15040"/>
      <c r="LZ24" s="15040"/>
      <c r="MA24" s="15040"/>
      <c r="MB24" s="15040"/>
      <c r="MC24" s="15040"/>
      <c r="MD24" s="15040"/>
      <c r="ME24" s="15040"/>
      <c r="MF24" s="15040"/>
      <c r="MG24" s="15040"/>
      <c r="MH24" s="15040"/>
      <c r="MI24" s="15040"/>
      <c r="MJ24" s="15040"/>
      <c r="MK24" s="15040"/>
      <c r="ML24" s="15040"/>
      <c r="MM24" s="15040"/>
      <c r="MN24" s="15040"/>
      <c r="MO24" s="15040"/>
      <c r="MP24" s="15040"/>
      <c r="MQ24" s="15040"/>
      <c r="MR24" s="15040"/>
      <c r="MS24" s="15040"/>
      <c r="MT24" s="15040"/>
      <c r="MU24" s="15040"/>
      <c r="MV24" s="15040"/>
      <c r="MW24" s="15040"/>
      <c r="MX24" s="15040"/>
      <c r="MY24" s="15040"/>
      <c r="MZ24" s="15040"/>
      <c r="NA24" s="15040"/>
      <c r="NB24" s="15040"/>
      <c r="NC24" s="15040"/>
      <c r="ND24" s="15040"/>
      <c r="NE24" s="15040"/>
      <c r="NF24" s="15040"/>
      <c r="NG24" s="15040"/>
      <c r="NH24" s="15040"/>
      <c r="NI24" s="15040"/>
      <c r="NJ24" s="15040"/>
      <c r="NK24" s="15040"/>
      <c r="NL24" s="15040"/>
      <c r="NM24" s="15040"/>
      <c r="NN24" s="15040"/>
      <c r="NO24" s="15040"/>
      <c r="NP24" s="15040"/>
      <c r="NQ24" s="15040"/>
      <c r="NR24" s="15040"/>
      <c r="NS24" s="15040"/>
      <c r="NT24" s="15040"/>
      <c r="NU24" s="15040"/>
      <c r="NV24" s="15040"/>
      <c r="NW24" s="15040"/>
      <c r="NX24" s="15040"/>
      <c r="NY24" s="15040"/>
      <c r="NZ24" s="15040"/>
      <c r="OA24" s="15040"/>
      <c r="OB24" s="15040"/>
      <c r="OC24" s="15040"/>
      <c r="OD24" s="15040"/>
      <c r="OE24" s="15040"/>
      <c r="OF24" s="15040"/>
      <c r="OG24" s="15040"/>
      <c r="OH24" s="15040"/>
      <c r="OI24" s="15040"/>
      <c r="OJ24" s="15040"/>
      <c r="OK24" s="15040"/>
      <c r="OL24" s="15040"/>
      <c r="OM24" s="15040"/>
      <c r="ON24" s="15040"/>
      <c r="OO24" s="15040"/>
      <c r="OP24" s="15040"/>
    </row>
    <row customHeight="1" ht="14.25">
      <c r="Q25" s="599"/>
      <c r="R25" s="599"/>
      <c r="S25" s="2423" t="str">
        <f>IF(org=0,"Не определено",org)</f>
        <v>ООО "Новая Энергетика"</v>
      </c>
      <c r="T25" s="2423"/>
      <c r="U25" s="2423"/>
      <c r="V25" s="2423"/>
      <c r="W25" s="2423"/>
      <c r="X25" s="2423"/>
      <c r="Y25" s="2423"/>
      <c r="Z25" s="2423"/>
      <c r="AA25" s="2423"/>
      <c r="AB25" s="2423"/>
      <c r="AC25" s="2423"/>
      <c r="AD25" s="2423"/>
      <c r="AE25" s="2423"/>
      <c r="AF25" s="2423"/>
      <c r="AG25" s="2423"/>
      <c r="AH25" s="2423"/>
      <c r="AI25" s="2423"/>
      <c r="AJ25" s="2423"/>
      <c r="AK25" s="2423"/>
      <c r="AL25" s="2423"/>
      <c r="AM25" s="2423"/>
      <c r="AN25" s="2423"/>
      <c r="AO25" s="2423"/>
      <c r="AP25" s="2423"/>
      <c r="AQ25" s="1470"/>
      <c r="AR25" s="6509"/>
      <c r="AS25" s="6509"/>
      <c r="AT25" s="6509"/>
      <c r="AU25" s="6509"/>
      <c r="AV25" s="6509"/>
      <c r="AW25" s="6509"/>
      <c r="AX25" s="6509"/>
      <c r="AY25" s="6509"/>
      <c r="AZ25" s="6509"/>
      <c r="BA25" s="6509"/>
      <c r="BB25" s="6509"/>
      <c r="BC25" s="6509"/>
      <c r="BD25" s="6509"/>
      <c r="BE25" s="6509"/>
      <c r="BF25" s="6509"/>
      <c r="BG25" s="6509"/>
      <c r="BH25" s="6509"/>
      <c r="BI25" s="6509"/>
      <c r="BJ25" s="6509"/>
      <c r="BK25" s="6509"/>
      <c r="BL25" s="6509"/>
      <c r="BM25" s="6509"/>
      <c r="BN25" s="10119"/>
      <c r="BO25" s="10119"/>
      <c r="BP25" s="10119"/>
      <c r="BQ25" s="10119"/>
      <c r="BR25" s="10119"/>
      <c r="BS25" s="10119"/>
      <c r="BT25" s="10119"/>
      <c r="BU25" s="10119"/>
      <c r="BV25" s="10119"/>
      <c r="BW25" s="10119"/>
      <c r="BX25" s="10119"/>
      <c r="BY25" s="10119"/>
      <c r="BZ25" s="10119"/>
      <c r="CA25" s="10119"/>
      <c r="CB25" s="10119"/>
      <c r="CC25" s="10119"/>
      <c r="CD25" s="10119"/>
      <c r="CE25" s="10119"/>
      <c r="CF25" s="10119"/>
      <c r="CG25" s="10119"/>
      <c r="CH25" s="10119"/>
      <c r="CI25" s="10119"/>
      <c r="CJ25" s="10119"/>
      <c r="CK25" s="10119"/>
      <c r="CL25" s="10119"/>
      <c r="CM25" s="10119"/>
      <c r="CN25" s="10119"/>
      <c r="CO25" s="10119"/>
      <c r="CP25" s="10119"/>
      <c r="CQ25" s="10119"/>
      <c r="CR25" s="10119"/>
      <c r="CS25" s="10119"/>
      <c r="CT25" s="10119"/>
      <c r="CU25" s="10119"/>
      <c r="CV25" s="10119"/>
      <c r="CW25" s="10119"/>
      <c r="CX25" s="10119"/>
      <c r="CY25" s="10119"/>
      <c r="CZ25" s="10119"/>
      <c r="DA25" s="10119"/>
      <c r="DB25" s="10119"/>
      <c r="DC25" s="10119"/>
      <c r="DD25" s="10119"/>
      <c r="DE25" s="10119"/>
      <c r="DF25" s="10119"/>
      <c r="DG25" s="10119"/>
      <c r="DH25" s="10119"/>
      <c r="DI25" s="10119"/>
      <c r="DJ25" s="10119"/>
      <c r="DK25" s="10119"/>
      <c r="DL25" s="10119"/>
      <c r="DM25" s="10119"/>
      <c r="DN25" s="10119"/>
      <c r="DO25" s="10119"/>
      <c r="DP25" s="10119"/>
      <c r="DQ25" s="10119"/>
      <c r="DR25" s="10119"/>
      <c r="DS25" s="10119"/>
      <c r="DT25" s="10119"/>
      <c r="DU25" s="10119"/>
      <c r="DV25" s="10119"/>
      <c r="DW25" s="10119"/>
      <c r="DX25" s="10119"/>
      <c r="DY25" s="10119"/>
      <c r="DZ25" s="10119"/>
      <c r="EA25" s="10119"/>
      <c r="EB25" s="10119"/>
      <c r="EC25" s="10119"/>
      <c r="ED25" s="10119"/>
      <c r="EE25" s="10119"/>
      <c r="EF25" s="10119"/>
      <c r="EG25" s="10119"/>
      <c r="EH25" s="10119"/>
      <c r="EI25" s="10119"/>
      <c r="EJ25" s="10119"/>
      <c r="EK25" s="10119"/>
      <c r="EL25" s="10119"/>
      <c r="EM25" s="10119"/>
      <c r="EN25" s="10119"/>
      <c r="EO25" s="10119"/>
      <c r="EP25" s="10119"/>
      <c r="EQ25" s="10119"/>
      <c r="ER25" s="10119"/>
      <c r="ES25" s="10119"/>
      <c r="ET25" s="10119"/>
      <c r="EU25" s="10119"/>
      <c r="EV25" s="10119"/>
      <c r="EW25" s="10119"/>
      <c r="EX25" s="10119"/>
      <c r="EY25" s="10119"/>
      <c r="EZ25" s="10119"/>
      <c r="FA25" s="10119"/>
      <c r="FB25" s="10119"/>
      <c r="FC25" s="10119"/>
      <c r="FD25" s="10119"/>
      <c r="FE25" s="10119"/>
      <c r="FF25" s="10119"/>
      <c r="FG25" s="10119"/>
      <c r="FH25" s="10119"/>
      <c r="FI25" s="10119"/>
      <c r="FJ25" s="10119"/>
      <c r="FK25" s="10119"/>
      <c r="FL25" s="10119"/>
      <c r="FM25" s="10119"/>
      <c r="FN25" s="10119"/>
      <c r="FO25" s="10119"/>
      <c r="FP25" s="10119"/>
      <c r="FQ25" s="10119"/>
      <c r="FR25" s="10119"/>
      <c r="FS25" s="10119"/>
      <c r="FT25" s="10119"/>
      <c r="FU25" s="10119"/>
      <c r="FV25" s="10119"/>
      <c r="FW25" s="10119"/>
      <c r="FX25" s="10119"/>
      <c r="FY25" s="10119"/>
      <c r="FZ25" s="10119"/>
      <c r="GA25" s="10119"/>
      <c r="GB25" s="10119"/>
      <c r="GC25" s="10119"/>
      <c r="GD25" s="10119"/>
      <c r="GE25" s="10119"/>
      <c r="GF25" s="10119"/>
      <c r="GG25" s="10119"/>
      <c r="GH25" s="10119"/>
      <c r="GI25" s="10119"/>
      <c r="GJ25" s="10119"/>
      <c r="GK25" s="10119"/>
      <c r="GL25" s="10119"/>
      <c r="GM25" s="10119"/>
      <c r="GN25" s="10119"/>
      <c r="GO25" s="10119"/>
      <c r="GP25" s="10119"/>
      <c r="GQ25" s="10119"/>
      <c r="GR25" s="10119"/>
      <c r="GS25" s="10119"/>
      <c r="GT25" s="10119"/>
      <c r="GU25" s="10119"/>
      <c r="GV25" s="10119"/>
      <c r="GW25" s="10119"/>
      <c r="GX25" s="10119"/>
      <c r="GY25" s="10119"/>
      <c r="GZ25" s="10119"/>
      <c r="HA25" s="10119"/>
      <c r="HB25" s="10119"/>
      <c r="HC25" s="10119"/>
      <c r="HD25" s="10119"/>
      <c r="HE25" s="10119"/>
      <c r="HF25" s="10119"/>
      <c r="HG25" s="10119"/>
      <c r="HH25" s="10119"/>
      <c r="HI25" s="10119"/>
      <c r="HJ25" s="10119"/>
      <c r="HK25" s="10119"/>
      <c r="HL25" s="10119"/>
      <c r="HM25" s="10119"/>
      <c r="HN25" s="10119"/>
      <c r="HO25" s="10119"/>
      <c r="HP25" s="10119"/>
      <c r="HQ25" s="10119"/>
      <c r="HR25" s="10119"/>
      <c r="HS25" s="10119"/>
      <c r="HT25" s="10119"/>
      <c r="HU25" s="10119"/>
      <c r="HV25" s="10119"/>
      <c r="HW25" s="10119"/>
      <c r="HX25" s="10119"/>
      <c r="HY25" s="10119"/>
      <c r="HZ25" s="10119"/>
      <c r="IA25" s="10119"/>
      <c r="IB25" s="10119"/>
      <c r="IC25" s="10119"/>
      <c r="ID25" s="10119"/>
      <c r="IE25" s="10119"/>
      <c r="IF25" s="10119"/>
      <c r="IG25" s="10119"/>
      <c r="IH25" s="10119"/>
      <c r="II25" s="10119"/>
      <c r="IJ25" s="10119"/>
      <c r="IK25" s="10119"/>
      <c r="IL25" s="10119"/>
      <c r="IM25" s="10119"/>
      <c r="IN25" s="10119"/>
      <c r="IO25" s="10119"/>
      <c r="IP25" s="10119"/>
      <c r="IQ25" s="10119"/>
      <c r="IR25" s="10119"/>
      <c r="IS25" s="10119"/>
      <c r="IT25" s="10119"/>
      <c r="IU25" s="10119"/>
      <c r="IV25" s="10119"/>
      <c r="IW25" s="10119"/>
      <c r="IX25" s="10119"/>
      <c r="IY25" s="10119"/>
      <c r="IZ25" s="10119"/>
      <c r="JA25" s="10119"/>
      <c r="JB25" s="10119"/>
      <c r="JC25" s="10119"/>
      <c r="JD25" s="10119"/>
      <c r="JE25" s="10119"/>
      <c r="JF25" s="10119"/>
      <c r="JG25" s="10119"/>
      <c r="JH25" s="10119"/>
      <c r="JI25" s="10119"/>
      <c r="JJ25" s="10119"/>
      <c r="JK25" s="10119"/>
      <c r="JL25" s="10119"/>
      <c r="JM25" s="10119"/>
      <c r="JN25" s="10119"/>
      <c r="JO25" s="10119"/>
      <c r="JP25" s="10119"/>
      <c r="JQ25" s="10119"/>
      <c r="JR25" s="10119"/>
      <c r="JS25" s="10119"/>
      <c r="JT25" s="10119"/>
      <c r="JU25" s="10119"/>
      <c r="JV25" s="10119"/>
      <c r="JW25" s="10119"/>
      <c r="JX25" s="10119"/>
      <c r="JY25" s="10119"/>
      <c r="JZ25" s="10119"/>
      <c r="KA25" s="10119"/>
      <c r="KB25" s="10119"/>
      <c r="KC25" s="10119"/>
      <c r="KD25" s="10119"/>
      <c r="KE25" s="10119"/>
      <c r="KF25" s="10119"/>
      <c r="KG25" s="10119"/>
      <c r="KH25" s="10119"/>
      <c r="KI25" s="10119"/>
      <c r="KJ25" s="10119"/>
      <c r="KK25" s="10119"/>
      <c r="KL25" s="10119"/>
      <c r="KM25" s="10119"/>
      <c r="KN25" s="10119"/>
      <c r="KO25" s="10119"/>
      <c r="KP25" s="10119"/>
      <c r="KQ25" s="10119"/>
      <c r="KR25" s="10119"/>
      <c r="KS25" s="10119"/>
      <c r="KT25" s="10119"/>
      <c r="KU25" s="10119"/>
      <c r="KV25" s="15043"/>
      <c r="KW25" s="15043"/>
      <c r="KX25" s="15043"/>
      <c r="KY25" s="15043"/>
      <c r="KZ25" s="15043"/>
      <c r="LA25" s="15043"/>
      <c r="LB25" s="15043"/>
      <c r="LC25" s="15043"/>
      <c r="LD25" s="15043"/>
      <c r="LE25" s="15043"/>
      <c r="LF25" s="15043"/>
      <c r="LG25" s="15043"/>
      <c r="LH25" s="15043"/>
      <c r="LI25" s="15043"/>
      <c r="LJ25" s="15043"/>
      <c r="LK25" s="15043"/>
      <c r="LL25" s="15043"/>
      <c r="LM25" s="15043"/>
      <c r="LN25" s="15043"/>
      <c r="LO25" s="15043"/>
      <c r="LP25" s="15043"/>
      <c r="LQ25" s="15043"/>
      <c r="LR25" s="15043"/>
      <c r="LS25" s="15043"/>
      <c r="LT25" s="15043"/>
      <c r="LU25" s="15043"/>
      <c r="LV25" s="15043"/>
      <c r="LW25" s="15043"/>
      <c r="LX25" s="15043"/>
      <c r="LY25" s="15043"/>
      <c r="LZ25" s="15043"/>
      <c r="MA25" s="15043"/>
      <c r="MB25" s="15043"/>
      <c r="MC25" s="15043"/>
      <c r="MD25" s="15043"/>
      <c r="ME25" s="15043"/>
      <c r="MF25" s="15043"/>
      <c r="MG25" s="15043"/>
      <c r="MH25" s="15043"/>
      <c r="MI25" s="15043"/>
      <c r="MJ25" s="15043"/>
      <c r="MK25" s="15043"/>
      <c r="ML25" s="15043"/>
      <c r="MM25" s="15043"/>
      <c r="MN25" s="15043"/>
      <c r="MO25" s="15043"/>
      <c r="MP25" s="15043"/>
      <c r="MQ25" s="15043"/>
      <c r="MR25" s="15043"/>
      <c r="MS25" s="15043"/>
      <c r="MT25" s="15043"/>
      <c r="MU25" s="15043"/>
      <c r="MV25" s="15043"/>
      <c r="MW25" s="15043"/>
      <c r="MX25" s="15043"/>
      <c r="MY25" s="15043"/>
      <c r="MZ25" s="15043"/>
      <c r="NA25" s="15043"/>
      <c r="NB25" s="15043"/>
      <c r="NC25" s="15043"/>
      <c r="ND25" s="15043"/>
      <c r="NE25" s="15043"/>
      <c r="NF25" s="15043"/>
      <c r="NG25" s="15043"/>
      <c r="NH25" s="15043"/>
      <c r="NI25" s="15043"/>
      <c r="NJ25" s="15043"/>
      <c r="NK25" s="15043"/>
      <c r="NL25" s="15043"/>
      <c r="NM25" s="15043"/>
      <c r="NN25" s="15043"/>
      <c r="NO25" s="15043"/>
      <c r="NP25" s="15043"/>
      <c r="NQ25" s="15043"/>
      <c r="NR25" s="15043"/>
      <c r="NS25" s="15043"/>
      <c r="NT25" s="15043"/>
      <c r="NU25" s="15043"/>
      <c r="NV25" s="15043"/>
      <c r="NW25" s="15043"/>
      <c r="NX25" s="15043"/>
      <c r="NY25" s="15043"/>
      <c r="NZ25" s="15043"/>
      <c r="OA25" s="15043"/>
      <c r="OB25" s="15043"/>
      <c r="OC25" s="15043"/>
      <c r="OD25" s="15043"/>
      <c r="OE25" s="15043"/>
      <c r="OF25" s="15043"/>
      <c r="OG25" s="15043"/>
      <c r="OH25" s="15043"/>
      <c r="OI25" s="15043"/>
      <c r="OJ25" s="15043"/>
      <c r="OK25" s="15043"/>
      <c r="OL25" s="15043"/>
      <c r="OM25" s="15043"/>
      <c r="ON25" s="15043"/>
      <c r="OO25" s="15043"/>
      <c r="OP25" s="15043"/>
    </row>
    <row customHeight="1" ht="14.25">
      <c r="Q26" s="599"/>
      <c r="R26" s="599"/>
      <c r="S26" s="1503"/>
      <c r="T26" s="586"/>
      <c r="U26" s="586"/>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6510"/>
      <c r="AS26" s="6510"/>
      <c r="AT26" s="6510"/>
      <c r="AU26" s="6510"/>
      <c r="AV26" s="6510"/>
      <c r="AW26" s="6510"/>
      <c r="AX26" s="6510"/>
      <c r="AY26" s="6510"/>
      <c r="AZ26" s="6510"/>
      <c r="BA26" s="6510"/>
      <c r="BB26" s="6510"/>
      <c r="BC26" s="6510"/>
      <c r="BD26" s="6510"/>
      <c r="BE26" s="6510"/>
      <c r="BF26" s="6510"/>
      <c r="BG26" s="6510"/>
      <c r="BH26" s="6510"/>
      <c r="BI26" s="6510"/>
      <c r="BJ26" s="6510"/>
      <c r="BK26" s="6510"/>
      <c r="BL26" s="6510"/>
      <c r="BM26" s="6510"/>
      <c r="BN26" s="10121"/>
      <c r="BO26" s="10121"/>
      <c r="BP26" s="10121"/>
      <c r="BQ26" s="10121"/>
      <c r="BR26" s="10121"/>
      <c r="BS26" s="10121"/>
      <c r="BT26" s="10121"/>
      <c r="BU26" s="10121"/>
      <c r="BV26" s="10121"/>
      <c r="BW26" s="10121"/>
      <c r="BX26" s="10121"/>
      <c r="BY26" s="10121"/>
      <c r="BZ26" s="10121"/>
      <c r="CA26" s="10121"/>
      <c r="CB26" s="10121"/>
      <c r="CC26" s="10121"/>
      <c r="CD26" s="10121"/>
      <c r="CE26" s="10121"/>
      <c r="CF26" s="10121"/>
      <c r="CG26" s="10121"/>
      <c r="CH26" s="10121"/>
      <c r="CI26" s="10121"/>
      <c r="CJ26" s="10121"/>
      <c r="CK26" s="10121"/>
      <c r="CL26" s="10121"/>
      <c r="CM26" s="10121"/>
      <c r="CN26" s="10121"/>
      <c r="CO26" s="10121"/>
      <c r="CP26" s="10121"/>
      <c r="CQ26" s="10121"/>
      <c r="CR26" s="10121"/>
      <c r="CS26" s="10121"/>
      <c r="CT26" s="10121"/>
      <c r="CU26" s="10121"/>
      <c r="CV26" s="10121"/>
      <c r="CW26" s="10121"/>
      <c r="CX26" s="10121"/>
      <c r="CY26" s="10121"/>
      <c r="CZ26" s="10121"/>
      <c r="DA26" s="10121"/>
      <c r="DB26" s="10121"/>
      <c r="DC26" s="10121"/>
      <c r="DD26" s="10121"/>
      <c r="DE26" s="10121"/>
      <c r="DF26" s="10121"/>
      <c r="DG26" s="10121"/>
      <c r="DH26" s="10121"/>
      <c r="DI26" s="10121"/>
      <c r="DJ26" s="10121"/>
      <c r="DK26" s="10121"/>
      <c r="DL26" s="10121"/>
      <c r="DM26" s="10121"/>
      <c r="DN26" s="10121"/>
      <c r="DO26" s="10121"/>
      <c r="DP26" s="10121"/>
      <c r="DQ26" s="10121"/>
      <c r="DR26" s="10121"/>
      <c r="DS26" s="10121"/>
      <c r="DT26" s="10121"/>
      <c r="DU26" s="10121"/>
      <c r="DV26" s="10121"/>
      <c r="DW26" s="10121"/>
      <c r="DX26" s="10121"/>
      <c r="DY26" s="10121"/>
      <c r="DZ26" s="10121"/>
      <c r="EA26" s="10121"/>
      <c r="EB26" s="10121"/>
      <c r="EC26" s="10121"/>
      <c r="ED26" s="10121"/>
      <c r="EE26" s="10121"/>
      <c r="EF26" s="10121"/>
      <c r="EG26" s="10121"/>
      <c r="EH26" s="10121"/>
      <c r="EI26" s="10121"/>
      <c r="EJ26" s="10121"/>
      <c r="EK26" s="10121"/>
      <c r="EL26" s="10121"/>
      <c r="EM26" s="10121"/>
      <c r="EN26" s="10121"/>
      <c r="EO26" s="10121"/>
      <c r="EP26" s="10121"/>
      <c r="EQ26" s="10121"/>
      <c r="ER26" s="10121"/>
      <c r="ES26" s="10121"/>
      <c r="ET26" s="10121"/>
      <c r="EU26" s="10121"/>
      <c r="EV26" s="10121"/>
      <c r="EW26" s="10121"/>
      <c r="EX26" s="10121"/>
      <c r="EY26" s="10121"/>
      <c r="EZ26" s="10121"/>
      <c r="FA26" s="10121"/>
      <c r="FB26" s="10121"/>
      <c r="FC26" s="10121"/>
      <c r="FD26" s="10121"/>
      <c r="FE26" s="10121"/>
      <c r="FF26" s="10121"/>
      <c r="FG26" s="10121"/>
      <c r="FH26" s="10121"/>
      <c r="FI26" s="10121"/>
      <c r="FJ26" s="10121"/>
      <c r="FK26" s="10121"/>
      <c r="FL26" s="10121"/>
      <c r="FM26" s="10121"/>
      <c r="FN26" s="10121"/>
      <c r="FO26" s="10121"/>
      <c r="FP26" s="10121"/>
      <c r="FQ26" s="10121"/>
      <c r="FR26" s="10121"/>
      <c r="FS26" s="10121"/>
      <c r="FT26" s="10121"/>
      <c r="FU26" s="10121"/>
      <c r="FV26" s="10121"/>
      <c r="FW26" s="10121"/>
      <c r="FX26" s="10121"/>
      <c r="FY26" s="10121"/>
      <c r="FZ26" s="10121"/>
      <c r="GA26" s="10121"/>
      <c r="GB26" s="10121"/>
      <c r="GC26" s="10121"/>
      <c r="GD26" s="10121"/>
      <c r="GE26" s="10121"/>
      <c r="GF26" s="10121"/>
      <c r="GG26" s="10121"/>
      <c r="GH26" s="10121"/>
      <c r="GI26" s="10121"/>
      <c r="GJ26" s="10121"/>
      <c r="GK26" s="10121"/>
      <c r="GL26" s="10121"/>
      <c r="GM26" s="10121"/>
      <c r="GN26" s="10121"/>
      <c r="GO26" s="10121"/>
      <c r="GP26" s="10121"/>
      <c r="GQ26" s="10121"/>
      <c r="GR26" s="10121"/>
      <c r="GS26" s="10121"/>
      <c r="GT26" s="10121"/>
      <c r="GU26" s="10121"/>
      <c r="GV26" s="10121"/>
      <c r="GW26" s="10121"/>
      <c r="GX26" s="10121"/>
      <c r="GY26" s="10121"/>
      <c r="GZ26" s="10121"/>
      <c r="HA26" s="10121"/>
      <c r="HB26" s="10121"/>
      <c r="HC26" s="10121"/>
      <c r="HD26" s="10121"/>
      <c r="HE26" s="10121"/>
      <c r="HF26" s="10121"/>
      <c r="HG26" s="10121"/>
      <c r="HH26" s="10121"/>
      <c r="HI26" s="10121"/>
      <c r="HJ26" s="10121"/>
      <c r="HK26" s="10121"/>
      <c r="HL26" s="10121"/>
      <c r="HM26" s="10121"/>
      <c r="HN26" s="10121"/>
      <c r="HO26" s="10121"/>
      <c r="HP26" s="10121"/>
      <c r="HQ26" s="10121"/>
      <c r="HR26" s="10121"/>
      <c r="HS26" s="10121"/>
      <c r="HT26" s="10121"/>
      <c r="HU26" s="10121"/>
      <c r="HV26" s="10121"/>
      <c r="HW26" s="10121"/>
      <c r="HX26" s="10121"/>
      <c r="HY26" s="10121"/>
      <c r="HZ26" s="10121"/>
      <c r="IA26" s="10121"/>
      <c r="IB26" s="10121"/>
      <c r="IC26" s="10121"/>
      <c r="ID26" s="10121"/>
      <c r="IE26" s="10121"/>
      <c r="IF26" s="10121"/>
      <c r="IG26" s="10121"/>
      <c r="IH26" s="10121"/>
      <c r="II26" s="10121"/>
      <c r="IJ26" s="10121"/>
      <c r="IK26" s="10121"/>
      <c r="IL26" s="10121"/>
      <c r="IM26" s="10121"/>
      <c r="IN26" s="10121"/>
      <c r="IO26" s="10121"/>
      <c r="IP26" s="10121"/>
      <c r="IQ26" s="10121"/>
      <c r="IR26" s="10121"/>
      <c r="IS26" s="10121"/>
      <c r="IT26" s="10121"/>
      <c r="IU26" s="10121"/>
      <c r="IV26" s="10121"/>
      <c r="IW26" s="10121"/>
      <c r="IX26" s="10121"/>
      <c r="IY26" s="10121"/>
      <c r="IZ26" s="10121"/>
      <c r="JA26" s="10121"/>
      <c r="JB26" s="10121"/>
      <c r="JC26" s="10121"/>
      <c r="JD26" s="10121"/>
      <c r="JE26" s="10121"/>
      <c r="JF26" s="10121"/>
      <c r="JG26" s="10121"/>
      <c r="JH26" s="10121"/>
      <c r="JI26" s="10121"/>
      <c r="JJ26" s="10121"/>
      <c r="JK26" s="10121"/>
      <c r="JL26" s="10121"/>
      <c r="JM26" s="10121"/>
      <c r="JN26" s="10121"/>
      <c r="JO26" s="10121"/>
      <c r="JP26" s="10121"/>
      <c r="JQ26" s="10121"/>
      <c r="JR26" s="10121"/>
      <c r="JS26" s="10121"/>
      <c r="JT26" s="10121"/>
      <c r="JU26" s="10121"/>
      <c r="JV26" s="10121"/>
      <c r="JW26" s="10121"/>
      <c r="JX26" s="10121"/>
      <c r="JY26" s="10121"/>
      <c r="JZ26" s="10121"/>
      <c r="KA26" s="10121"/>
      <c r="KB26" s="10121"/>
      <c r="KC26" s="10121"/>
      <c r="KD26" s="10121"/>
      <c r="KE26" s="10121"/>
      <c r="KF26" s="10121"/>
      <c r="KG26" s="10121"/>
      <c r="KH26" s="10121"/>
      <c r="KI26" s="10121"/>
      <c r="KJ26" s="10121"/>
      <c r="KK26" s="10121"/>
      <c r="KL26" s="10121"/>
      <c r="KM26" s="10121"/>
      <c r="KN26" s="10121"/>
      <c r="KO26" s="10121"/>
      <c r="KP26" s="10121"/>
      <c r="KQ26" s="10121"/>
      <c r="KR26" s="10121"/>
      <c r="KS26" s="10121"/>
      <c r="KT26" s="10121"/>
      <c r="KU26" s="10121"/>
      <c r="KV26" s="15046"/>
      <c r="KW26" s="15046"/>
      <c r="KX26" s="15046"/>
      <c r="KY26" s="15046"/>
      <c r="KZ26" s="15046"/>
      <c r="LA26" s="15046"/>
      <c r="LB26" s="15046"/>
      <c r="LC26" s="15046"/>
      <c r="LD26" s="15046"/>
      <c r="LE26" s="15046"/>
      <c r="LF26" s="15046"/>
      <c r="LG26" s="15046"/>
      <c r="LH26" s="15046"/>
      <c r="LI26" s="15046"/>
      <c r="LJ26" s="15046"/>
      <c r="LK26" s="15046"/>
      <c r="LL26" s="15046"/>
      <c r="LM26" s="15046"/>
      <c r="LN26" s="15046"/>
      <c r="LO26" s="15046"/>
      <c r="LP26" s="15046"/>
      <c r="LQ26" s="15046"/>
      <c r="LR26" s="15046"/>
      <c r="LS26" s="15046"/>
      <c r="LT26" s="15046"/>
      <c r="LU26" s="15046"/>
      <c r="LV26" s="15046"/>
      <c r="LW26" s="15046"/>
      <c r="LX26" s="15046"/>
      <c r="LY26" s="15046"/>
      <c r="LZ26" s="15046"/>
      <c r="MA26" s="15046"/>
      <c r="MB26" s="15046"/>
      <c r="MC26" s="15046"/>
      <c r="MD26" s="15046"/>
      <c r="ME26" s="15046"/>
      <c r="MF26" s="15046"/>
      <c r="MG26" s="15046"/>
      <c r="MH26" s="15046"/>
      <c r="MI26" s="15046"/>
      <c r="MJ26" s="15046"/>
      <c r="MK26" s="15046"/>
      <c r="ML26" s="15046"/>
      <c r="MM26" s="15046"/>
      <c r="MN26" s="15046"/>
      <c r="MO26" s="15046"/>
      <c r="MP26" s="15046"/>
      <c r="MQ26" s="15046"/>
      <c r="MR26" s="15046"/>
      <c r="MS26" s="15046"/>
      <c r="MT26" s="15046"/>
      <c r="MU26" s="15046"/>
      <c r="MV26" s="15046"/>
      <c r="MW26" s="15046"/>
      <c r="MX26" s="15046"/>
      <c r="MY26" s="15046"/>
      <c r="MZ26" s="15046"/>
      <c r="NA26" s="15046"/>
      <c r="NB26" s="15046"/>
      <c r="NC26" s="15046"/>
      <c r="ND26" s="15046"/>
      <c r="NE26" s="15046"/>
      <c r="NF26" s="15046"/>
      <c r="NG26" s="15046"/>
      <c r="NH26" s="15046"/>
      <c r="NI26" s="15046"/>
      <c r="NJ26" s="15046"/>
      <c r="NK26" s="15046"/>
      <c r="NL26" s="15046"/>
      <c r="NM26" s="15046"/>
      <c r="NN26" s="15046"/>
      <c r="NO26" s="15046"/>
      <c r="NP26" s="15046"/>
      <c r="NQ26" s="15046"/>
      <c r="NR26" s="15046"/>
      <c r="NS26" s="15046"/>
      <c r="NT26" s="15046"/>
      <c r="NU26" s="15046"/>
      <c r="NV26" s="15046"/>
      <c r="NW26" s="15046"/>
      <c r="NX26" s="15046"/>
      <c r="NY26" s="15046"/>
      <c r="NZ26" s="15046"/>
      <c r="OA26" s="15046"/>
      <c r="OB26" s="15046"/>
      <c r="OC26" s="15046"/>
      <c r="OD26" s="15046"/>
      <c r="OE26" s="15046"/>
      <c r="OF26" s="15046"/>
      <c r="OG26" s="15046"/>
      <c r="OH26" s="15046"/>
      <c r="OI26" s="15046"/>
      <c r="OJ26" s="15046"/>
      <c r="OK26" s="15046"/>
      <c r="OL26" s="15046"/>
      <c r="OM26" s="15046"/>
      <c r="ON26" s="15046"/>
      <c r="OO26" s="15046"/>
      <c r="OP26" s="15046"/>
      <c r="OQ26" s="732"/>
    </row>
    <row s="13547"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Агенство по тарифам Приморского края</v>
      </c>
      <c r="W27" s="2382"/>
      <c r="X27" s="2382"/>
      <c r="Y27" s="2382"/>
      <c r="Z27" s="2382"/>
      <c r="AA27" s="2382"/>
      <c r="AB27" s="2382"/>
      <c r="AC27" s="2382"/>
      <c r="AD27" s="2382"/>
      <c r="AE27" s="2382"/>
      <c r="AF27" s="549"/>
      <c r="AG27" s="2382" t="str">
        <f>IF(TITLE_NAME_OR_PR_CHANGE="",IF(TITLE_NAME_OR_PR="","",TITLE_NAME_OR_PR),TITLE_NAME_OR_PR_CHANGE)</f>
        <v>Агенство по тарифам Приморского края</v>
      </c>
      <c r="AH27" s="2382"/>
      <c r="AI27" s="2382"/>
      <c r="AJ27" s="2382"/>
      <c r="AK27" s="2382"/>
      <c r="AL27" s="2382"/>
      <c r="AM27" s="2382"/>
      <c r="AN27" s="2382"/>
      <c r="AO27" s="2382"/>
      <c r="AP27" s="2382"/>
      <c r="AQ27" s="549"/>
      <c r="AR27" s="6511" t="str">
        <f>IF(TITLE_NAME_OR_PR_CHANGE="",IF(TITLE_NAME_OR_PR="","",TITLE_NAME_OR_PR),TITLE_NAME_OR_PR_CHANGE)</f>
        <v>Агенство по тарифам Приморского края</v>
      </c>
      <c r="AS27" s="6511"/>
      <c r="AT27" s="6511"/>
      <c r="AU27" s="6511"/>
      <c r="AV27" s="6511"/>
      <c r="AW27" s="6511"/>
      <c r="AX27" s="6511"/>
      <c r="AY27" s="6511"/>
      <c r="AZ27" s="6511"/>
      <c r="BA27" s="6511"/>
      <c r="BB27" s="6423"/>
      <c r="BC27" s="6511" t="str">
        <f>IF(TITLE_NAME_OR_PR_CHANGE="",IF(TITLE_NAME_OR_PR="","",TITLE_NAME_OR_PR),TITLE_NAME_OR_PR_CHANGE)</f>
        <v>Агенство по тарифам Приморского края</v>
      </c>
      <c r="BD27" s="6511"/>
      <c r="BE27" s="6511"/>
      <c r="BF27" s="6511"/>
      <c r="BG27" s="6511"/>
      <c r="BH27" s="6511"/>
      <c r="BI27" s="6511"/>
      <c r="BJ27" s="6511"/>
      <c r="BK27" s="6511"/>
      <c r="BL27" s="6511"/>
      <c r="BM27" s="6423"/>
      <c r="BN27" s="10123" t="str">
        <f>IF(TITLE_NAME_OR_PR_CHANGE="",IF(TITLE_NAME_OR_PR="","",TITLE_NAME_OR_PR),TITLE_NAME_OR_PR_CHANGE)</f>
        <v>Агенство по тарифам Приморского края</v>
      </c>
      <c r="BO27" s="10123"/>
      <c r="BP27" s="10123"/>
      <c r="BQ27" s="10123"/>
      <c r="BR27" s="10123"/>
      <c r="BS27" s="10123"/>
      <c r="BT27" s="10123"/>
      <c r="BU27" s="10123"/>
      <c r="BV27" s="10123"/>
      <c r="BW27" s="10123"/>
      <c r="BX27" s="9287"/>
      <c r="BY27" s="10123" t="str">
        <f>IF(TITLE_NAME_OR_PR_CHANGE="",IF(TITLE_NAME_OR_PR="","",TITLE_NAME_OR_PR),TITLE_NAME_OR_PR_CHANGE)</f>
        <v>Агенство по тарифам Приморского края</v>
      </c>
      <c r="BZ27" s="10123"/>
      <c r="CA27" s="10123"/>
      <c r="CB27" s="10123"/>
      <c r="CC27" s="10123"/>
      <c r="CD27" s="10123"/>
      <c r="CE27" s="10123"/>
      <c r="CF27" s="10123"/>
      <c r="CG27" s="10123"/>
      <c r="CH27" s="10123"/>
      <c r="CI27" s="9287"/>
      <c r="CJ27" s="10123" t="str">
        <f>IF(TITLE_NAME_OR_PR_CHANGE="",IF(TITLE_NAME_OR_PR="","",TITLE_NAME_OR_PR),TITLE_NAME_OR_PR_CHANGE)</f>
        <v>Агенство по тарифам Приморского края</v>
      </c>
      <c r="CK27" s="10123"/>
      <c r="CL27" s="10123"/>
      <c r="CM27" s="10123"/>
      <c r="CN27" s="10123"/>
      <c r="CO27" s="10123"/>
      <c r="CP27" s="10123"/>
      <c r="CQ27" s="10123"/>
      <c r="CR27" s="10123"/>
      <c r="CS27" s="10123"/>
      <c r="CT27" s="9287"/>
      <c r="CU27" s="10123" t="str">
        <f>IF(TITLE_NAME_OR_PR_CHANGE="",IF(TITLE_NAME_OR_PR="","",TITLE_NAME_OR_PR),TITLE_NAME_OR_PR_CHANGE)</f>
        <v>Агенство по тарифам Приморского края</v>
      </c>
      <c r="CV27" s="10123"/>
      <c r="CW27" s="10123"/>
      <c r="CX27" s="10123"/>
      <c r="CY27" s="10123"/>
      <c r="CZ27" s="10123"/>
      <c r="DA27" s="10123"/>
      <c r="DB27" s="10123"/>
      <c r="DC27" s="10123"/>
      <c r="DD27" s="10123"/>
      <c r="DE27" s="9287"/>
      <c r="DF27" s="10123" t="str">
        <f>IF(TITLE_NAME_OR_PR_CHANGE="",IF(TITLE_NAME_OR_PR="","",TITLE_NAME_OR_PR),TITLE_NAME_OR_PR_CHANGE)</f>
        <v>Агенство по тарифам Приморского края</v>
      </c>
      <c r="DG27" s="10123"/>
      <c r="DH27" s="10123"/>
      <c r="DI27" s="10123"/>
      <c r="DJ27" s="10123"/>
      <c r="DK27" s="10123"/>
      <c r="DL27" s="10123"/>
      <c r="DM27" s="10123"/>
      <c r="DN27" s="10123"/>
      <c r="DO27" s="10123"/>
      <c r="DP27" s="9287"/>
      <c r="DQ27" s="10123" t="str">
        <f>IF(TITLE_NAME_OR_PR_CHANGE="",IF(TITLE_NAME_OR_PR="","",TITLE_NAME_OR_PR),TITLE_NAME_OR_PR_CHANGE)</f>
        <v>Агенство по тарифам Приморского края</v>
      </c>
      <c r="DR27" s="10123"/>
      <c r="DS27" s="10123"/>
      <c r="DT27" s="10123"/>
      <c r="DU27" s="10123"/>
      <c r="DV27" s="10123"/>
      <c r="DW27" s="10123"/>
      <c r="DX27" s="10123"/>
      <c r="DY27" s="10123"/>
      <c r="DZ27" s="10123"/>
      <c r="EA27" s="9287"/>
      <c r="EB27" s="10123" t="str">
        <f>IF(TITLE_NAME_OR_PR_CHANGE="",IF(TITLE_NAME_OR_PR="","",TITLE_NAME_OR_PR),TITLE_NAME_OR_PR_CHANGE)</f>
        <v>Агенство по тарифам Приморского края</v>
      </c>
      <c r="EC27" s="10123"/>
      <c r="ED27" s="10123"/>
      <c r="EE27" s="10123"/>
      <c r="EF27" s="10123"/>
      <c r="EG27" s="10123"/>
      <c r="EH27" s="10123"/>
      <c r="EI27" s="10123"/>
      <c r="EJ27" s="10123"/>
      <c r="EK27" s="10123"/>
      <c r="EL27" s="9287"/>
      <c r="EM27" s="10123" t="str">
        <f>IF(TITLE_NAME_OR_PR_CHANGE="",IF(TITLE_NAME_OR_PR="","",TITLE_NAME_OR_PR),TITLE_NAME_OR_PR_CHANGE)</f>
        <v>Агенство по тарифам Приморского края</v>
      </c>
      <c r="EN27" s="10123"/>
      <c r="EO27" s="10123"/>
      <c r="EP27" s="10123"/>
      <c r="EQ27" s="10123"/>
      <c r="ER27" s="10123"/>
      <c r="ES27" s="10123"/>
      <c r="ET27" s="10123"/>
      <c r="EU27" s="10123"/>
      <c r="EV27" s="10123"/>
      <c r="EW27" s="9287"/>
      <c r="EX27" s="10123" t="str">
        <f>IF(TITLE_NAME_OR_PR_CHANGE="",IF(TITLE_NAME_OR_PR="","",TITLE_NAME_OR_PR),TITLE_NAME_OR_PR_CHANGE)</f>
        <v>Агенство по тарифам Приморского края</v>
      </c>
      <c r="EY27" s="10123"/>
      <c r="EZ27" s="10123"/>
      <c r="FA27" s="10123"/>
      <c r="FB27" s="10123"/>
      <c r="FC27" s="10123"/>
      <c r="FD27" s="10123"/>
      <c r="FE27" s="10123"/>
      <c r="FF27" s="10123"/>
      <c r="FG27" s="10123"/>
      <c r="FH27" s="9287"/>
      <c r="FI27" s="10123" t="str">
        <f>IF(TITLE_NAME_OR_PR_CHANGE="",IF(TITLE_NAME_OR_PR="","",TITLE_NAME_OR_PR),TITLE_NAME_OR_PR_CHANGE)</f>
        <v>Агенство по тарифам Приморского края</v>
      </c>
      <c r="FJ27" s="10123"/>
      <c r="FK27" s="10123"/>
      <c r="FL27" s="10123"/>
      <c r="FM27" s="10123"/>
      <c r="FN27" s="10123"/>
      <c r="FO27" s="10123"/>
      <c r="FP27" s="10123"/>
      <c r="FQ27" s="10123"/>
      <c r="FR27" s="10123"/>
      <c r="FS27" s="9287"/>
      <c r="FT27" s="10123" t="str">
        <f>IF(TITLE_NAME_OR_PR_CHANGE="",IF(TITLE_NAME_OR_PR="","",TITLE_NAME_OR_PR),TITLE_NAME_OR_PR_CHANGE)</f>
        <v>Агенство по тарифам Приморского края</v>
      </c>
      <c r="FU27" s="10123"/>
      <c r="FV27" s="10123"/>
      <c r="FW27" s="10123"/>
      <c r="FX27" s="10123"/>
      <c r="FY27" s="10123"/>
      <c r="FZ27" s="10123"/>
      <c r="GA27" s="10123"/>
      <c r="GB27" s="10123"/>
      <c r="GC27" s="10123"/>
      <c r="GD27" s="9287"/>
      <c r="GE27" s="10123" t="str">
        <f>IF(TITLE_NAME_OR_PR_CHANGE="",IF(TITLE_NAME_OR_PR="","",TITLE_NAME_OR_PR),TITLE_NAME_OR_PR_CHANGE)</f>
        <v>Агенство по тарифам Приморского края</v>
      </c>
      <c r="GF27" s="10123"/>
      <c r="GG27" s="10123"/>
      <c r="GH27" s="10123"/>
      <c r="GI27" s="10123"/>
      <c r="GJ27" s="10123"/>
      <c r="GK27" s="10123"/>
      <c r="GL27" s="10123"/>
      <c r="GM27" s="10123"/>
      <c r="GN27" s="10123"/>
      <c r="GO27" s="9287"/>
      <c r="GP27" s="10123" t="str">
        <f>IF(TITLE_NAME_OR_PR_CHANGE="",IF(TITLE_NAME_OR_PR="","",TITLE_NAME_OR_PR),TITLE_NAME_OR_PR_CHANGE)</f>
        <v>Агенство по тарифам Приморского края</v>
      </c>
      <c r="GQ27" s="10123"/>
      <c r="GR27" s="10123"/>
      <c r="GS27" s="10123"/>
      <c r="GT27" s="10123"/>
      <c r="GU27" s="10123"/>
      <c r="GV27" s="10123"/>
      <c r="GW27" s="10123"/>
      <c r="GX27" s="10123"/>
      <c r="GY27" s="10123"/>
      <c r="GZ27" s="9287"/>
      <c r="HA27" s="10123" t="str">
        <f>IF(TITLE_NAME_OR_PR_CHANGE="",IF(TITLE_NAME_OR_PR="","",TITLE_NAME_OR_PR),TITLE_NAME_OR_PR_CHANGE)</f>
        <v>Агенство по тарифам Приморского края</v>
      </c>
      <c r="HB27" s="10123"/>
      <c r="HC27" s="10123"/>
      <c r="HD27" s="10123"/>
      <c r="HE27" s="10123"/>
      <c r="HF27" s="10123"/>
      <c r="HG27" s="10123"/>
      <c r="HH27" s="10123"/>
      <c r="HI27" s="10123"/>
      <c r="HJ27" s="10123"/>
      <c r="HK27" s="9287"/>
      <c r="HL27" s="10123" t="str">
        <f>IF(TITLE_NAME_OR_PR_CHANGE="",IF(TITLE_NAME_OR_PR="","",TITLE_NAME_OR_PR),TITLE_NAME_OR_PR_CHANGE)</f>
        <v>Агенство по тарифам Приморского края</v>
      </c>
      <c r="HM27" s="10123"/>
      <c r="HN27" s="10123"/>
      <c r="HO27" s="10123"/>
      <c r="HP27" s="10123"/>
      <c r="HQ27" s="10123"/>
      <c r="HR27" s="10123"/>
      <c r="HS27" s="10123"/>
      <c r="HT27" s="10123"/>
      <c r="HU27" s="10123"/>
      <c r="HV27" s="9287"/>
      <c r="HW27" s="10123" t="str">
        <f>IF(TITLE_NAME_OR_PR_CHANGE="",IF(TITLE_NAME_OR_PR="","",TITLE_NAME_OR_PR),TITLE_NAME_OR_PR_CHANGE)</f>
        <v>Агенство по тарифам Приморского края</v>
      </c>
      <c r="HX27" s="10123"/>
      <c r="HY27" s="10123"/>
      <c r="HZ27" s="10123"/>
      <c r="IA27" s="10123"/>
      <c r="IB27" s="10123"/>
      <c r="IC27" s="10123"/>
      <c r="ID27" s="10123"/>
      <c r="IE27" s="10123"/>
      <c r="IF27" s="10123"/>
      <c r="IG27" s="9287"/>
      <c r="IH27" s="10123" t="str">
        <f>IF(TITLE_NAME_OR_PR_CHANGE="",IF(TITLE_NAME_OR_PR="","",TITLE_NAME_OR_PR),TITLE_NAME_OR_PR_CHANGE)</f>
        <v>Агенство по тарифам Приморского края</v>
      </c>
      <c r="II27" s="10123"/>
      <c r="IJ27" s="10123"/>
      <c r="IK27" s="10123"/>
      <c r="IL27" s="10123"/>
      <c r="IM27" s="10123"/>
      <c r="IN27" s="10123"/>
      <c r="IO27" s="10123"/>
      <c r="IP27" s="10123"/>
      <c r="IQ27" s="10123"/>
      <c r="IR27" s="9287"/>
      <c r="IS27" s="10123" t="str">
        <f>IF(TITLE_NAME_OR_PR_CHANGE="",IF(TITLE_NAME_OR_PR="","",TITLE_NAME_OR_PR),TITLE_NAME_OR_PR_CHANGE)</f>
        <v>Агенство по тарифам Приморского края</v>
      </c>
      <c r="IT27" s="10123"/>
      <c r="IU27" s="10123"/>
      <c r="IV27" s="10123"/>
      <c r="IW27" s="10123"/>
      <c r="IX27" s="10123"/>
      <c r="IY27" s="10123"/>
      <c r="IZ27" s="10123"/>
      <c r="JA27" s="10123"/>
      <c r="JB27" s="10123"/>
      <c r="JC27" s="9287"/>
      <c r="JD27" s="10123" t="str">
        <f>IF(TITLE_NAME_OR_PR_CHANGE="",IF(TITLE_NAME_OR_PR="","",TITLE_NAME_OR_PR),TITLE_NAME_OR_PR_CHANGE)</f>
        <v>Агенство по тарифам Приморского края</v>
      </c>
      <c r="JE27" s="10123"/>
      <c r="JF27" s="10123"/>
      <c r="JG27" s="10123"/>
      <c r="JH27" s="10123"/>
      <c r="JI27" s="10123"/>
      <c r="JJ27" s="10123"/>
      <c r="JK27" s="10123"/>
      <c r="JL27" s="10123"/>
      <c r="JM27" s="10123"/>
      <c r="JN27" s="9287"/>
      <c r="JO27" s="10123" t="str">
        <f>IF(TITLE_NAME_OR_PR_CHANGE="",IF(TITLE_NAME_OR_PR="","",TITLE_NAME_OR_PR),TITLE_NAME_OR_PR_CHANGE)</f>
        <v>Агенство по тарифам Приморского края</v>
      </c>
      <c r="JP27" s="10123"/>
      <c r="JQ27" s="10123"/>
      <c r="JR27" s="10123"/>
      <c r="JS27" s="10123"/>
      <c r="JT27" s="10123"/>
      <c r="JU27" s="10123"/>
      <c r="JV27" s="10123"/>
      <c r="JW27" s="10123"/>
      <c r="JX27" s="10123"/>
      <c r="JY27" s="9287"/>
      <c r="JZ27" s="10123" t="str">
        <f>IF(TITLE_NAME_OR_PR_CHANGE="",IF(TITLE_NAME_OR_PR="","",TITLE_NAME_OR_PR),TITLE_NAME_OR_PR_CHANGE)</f>
        <v>Агенство по тарифам Приморского края</v>
      </c>
      <c r="KA27" s="10123"/>
      <c r="KB27" s="10123"/>
      <c r="KC27" s="10123"/>
      <c r="KD27" s="10123"/>
      <c r="KE27" s="10123"/>
      <c r="KF27" s="10123"/>
      <c r="KG27" s="10123"/>
      <c r="KH27" s="10123"/>
      <c r="KI27" s="10123"/>
      <c r="KJ27" s="9287"/>
      <c r="KK27" s="10123" t="str">
        <f>IF(TITLE_NAME_OR_PR_CHANGE="",IF(TITLE_NAME_OR_PR="","",TITLE_NAME_OR_PR),TITLE_NAME_OR_PR_CHANGE)</f>
        <v>Агенство по тарифам Приморского края</v>
      </c>
      <c r="KL27" s="10123"/>
      <c r="KM27" s="10123"/>
      <c r="KN27" s="10123"/>
      <c r="KO27" s="10123"/>
      <c r="KP27" s="10123"/>
      <c r="KQ27" s="10123"/>
      <c r="KR27" s="10123"/>
      <c r="KS27" s="10123"/>
      <c r="KT27" s="10123"/>
      <c r="KU27" s="9287"/>
      <c r="KV27" s="15049" t="str">
        <f>IF(TITLE_NAME_OR_PR_CHANGE="",IF(TITLE_NAME_OR_PR="","",TITLE_NAME_OR_PR),TITLE_NAME_OR_PR_CHANGE)</f>
        <v>Агенство по тарифам Приморского края</v>
      </c>
      <c r="KW27" s="15049"/>
      <c r="KX27" s="15049"/>
      <c r="KY27" s="15049"/>
      <c r="KZ27" s="15049"/>
      <c r="LA27" s="15049"/>
      <c r="LB27" s="15049"/>
      <c r="LC27" s="15049"/>
      <c r="LD27" s="15049"/>
      <c r="LE27" s="15049"/>
      <c r="LF27" s="13894"/>
      <c r="LG27" s="15049" t="str">
        <f>IF(TITLE_NAME_OR_PR_CHANGE="",IF(TITLE_NAME_OR_PR="","",TITLE_NAME_OR_PR),TITLE_NAME_OR_PR_CHANGE)</f>
        <v>Агенство по тарифам Приморского края</v>
      </c>
      <c r="LH27" s="15049"/>
      <c r="LI27" s="15049"/>
      <c r="LJ27" s="15049"/>
      <c r="LK27" s="15049"/>
      <c r="LL27" s="15049"/>
      <c r="LM27" s="15049"/>
      <c r="LN27" s="15049"/>
      <c r="LO27" s="15049"/>
      <c r="LP27" s="15049"/>
      <c r="LQ27" s="13894"/>
      <c r="LR27" s="15049" t="str">
        <f>IF(TITLE_NAME_OR_PR_CHANGE="",IF(TITLE_NAME_OR_PR="","",TITLE_NAME_OR_PR),TITLE_NAME_OR_PR_CHANGE)</f>
        <v>Агенство по тарифам Приморского края</v>
      </c>
      <c r="LS27" s="15049"/>
      <c r="LT27" s="15049"/>
      <c r="LU27" s="15049"/>
      <c r="LV27" s="15049"/>
      <c r="LW27" s="15049"/>
      <c r="LX27" s="15049"/>
      <c r="LY27" s="15049"/>
      <c r="LZ27" s="15049"/>
      <c r="MA27" s="15049"/>
      <c r="MB27" s="13894"/>
      <c r="MC27" s="15049" t="str">
        <f>IF(TITLE_NAME_OR_PR_CHANGE="",IF(TITLE_NAME_OR_PR="","",TITLE_NAME_OR_PR),TITLE_NAME_OR_PR_CHANGE)</f>
        <v>Агенство по тарифам Приморского края</v>
      </c>
      <c r="MD27" s="15049"/>
      <c r="ME27" s="15049"/>
      <c r="MF27" s="15049"/>
      <c r="MG27" s="15049"/>
      <c r="MH27" s="15049"/>
      <c r="MI27" s="15049"/>
      <c r="MJ27" s="15049"/>
      <c r="MK27" s="15049"/>
      <c r="ML27" s="15049"/>
      <c r="MM27" s="13894"/>
      <c r="MN27" s="15049" t="str">
        <f>IF(TITLE_NAME_OR_PR_CHANGE="",IF(TITLE_NAME_OR_PR="","",TITLE_NAME_OR_PR),TITLE_NAME_OR_PR_CHANGE)</f>
        <v>Агенство по тарифам Приморского края</v>
      </c>
      <c r="MO27" s="15049"/>
      <c r="MP27" s="15049"/>
      <c r="MQ27" s="15049"/>
      <c r="MR27" s="15049"/>
      <c r="MS27" s="15049"/>
      <c r="MT27" s="15049"/>
      <c r="MU27" s="15049"/>
      <c r="MV27" s="15049"/>
      <c r="MW27" s="15049"/>
      <c r="MX27" s="13894"/>
      <c r="MY27" s="15049" t="str">
        <f>IF(TITLE_NAME_OR_PR_CHANGE="",IF(TITLE_NAME_OR_PR="","",TITLE_NAME_OR_PR),TITLE_NAME_OR_PR_CHANGE)</f>
        <v>Агенство по тарифам Приморского края</v>
      </c>
      <c r="MZ27" s="15049"/>
      <c r="NA27" s="15049"/>
      <c r="NB27" s="15049"/>
      <c r="NC27" s="15049"/>
      <c r="ND27" s="15049"/>
      <c r="NE27" s="15049"/>
      <c r="NF27" s="15049"/>
      <c r="NG27" s="15049"/>
      <c r="NH27" s="15049"/>
      <c r="NI27" s="13894"/>
      <c r="NJ27" s="15049" t="str">
        <f>IF(TITLE_NAME_OR_PR_CHANGE="",IF(TITLE_NAME_OR_PR="","",TITLE_NAME_OR_PR),TITLE_NAME_OR_PR_CHANGE)</f>
        <v>Агенство по тарифам Приморского края</v>
      </c>
      <c r="NK27" s="15049"/>
      <c r="NL27" s="15049"/>
      <c r="NM27" s="15049"/>
      <c r="NN27" s="15049"/>
      <c r="NO27" s="15049"/>
      <c r="NP27" s="15049"/>
      <c r="NQ27" s="15049"/>
      <c r="NR27" s="15049"/>
      <c r="NS27" s="15049"/>
      <c r="NT27" s="13894"/>
      <c r="NU27" s="15049" t="str">
        <f>IF(TITLE_NAME_OR_PR_CHANGE="",IF(TITLE_NAME_OR_PR="","",TITLE_NAME_OR_PR),TITLE_NAME_OR_PR_CHANGE)</f>
        <v>Агенство по тарифам Приморского края</v>
      </c>
      <c r="NV27" s="15049"/>
      <c r="NW27" s="15049"/>
      <c r="NX27" s="15049"/>
      <c r="NY27" s="15049"/>
      <c r="NZ27" s="15049"/>
      <c r="OA27" s="15049"/>
      <c r="OB27" s="15049"/>
      <c r="OC27" s="15049"/>
      <c r="OD27" s="15049"/>
      <c r="OE27" s="13894"/>
      <c r="OF27" s="15049" t="str">
        <f>IF(TITLE_NAME_OR_PR_CHANGE="",IF(TITLE_NAME_OR_PR="","",TITLE_NAME_OR_PR),TITLE_NAME_OR_PR_CHANGE)</f>
        <v>Агенство по тарифам Приморского края</v>
      </c>
      <c r="OG27" s="15049"/>
      <c r="OH27" s="15049"/>
      <c r="OI27" s="15049"/>
      <c r="OJ27" s="15049"/>
      <c r="OK27" s="15049"/>
      <c r="OL27" s="15049"/>
      <c r="OM27" s="15049"/>
      <c r="ON27" s="15049"/>
      <c r="OO27" s="15049"/>
      <c r="OP27" s="13894"/>
      <c r="OQ27" s="549"/>
      <c r="OR27" s="503"/>
      <c r="OS27" s="591"/>
      <c r="OT27" s="591"/>
      <c r="OU27" s="591"/>
      <c r="OV27" s="591"/>
      <c r="OW27" s="591"/>
    </row>
    <row s="13547" customFormat="1" customHeight="1" ht="18.75">
      <c r="A28" s="1596"/>
      <c r="B28" s="1596"/>
      <c r="C28" s="1596"/>
      <c r="D28" s="1596"/>
      <c r="E28" s="1596"/>
      <c r="F28" s="1596"/>
      <c r="G28" s="1596"/>
      <c r="H28" s="1596"/>
      <c r="I28" s="1596"/>
      <c r="J28" s="1596"/>
      <c r="K28" s="1596"/>
      <c r="L28" s="1597"/>
      <c r="M28" s="1596"/>
      <c r="N28" s="1596"/>
      <c r="O28" s="1596"/>
      <c r="S28" s="2380" t="s">
        <v>422</v>
      </c>
      <c r="T28" s="2380"/>
      <c r="U28" s="1600"/>
      <c r="V28" s="2381" t="str">
        <f>IF(TITLE_DATE_PR_CHANGE="",IF(TITLE_DATE_PR="","",TITLE_DATE_PR),TITLE_DATE_PR_CHANGE)</f>
        <v>45281.66994212963</v>
      </c>
      <c r="W28" s="2381"/>
      <c r="X28" s="2381"/>
      <c r="Y28" s="2381"/>
      <c r="Z28" s="2381"/>
      <c r="AA28" s="2381"/>
      <c r="AB28" s="2381"/>
      <c r="AC28" s="2381"/>
      <c r="AD28" s="2381"/>
      <c r="AE28" s="2381"/>
      <c r="AF28" s="549"/>
      <c r="AG28" s="2381" t="str">
        <f>IF(TITLE_DATE_PR_CHANGE="",IF(TITLE_DATE_PR="","",TITLE_DATE_PR),TITLE_DATE_PR_CHANGE)</f>
        <v>45281.66994212963</v>
      </c>
      <c r="AH28" s="2381"/>
      <c r="AI28" s="2381"/>
      <c r="AJ28" s="2381"/>
      <c r="AK28" s="2381"/>
      <c r="AL28" s="2381"/>
      <c r="AM28" s="2381"/>
      <c r="AN28" s="2381"/>
      <c r="AO28" s="2381"/>
      <c r="AP28" s="2381"/>
      <c r="AQ28" s="549"/>
      <c r="AR28" s="6512" t="str">
        <f>IF(TITLE_DATE_PR_CHANGE="",IF(TITLE_DATE_PR="","",TITLE_DATE_PR),TITLE_DATE_PR_CHANGE)</f>
        <v>45281.66994212963</v>
      </c>
      <c r="AS28" s="6512"/>
      <c r="AT28" s="6512"/>
      <c r="AU28" s="6512"/>
      <c r="AV28" s="6512"/>
      <c r="AW28" s="6512"/>
      <c r="AX28" s="6512"/>
      <c r="AY28" s="6512"/>
      <c r="AZ28" s="6512"/>
      <c r="BA28" s="6512"/>
      <c r="BB28" s="6423"/>
      <c r="BC28" s="6512" t="str">
        <f>IF(TITLE_DATE_PR_CHANGE="",IF(TITLE_DATE_PR="","",TITLE_DATE_PR),TITLE_DATE_PR_CHANGE)</f>
        <v>45281.66994212963</v>
      </c>
      <c r="BD28" s="6512"/>
      <c r="BE28" s="6512"/>
      <c r="BF28" s="6512"/>
      <c r="BG28" s="6512"/>
      <c r="BH28" s="6512"/>
      <c r="BI28" s="6512"/>
      <c r="BJ28" s="6512"/>
      <c r="BK28" s="6512"/>
      <c r="BL28" s="6512"/>
      <c r="BM28" s="6423"/>
      <c r="BN28" s="10125" t="str">
        <f>IF(TITLE_DATE_PR_CHANGE="",IF(TITLE_DATE_PR="","",TITLE_DATE_PR),TITLE_DATE_PR_CHANGE)</f>
        <v>45281.66994212963</v>
      </c>
      <c r="BO28" s="10125"/>
      <c r="BP28" s="10125"/>
      <c r="BQ28" s="10125"/>
      <c r="BR28" s="10125"/>
      <c r="BS28" s="10125"/>
      <c r="BT28" s="10125"/>
      <c r="BU28" s="10125"/>
      <c r="BV28" s="10125"/>
      <c r="BW28" s="10125"/>
      <c r="BX28" s="9287"/>
      <c r="BY28" s="10125" t="str">
        <f>IF(TITLE_DATE_PR_CHANGE="",IF(TITLE_DATE_PR="","",TITLE_DATE_PR),TITLE_DATE_PR_CHANGE)</f>
        <v>45281.66994212963</v>
      </c>
      <c r="BZ28" s="10125"/>
      <c r="CA28" s="10125"/>
      <c r="CB28" s="10125"/>
      <c r="CC28" s="10125"/>
      <c r="CD28" s="10125"/>
      <c r="CE28" s="10125"/>
      <c r="CF28" s="10125"/>
      <c r="CG28" s="10125"/>
      <c r="CH28" s="10125"/>
      <c r="CI28" s="9287"/>
      <c r="CJ28" s="10125" t="str">
        <f>IF(TITLE_DATE_PR_CHANGE="",IF(TITLE_DATE_PR="","",TITLE_DATE_PR),TITLE_DATE_PR_CHANGE)</f>
        <v>45281.66994212963</v>
      </c>
      <c r="CK28" s="10125"/>
      <c r="CL28" s="10125"/>
      <c r="CM28" s="10125"/>
      <c r="CN28" s="10125"/>
      <c r="CO28" s="10125"/>
      <c r="CP28" s="10125"/>
      <c r="CQ28" s="10125"/>
      <c r="CR28" s="10125"/>
      <c r="CS28" s="10125"/>
      <c r="CT28" s="9287"/>
      <c r="CU28" s="10125" t="str">
        <f>IF(TITLE_DATE_PR_CHANGE="",IF(TITLE_DATE_PR="","",TITLE_DATE_PR),TITLE_DATE_PR_CHANGE)</f>
        <v>45281.66994212963</v>
      </c>
      <c r="CV28" s="10125"/>
      <c r="CW28" s="10125"/>
      <c r="CX28" s="10125"/>
      <c r="CY28" s="10125"/>
      <c r="CZ28" s="10125"/>
      <c r="DA28" s="10125"/>
      <c r="DB28" s="10125"/>
      <c r="DC28" s="10125"/>
      <c r="DD28" s="10125"/>
      <c r="DE28" s="9287"/>
      <c r="DF28" s="10125" t="str">
        <f>IF(TITLE_DATE_PR_CHANGE="",IF(TITLE_DATE_PR="","",TITLE_DATE_PR),TITLE_DATE_PR_CHANGE)</f>
        <v>45281.66994212963</v>
      </c>
      <c r="DG28" s="10125"/>
      <c r="DH28" s="10125"/>
      <c r="DI28" s="10125"/>
      <c r="DJ28" s="10125"/>
      <c r="DK28" s="10125"/>
      <c r="DL28" s="10125"/>
      <c r="DM28" s="10125"/>
      <c r="DN28" s="10125"/>
      <c r="DO28" s="10125"/>
      <c r="DP28" s="9287"/>
      <c r="DQ28" s="10125" t="str">
        <f>IF(TITLE_DATE_PR_CHANGE="",IF(TITLE_DATE_PR="","",TITLE_DATE_PR),TITLE_DATE_PR_CHANGE)</f>
        <v>45281.66994212963</v>
      </c>
      <c r="DR28" s="10125"/>
      <c r="DS28" s="10125"/>
      <c r="DT28" s="10125"/>
      <c r="DU28" s="10125"/>
      <c r="DV28" s="10125"/>
      <c r="DW28" s="10125"/>
      <c r="DX28" s="10125"/>
      <c r="DY28" s="10125"/>
      <c r="DZ28" s="10125"/>
      <c r="EA28" s="9287"/>
      <c r="EB28" s="10125" t="str">
        <f>IF(TITLE_DATE_PR_CHANGE="",IF(TITLE_DATE_PR="","",TITLE_DATE_PR),TITLE_DATE_PR_CHANGE)</f>
        <v>45281.66994212963</v>
      </c>
      <c r="EC28" s="10125"/>
      <c r="ED28" s="10125"/>
      <c r="EE28" s="10125"/>
      <c r="EF28" s="10125"/>
      <c r="EG28" s="10125"/>
      <c r="EH28" s="10125"/>
      <c r="EI28" s="10125"/>
      <c r="EJ28" s="10125"/>
      <c r="EK28" s="10125"/>
      <c r="EL28" s="9287"/>
      <c r="EM28" s="10125" t="str">
        <f>IF(TITLE_DATE_PR_CHANGE="",IF(TITLE_DATE_PR="","",TITLE_DATE_PR),TITLE_DATE_PR_CHANGE)</f>
        <v>45281.66994212963</v>
      </c>
      <c r="EN28" s="10125"/>
      <c r="EO28" s="10125"/>
      <c r="EP28" s="10125"/>
      <c r="EQ28" s="10125"/>
      <c r="ER28" s="10125"/>
      <c r="ES28" s="10125"/>
      <c r="ET28" s="10125"/>
      <c r="EU28" s="10125"/>
      <c r="EV28" s="10125"/>
      <c r="EW28" s="9287"/>
      <c r="EX28" s="10125" t="str">
        <f>IF(TITLE_DATE_PR_CHANGE="",IF(TITLE_DATE_PR="","",TITLE_DATE_PR),TITLE_DATE_PR_CHANGE)</f>
        <v>45281.66994212963</v>
      </c>
      <c r="EY28" s="10125"/>
      <c r="EZ28" s="10125"/>
      <c r="FA28" s="10125"/>
      <c r="FB28" s="10125"/>
      <c r="FC28" s="10125"/>
      <c r="FD28" s="10125"/>
      <c r="FE28" s="10125"/>
      <c r="FF28" s="10125"/>
      <c r="FG28" s="10125"/>
      <c r="FH28" s="9287"/>
      <c r="FI28" s="10125" t="str">
        <f>IF(TITLE_DATE_PR_CHANGE="",IF(TITLE_DATE_PR="","",TITLE_DATE_PR),TITLE_DATE_PR_CHANGE)</f>
        <v>45281.66994212963</v>
      </c>
      <c r="FJ28" s="10125"/>
      <c r="FK28" s="10125"/>
      <c r="FL28" s="10125"/>
      <c r="FM28" s="10125"/>
      <c r="FN28" s="10125"/>
      <c r="FO28" s="10125"/>
      <c r="FP28" s="10125"/>
      <c r="FQ28" s="10125"/>
      <c r="FR28" s="10125"/>
      <c r="FS28" s="9287"/>
      <c r="FT28" s="10125" t="str">
        <f>IF(TITLE_DATE_PR_CHANGE="",IF(TITLE_DATE_PR="","",TITLE_DATE_PR),TITLE_DATE_PR_CHANGE)</f>
        <v>45281.66994212963</v>
      </c>
      <c r="FU28" s="10125"/>
      <c r="FV28" s="10125"/>
      <c r="FW28" s="10125"/>
      <c r="FX28" s="10125"/>
      <c r="FY28" s="10125"/>
      <c r="FZ28" s="10125"/>
      <c r="GA28" s="10125"/>
      <c r="GB28" s="10125"/>
      <c r="GC28" s="10125"/>
      <c r="GD28" s="9287"/>
      <c r="GE28" s="10125" t="str">
        <f>IF(TITLE_DATE_PR_CHANGE="",IF(TITLE_DATE_PR="","",TITLE_DATE_PR),TITLE_DATE_PR_CHANGE)</f>
        <v>45281.66994212963</v>
      </c>
      <c r="GF28" s="10125"/>
      <c r="GG28" s="10125"/>
      <c r="GH28" s="10125"/>
      <c r="GI28" s="10125"/>
      <c r="GJ28" s="10125"/>
      <c r="GK28" s="10125"/>
      <c r="GL28" s="10125"/>
      <c r="GM28" s="10125"/>
      <c r="GN28" s="10125"/>
      <c r="GO28" s="9287"/>
      <c r="GP28" s="10125" t="str">
        <f>IF(TITLE_DATE_PR_CHANGE="",IF(TITLE_DATE_PR="","",TITLE_DATE_PR),TITLE_DATE_PR_CHANGE)</f>
        <v>45281.66994212963</v>
      </c>
      <c r="GQ28" s="10125"/>
      <c r="GR28" s="10125"/>
      <c r="GS28" s="10125"/>
      <c r="GT28" s="10125"/>
      <c r="GU28" s="10125"/>
      <c r="GV28" s="10125"/>
      <c r="GW28" s="10125"/>
      <c r="GX28" s="10125"/>
      <c r="GY28" s="10125"/>
      <c r="GZ28" s="9287"/>
      <c r="HA28" s="10125" t="str">
        <f>IF(TITLE_DATE_PR_CHANGE="",IF(TITLE_DATE_PR="","",TITLE_DATE_PR),TITLE_DATE_PR_CHANGE)</f>
        <v>45281.66994212963</v>
      </c>
      <c r="HB28" s="10125"/>
      <c r="HC28" s="10125"/>
      <c r="HD28" s="10125"/>
      <c r="HE28" s="10125"/>
      <c r="HF28" s="10125"/>
      <c r="HG28" s="10125"/>
      <c r="HH28" s="10125"/>
      <c r="HI28" s="10125"/>
      <c r="HJ28" s="10125"/>
      <c r="HK28" s="9287"/>
      <c r="HL28" s="10125" t="str">
        <f>IF(TITLE_DATE_PR_CHANGE="",IF(TITLE_DATE_PR="","",TITLE_DATE_PR),TITLE_DATE_PR_CHANGE)</f>
        <v>45281.66994212963</v>
      </c>
      <c r="HM28" s="10125"/>
      <c r="HN28" s="10125"/>
      <c r="HO28" s="10125"/>
      <c r="HP28" s="10125"/>
      <c r="HQ28" s="10125"/>
      <c r="HR28" s="10125"/>
      <c r="HS28" s="10125"/>
      <c r="HT28" s="10125"/>
      <c r="HU28" s="10125"/>
      <c r="HV28" s="9287"/>
      <c r="HW28" s="10125" t="str">
        <f>IF(TITLE_DATE_PR_CHANGE="",IF(TITLE_DATE_PR="","",TITLE_DATE_PR),TITLE_DATE_PR_CHANGE)</f>
        <v>45281.66994212963</v>
      </c>
      <c r="HX28" s="10125"/>
      <c r="HY28" s="10125"/>
      <c r="HZ28" s="10125"/>
      <c r="IA28" s="10125"/>
      <c r="IB28" s="10125"/>
      <c r="IC28" s="10125"/>
      <c r="ID28" s="10125"/>
      <c r="IE28" s="10125"/>
      <c r="IF28" s="10125"/>
      <c r="IG28" s="9287"/>
      <c r="IH28" s="10125" t="str">
        <f>IF(TITLE_DATE_PR_CHANGE="",IF(TITLE_DATE_PR="","",TITLE_DATE_PR),TITLE_DATE_PR_CHANGE)</f>
        <v>45281.66994212963</v>
      </c>
      <c r="II28" s="10125"/>
      <c r="IJ28" s="10125"/>
      <c r="IK28" s="10125"/>
      <c r="IL28" s="10125"/>
      <c r="IM28" s="10125"/>
      <c r="IN28" s="10125"/>
      <c r="IO28" s="10125"/>
      <c r="IP28" s="10125"/>
      <c r="IQ28" s="10125"/>
      <c r="IR28" s="9287"/>
      <c r="IS28" s="10125" t="str">
        <f>IF(TITLE_DATE_PR_CHANGE="",IF(TITLE_DATE_PR="","",TITLE_DATE_PR),TITLE_DATE_PR_CHANGE)</f>
        <v>45281.66994212963</v>
      </c>
      <c r="IT28" s="10125"/>
      <c r="IU28" s="10125"/>
      <c r="IV28" s="10125"/>
      <c r="IW28" s="10125"/>
      <c r="IX28" s="10125"/>
      <c r="IY28" s="10125"/>
      <c r="IZ28" s="10125"/>
      <c r="JA28" s="10125"/>
      <c r="JB28" s="10125"/>
      <c r="JC28" s="9287"/>
      <c r="JD28" s="10125" t="str">
        <f>IF(TITLE_DATE_PR_CHANGE="",IF(TITLE_DATE_PR="","",TITLE_DATE_PR),TITLE_DATE_PR_CHANGE)</f>
        <v>45281.66994212963</v>
      </c>
      <c r="JE28" s="10125"/>
      <c r="JF28" s="10125"/>
      <c r="JG28" s="10125"/>
      <c r="JH28" s="10125"/>
      <c r="JI28" s="10125"/>
      <c r="JJ28" s="10125"/>
      <c r="JK28" s="10125"/>
      <c r="JL28" s="10125"/>
      <c r="JM28" s="10125"/>
      <c r="JN28" s="9287"/>
      <c r="JO28" s="10125" t="str">
        <f>IF(TITLE_DATE_PR_CHANGE="",IF(TITLE_DATE_PR="","",TITLE_DATE_PR),TITLE_DATE_PR_CHANGE)</f>
        <v>45281.66994212963</v>
      </c>
      <c r="JP28" s="10125"/>
      <c r="JQ28" s="10125"/>
      <c r="JR28" s="10125"/>
      <c r="JS28" s="10125"/>
      <c r="JT28" s="10125"/>
      <c r="JU28" s="10125"/>
      <c r="JV28" s="10125"/>
      <c r="JW28" s="10125"/>
      <c r="JX28" s="10125"/>
      <c r="JY28" s="9287"/>
      <c r="JZ28" s="10125" t="str">
        <f>IF(TITLE_DATE_PR_CHANGE="",IF(TITLE_DATE_PR="","",TITLE_DATE_PR),TITLE_DATE_PR_CHANGE)</f>
        <v>45281.66994212963</v>
      </c>
      <c r="KA28" s="10125"/>
      <c r="KB28" s="10125"/>
      <c r="KC28" s="10125"/>
      <c r="KD28" s="10125"/>
      <c r="KE28" s="10125"/>
      <c r="KF28" s="10125"/>
      <c r="KG28" s="10125"/>
      <c r="KH28" s="10125"/>
      <c r="KI28" s="10125"/>
      <c r="KJ28" s="9287"/>
      <c r="KK28" s="10125" t="str">
        <f>IF(TITLE_DATE_PR_CHANGE="",IF(TITLE_DATE_PR="","",TITLE_DATE_PR),TITLE_DATE_PR_CHANGE)</f>
        <v>45281.66994212963</v>
      </c>
      <c r="KL28" s="10125"/>
      <c r="KM28" s="10125"/>
      <c r="KN28" s="10125"/>
      <c r="KO28" s="10125"/>
      <c r="KP28" s="10125"/>
      <c r="KQ28" s="10125"/>
      <c r="KR28" s="10125"/>
      <c r="KS28" s="10125"/>
      <c r="KT28" s="10125"/>
      <c r="KU28" s="9287"/>
      <c r="KV28" s="15052" t="str">
        <f>IF(TITLE_DATE_PR_CHANGE="",IF(TITLE_DATE_PR="","",TITLE_DATE_PR),TITLE_DATE_PR_CHANGE)</f>
        <v>45281.66994212963</v>
      </c>
      <c r="KW28" s="15052"/>
      <c r="KX28" s="15052"/>
      <c r="KY28" s="15052"/>
      <c r="KZ28" s="15052"/>
      <c r="LA28" s="15052"/>
      <c r="LB28" s="15052"/>
      <c r="LC28" s="15052"/>
      <c r="LD28" s="15052"/>
      <c r="LE28" s="15052"/>
      <c r="LF28" s="13894"/>
      <c r="LG28" s="15052" t="str">
        <f>IF(TITLE_DATE_PR_CHANGE="",IF(TITLE_DATE_PR="","",TITLE_DATE_PR),TITLE_DATE_PR_CHANGE)</f>
        <v>45281.66994212963</v>
      </c>
      <c r="LH28" s="15052"/>
      <c r="LI28" s="15052"/>
      <c r="LJ28" s="15052"/>
      <c r="LK28" s="15052"/>
      <c r="LL28" s="15052"/>
      <c r="LM28" s="15052"/>
      <c r="LN28" s="15052"/>
      <c r="LO28" s="15052"/>
      <c r="LP28" s="15052"/>
      <c r="LQ28" s="13894"/>
      <c r="LR28" s="15052" t="str">
        <f>IF(TITLE_DATE_PR_CHANGE="",IF(TITLE_DATE_PR="","",TITLE_DATE_PR),TITLE_DATE_PR_CHANGE)</f>
        <v>45281.66994212963</v>
      </c>
      <c r="LS28" s="15052"/>
      <c r="LT28" s="15052"/>
      <c r="LU28" s="15052"/>
      <c r="LV28" s="15052"/>
      <c r="LW28" s="15052"/>
      <c r="LX28" s="15052"/>
      <c r="LY28" s="15052"/>
      <c r="LZ28" s="15052"/>
      <c r="MA28" s="15052"/>
      <c r="MB28" s="13894"/>
      <c r="MC28" s="15052" t="str">
        <f>IF(TITLE_DATE_PR_CHANGE="",IF(TITLE_DATE_PR="","",TITLE_DATE_PR),TITLE_DATE_PR_CHANGE)</f>
        <v>45281.66994212963</v>
      </c>
      <c r="MD28" s="15052"/>
      <c r="ME28" s="15052"/>
      <c r="MF28" s="15052"/>
      <c r="MG28" s="15052"/>
      <c r="MH28" s="15052"/>
      <c r="MI28" s="15052"/>
      <c r="MJ28" s="15052"/>
      <c r="MK28" s="15052"/>
      <c r="ML28" s="15052"/>
      <c r="MM28" s="13894"/>
      <c r="MN28" s="15052" t="str">
        <f>IF(TITLE_DATE_PR_CHANGE="",IF(TITLE_DATE_PR="","",TITLE_DATE_PR),TITLE_DATE_PR_CHANGE)</f>
        <v>45281.66994212963</v>
      </c>
      <c r="MO28" s="15052"/>
      <c r="MP28" s="15052"/>
      <c r="MQ28" s="15052"/>
      <c r="MR28" s="15052"/>
      <c r="MS28" s="15052"/>
      <c r="MT28" s="15052"/>
      <c r="MU28" s="15052"/>
      <c r="MV28" s="15052"/>
      <c r="MW28" s="15052"/>
      <c r="MX28" s="13894"/>
      <c r="MY28" s="15052" t="str">
        <f>IF(TITLE_DATE_PR_CHANGE="",IF(TITLE_DATE_PR="","",TITLE_DATE_PR),TITLE_DATE_PR_CHANGE)</f>
        <v>45281.66994212963</v>
      </c>
      <c r="MZ28" s="15052"/>
      <c r="NA28" s="15052"/>
      <c r="NB28" s="15052"/>
      <c r="NC28" s="15052"/>
      <c r="ND28" s="15052"/>
      <c r="NE28" s="15052"/>
      <c r="NF28" s="15052"/>
      <c r="NG28" s="15052"/>
      <c r="NH28" s="15052"/>
      <c r="NI28" s="13894"/>
      <c r="NJ28" s="15052" t="str">
        <f>IF(TITLE_DATE_PR_CHANGE="",IF(TITLE_DATE_PR="","",TITLE_DATE_PR),TITLE_DATE_PR_CHANGE)</f>
        <v>45281.66994212963</v>
      </c>
      <c r="NK28" s="15052"/>
      <c r="NL28" s="15052"/>
      <c r="NM28" s="15052"/>
      <c r="NN28" s="15052"/>
      <c r="NO28" s="15052"/>
      <c r="NP28" s="15052"/>
      <c r="NQ28" s="15052"/>
      <c r="NR28" s="15052"/>
      <c r="NS28" s="15052"/>
      <c r="NT28" s="13894"/>
      <c r="NU28" s="15052" t="str">
        <f>IF(TITLE_DATE_PR_CHANGE="",IF(TITLE_DATE_PR="","",TITLE_DATE_PR),TITLE_DATE_PR_CHANGE)</f>
        <v>45281.66994212963</v>
      </c>
      <c r="NV28" s="15052"/>
      <c r="NW28" s="15052"/>
      <c r="NX28" s="15052"/>
      <c r="NY28" s="15052"/>
      <c r="NZ28" s="15052"/>
      <c r="OA28" s="15052"/>
      <c r="OB28" s="15052"/>
      <c r="OC28" s="15052"/>
      <c r="OD28" s="15052"/>
      <c r="OE28" s="13894"/>
      <c r="OF28" s="15052" t="str">
        <f>IF(TITLE_DATE_PR_CHANGE="",IF(TITLE_DATE_PR="","",TITLE_DATE_PR),TITLE_DATE_PR_CHANGE)</f>
        <v>45281.66994212963</v>
      </c>
      <c r="OG28" s="15052"/>
      <c r="OH28" s="15052"/>
      <c r="OI28" s="15052"/>
      <c r="OJ28" s="15052"/>
      <c r="OK28" s="15052"/>
      <c r="OL28" s="15052"/>
      <c r="OM28" s="15052"/>
      <c r="ON28" s="15052"/>
      <c r="OO28" s="15052"/>
      <c r="OP28" s="13894"/>
      <c r="OQ28" s="549"/>
      <c r="OR28" s="503"/>
      <c r="OS28" s="591"/>
      <c r="OT28" s="591"/>
      <c r="OU28" s="591"/>
      <c r="OV28" s="591"/>
      <c r="OW28" s="591"/>
    </row>
    <row s="13547" customFormat="1" customHeight="1" ht="18.75">
      <c r="A29" s="1596"/>
      <c r="B29" s="1596"/>
      <c r="C29" s="1596"/>
      <c r="D29" s="1596"/>
      <c r="E29" s="1596"/>
      <c r="F29" s="1596"/>
      <c r="G29" s="1596"/>
      <c r="H29" s="1596"/>
      <c r="I29" s="1596"/>
      <c r="J29" s="1596"/>
      <c r="K29" s="1596"/>
      <c r="L29" s="1597"/>
      <c r="M29" s="1596"/>
      <c r="N29" s="1596"/>
      <c r="O29" s="1596"/>
      <c r="S29" s="2380" t="s">
        <v>423</v>
      </c>
      <c r="T29" s="2380"/>
      <c r="U29" s="1600"/>
      <c r="V29" s="2382" t="str">
        <f>IF(TITLE_NUMBER_PR_CHANGE="",IF(TITLE_NUMBER_PR="","",TITLE_NUMBER_PR),TITLE_NUMBER_PR_CHANGE)</f>
        <v>72/1</v>
      </c>
      <c r="W29" s="2382"/>
      <c r="X29" s="2382"/>
      <c r="Y29" s="2382"/>
      <c r="Z29" s="2382"/>
      <c r="AA29" s="2382"/>
      <c r="AB29" s="2382"/>
      <c r="AC29" s="2382"/>
      <c r="AD29" s="2382"/>
      <c r="AE29" s="2382"/>
      <c r="AF29" s="549"/>
      <c r="AG29" s="2382" t="str">
        <f>IF(TITLE_NUMBER_PR_CHANGE="",IF(TITLE_NUMBER_PR="","",TITLE_NUMBER_PR),TITLE_NUMBER_PR_CHANGE)</f>
        <v>72/1</v>
      </c>
      <c r="AH29" s="2382"/>
      <c r="AI29" s="2382"/>
      <c r="AJ29" s="2382"/>
      <c r="AK29" s="2382"/>
      <c r="AL29" s="2382"/>
      <c r="AM29" s="2382"/>
      <c r="AN29" s="2382"/>
      <c r="AO29" s="2382"/>
      <c r="AP29" s="2382"/>
      <c r="AQ29" s="549"/>
      <c r="AR29" s="6511" t="str">
        <f>IF(TITLE_NUMBER_PR_CHANGE="",IF(TITLE_NUMBER_PR="","",TITLE_NUMBER_PR),TITLE_NUMBER_PR_CHANGE)</f>
        <v>72/1</v>
      </c>
      <c r="AS29" s="6511"/>
      <c r="AT29" s="6511"/>
      <c r="AU29" s="6511"/>
      <c r="AV29" s="6511"/>
      <c r="AW29" s="6511"/>
      <c r="AX29" s="6511"/>
      <c r="AY29" s="6511"/>
      <c r="AZ29" s="6511"/>
      <c r="BA29" s="6511"/>
      <c r="BB29" s="6423"/>
      <c r="BC29" s="6511" t="str">
        <f>IF(TITLE_NUMBER_PR_CHANGE="",IF(TITLE_NUMBER_PR="","",TITLE_NUMBER_PR),TITLE_NUMBER_PR_CHANGE)</f>
        <v>72/1</v>
      </c>
      <c r="BD29" s="6511"/>
      <c r="BE29" s="6511"/>
      <c r="BF29" s="6511"/>
      <c r="BG29" s="6511"/>
      <c r="BH29" s="6511"/>
      <c r="BI29" s="6511"/>
      <c r="BJ29" s="6511"/>
      <c r="BK29" s="6511"/>
      <c r="BL29" s="6511"/>
      <c r="BM29" s="6423"/>
      <c r="BN29" s="10123" t="str">
        <f>IF(TITLE_NUMBER_PR_CHANGE="",IF(TITLE_NUMBER_PR="","",TITLE_NUMBER_PR),TITLE_NUMBER_PR_CHANGE)</f>
        <v>72/1</v>
      </c>
      <c r="BO29" s="10123"/>
      <c r="BP29" s="10123"/>
      <c r="BQ29" s="10123"/>
      <c r="BR29" s="10123"/>
      <c r="BS29" s="10123"/>
      <c r="BT29" s="10123"/>
      <c r="BU29" s="10123"/>
      <c r="BV29" s="10123"/>
      <c r="BW29" s="10123"/>
      <c r="BX29" s="9287"/>
      <c r="BY29" s="10123" t="str">
        <f>IF(TITLE_NUMBER_PR_CHANGE="",IF(TITLE_NUMBER_PR="","",TITLE_NUMBER_PR),TITLE_NUMBER_PR_CHANGE)</f>
        <v>72/1</v>
      </c>
      <c r="BZ29" s="10123"/>
      <c r="CA29" s="10123"/>
      <c r="CB29" s="10123"/>
      <c r="CC29" s="10123"/>
      <c r="CD29" s="10123"/>
      <c r="CE29" s="10123"/>
      <c r="CF29" s="10123"/>
      <c r="CG29" s="10123"/>
      <c r="CH29" s="10123"/>
      <c r="CI29" s="9287"/>
      <c r="CJ29" s="10123" t="str">
        <f>IF(TITLE_NUMBER_PR_CHANGE="",IF(TITLE_NUMBER_PR="","",TITLE_NUMBER_PR),TITLE_NUMBER_PR_CHANGE)</f>
        <v>72/1</v>
      </c>
      <c r="CK29" s="10123"/>
      <c r="CL29" s="10123"/>
      <c r="CM29" s="10123"/>
      <c r="CN29" s="10123"/>
      <c r="CO29" s="10123"/>
      <c r="CP29" s="10123"/>
      <c r="CQ29" s="10123"/>
      <c r="CR29" s="10123"/>
      <c r="CS29" s="10123"/>
      <c r="CT29" s="9287"/>
      <c r="CU29" s="10123" t="str">
        <f>IF(TITLE_NUMBER_PR_CHANGE="",IF(TITLE_NUMBER_PR="","",TITLE_NUMBER_PR),TITLE_NUMBER_PR_CHANGE)</f>
        <v>72/1</v>
      </c>
      <c r="CV29" s="10123"/>
      <c r="CW29" s="10123"/>
      <c r="CX29" s="10123"/>
      <c r="CY29" s="10123"/>
      <c r="CZ29" s="10123"/>
      <c r="DA29" s="10123"/>
      <c r="DB29" s="10123"/>
      <c r="DC29" s="10123"/>
      <c r="DD29" s="10123"/>
      <c r="DE29" s="9287"/>
      <c r="DF29" s="10123" t="str">
        <f>IF(TITLE_NUMBER_PR_CHANGE="",IF(TITLE_NUMBER_PR="","",TITLE_NUMBER_PR),TITLE_NUMBER_PR_CHANGE)</f>
        <v>72/1</v>
      </c>
      <c r="DG29" s="10123"/>
      <c r="DH29" s="10123"/>
      <c r="DI29" s="10123"/>
      <c r="DJ29" s="10123"/>
      <c r="DK29" s="10123"/>
      <c r="DL29" s="10123"/>
      <c r="DM29" s="10123"/>
      <c r="DN29" s="10123"/>
      <c r="DO29" s="10123"/>
      <c r="DP29" s="9287"/>
      <c r="DQ29" s="10123" t="str">
        <f>IF(TITLE_NUMBER_PR_CHANGE="",IF(TITLE_NUMBER_PR="","",TITLE_NUMBER_PR),TITLE_NUMBER_PR_CHANGE)</f>
        <v>72/1</v>
      </c>
      <c r="DR29" s="10123"/>
      <c r="DS29" s="10123"/>
      <c r="DT29" s="10123"/>
      <c r="DU29" s="10123"/>
      <c r="DV29" s="10123"/>
      <c r="DW29" s="10123"/>
      <c r="DX29" s="10123"/>
      <c r="DY29" s="10123"/>
      <c r="DZ29" s="10123"/>
      <c r="EA29" s="9287"/>
      <c r="EB29" s="10123" t="str">
        <f>IF(TITLE_NUMBER_PR_CHANGE="",IF(TITLE_NUMBER_PR="","",TITLE_NUMBER_PR),TITLE_NUMBER_PR_CHANGE)</f>
        <v>72/1</v>
      </c>
      <c r="EC29" s="10123"/>
      <c r="ED29" s="10123"/>
      <c r="EE29" s="10123"/>
      <c r="EF29" s="10123"/>
      <c r="EG29" s="10123"/>
      <c r="EH29" s="10123"/>
      <c r="EI29" s="10123"/>
      <c r="EJ29" s="10123"/>
      <c r="EK29" s="10123"/>
      <c r="EL29" s="9287"/>
      <c r="EM29" s="10123" t="str">
        <f>IF(TITLE_NUMBER_PR_CHANGE="",IF(TITLE_NUMBER_PR="","",TITLE_NUMBER_PR),TITLE_NUMBER_PR_CHANGE)</f>
        <v>72/1</v>
      </c>
      <c r="EN29" s="10123"/>
      <c r="EO29" s="10123"/>
      <c r="EP29" s="10123"/>
      <c r="EQ29" s="10123"/>
      <c r="ER29" s="10123"/>
      <c r="ES29" s="10123"/>
      <c r="ET29" s="10123"/>
      <c r="EU29" s="10123"/>
      <c r="EV29" s="10123"/>
      <c r="EW29" s="9287"/>
      <c r="EX29" s="10123" t="str">
        <f>IF(TITLE_NUMBER_PR_CHANGE="",IF(TITLE_NUMBER_PR="","",TITLE_NUMBER_PR),TITLE_NUMBER_PR_CHANGE)</f>
        <v>72/1</v>
      </c>
      <c r="EY29" s="10123"/>
      <c r="EZ29" s="10123"/>
      <c r="FA29" s="10123"/>
      <c r="FB29" s="10123"/>
      <c r="FC29" s="10123"/>
      <c r="FD29" s="10123"/>
      <c r="FE29" s="10123"/>
      <c r="FF29" s="10123"/>
      <c r="FG29" s="10123"/>
      <c r="FH29" s="9287"/>
      <c r="FI29" s="10123" t="str">
        <f>IF(TITLE_NUMBER_PR_CHANGE="",IF(TITLE_NUMBER_PR="","",TITLE_NUMBER_PR),TITLE_NUMBER_PR_CHANGE)</f>
        <v>72/1</v>
      </c>
      <c r="FJ29" s="10123"/>
      <c r="FK29" s="10123"/>
      <c r="FL29" s="10123"/>
      <c r="FM29" s="10123"/>
      <c r="FN29" s="10123"/>
      <c r="FO29" s="10123"/>
      <c r="FP29" s="10123"/>
      <c r="FQ29" s="10123"/>
      <c r="FR29" s="10123"/>
      <c r="FS29" s="9287"/>
      <c r="FT29" s="10123" t="str">
        <f>IF(TITLE_NUMBER_PR_CHANGE="",IF(TITLE_NUMBER_PR="","",TITLE_NUMBER_PR),TITLE_NUMBER_PR_CHANGE)</f>
        <v>72/1</v>
      </c>
      <c r="FU29" s="10123"/>
      <c r="FV29" s="10123"/>
      <c r="FW29" s="10123"/>
      <c r="FX29" s="10123"/>
      <c r="FY29" s="10123"/>
      <c r="FZ29" s="10123"/>
      <c r="GA29" s="10123"/>
      <c r="GB29" s="10123"/>
      <c r="GC29" s="10123"/>
      <c r="GD29" s="9287"/>
      <c r="GE29" s="10123" t="str">
        <f>IF(TITLE_NUMBER_PR_CHANGE="",IF(TITLE_NUMBER_PR="","",TITLE_NUMBER_PR),TITLE_NUMBER_PR_CHANGE)</f>
        <v>72/1</v>
      </c>
      <c r="GF29" s="10123"/>
      <c r="GG29" s="10123"/>
      <c r="GH29" s="10123"/>
      <c r="GI29" s="10123"/>
      <c r="GJ29" s="10123"/>
      <c r="GK29" s="10123"/>
      <c r="GL29" s="10123"/>
      <c r="GM29" s="10123"/>
      <c r="GN29" s="10123"/>
      <c r="GO29" s="9287"/>
      <c r="GP29" s="10123" t="str">
        <f>IF(TITLE_NUMBER_PR_CHANGE="",IF(TITLE_NUMBER_PR="","",TITLE_NUMBER_PR),TITLE_NUMBER_PR_CHANGE)</f>
        <v>72/1</v>
      </c>
      <c r="GQ29" s="10123"/>
      <c r="GR29" s="10123"/>
      <c r="GS29" s="10123"/>
      <c r="GT29" s="10123"/>
      <c r="GU29" s="10123"/>
      <c r="GV29" s="10123"/>
      <c r="GW29" s="10123"/>
      <c r="GX29" s="10123"/>
      <c r="GY29" s="10123"/>
      <c r="GZ29" s="9287"/>
      <c r="HA29" s="10123" t="str">
        <f>IF(TITLE_NUMBER_PR_CHANGE="",IF(TITLE_NUMBER_PR="","",TITLE_NUMBER_PR),TITLE_NUMBER_PR_CHANGE)</f>
        <v>72/1</v>
      </c>
      <c r="HB29" s="10123"/>
      <c r="HC29" s="10123"/>
      <c r="HD29" s="10123"/>
      <c r="HE29" s="10123"/>
      <c r="HF29" s="10123"/>
      <c r="HG29" s="10123"/>
      <c r="HH29" s="10123"/>
      <c r="HI29" s="10123"/>
      <c r="HJ29" s="10123"/>
      <c r="HK29" s="9287"/>
      <c r="HL29" s="10123" t="str">
        <f>IF(TITLE_NUMBER_PR_CHANGE="",IF(TITLE_NUMBER_PR="","",TITLE_NUMBER_PR),TITLE_NUMBER_PR_CHANGE)</f>
        <v>72/1</v>
      </c>
      <c r="HM29" s="10123"/>
      <c r="HN29" s="10123"/>
      <c r="HO29" s="10123"/>
      <c r="HP29" s="10123"/>
      <c r="HQ29" s="10123"/>
      <c r="HR29" s="10123"/>
      <c r="HS29" s="10123"/>
      <c r="HT29" s="10123"/>
      <c r="HU29" s="10123"/>
      <c r="HV29" s="9287"/>
      <c r="HW29" s="10123" t="str">
        <f>IF(TITLE_NUMBER_PR_CHANGE="",IF(TITLE_NUMBER_PR="","",TITLE_NUMBER_PR),TITLE_NUMBER_PR_CHANGE)</f>
        <v>72/1</v>
      </c>
      <c r="HX29" s="10123"/>
      <c r="HY29" s="10123"/>
      <c r="HZ29" s="10123"/>
      <c r="IA29" s="10123"/>
      <c r="IB29" s="10123"/>
      <c r="IC29" s="10123"/>
      <c r="ID29" s="10123"/>
      <c r="IE29" s="10123"/>
      <c r="IF29" s="10123"/>
      <c r="IG29" s="9287"/>
      <c r="IH29" s="10123" t="str">
        <f>IF(TITLE_NUMBER_PR_CHANGE="",IF(TITLE_NUMBER_PR="","",TITLE_NUMBER_PR),TITLE_NUMBER_PR_CHANGE)</f>
        <v>72/1</v>
      </c>
      <c r="II29" s="10123"/>
      <c r="IJ29" s="10123"/>
      <c r="IK29" s="10123"/>
      <c r="IL29" s="10123"/>
      <c r="IM29" s="10123"/>
      <c r="IN29" s="10123"/>
      <c r="IO29" s="10123"/>
      <c r="IP29" s="10123"/>
      <c r="IQ29" s="10123"/>
      <c r="IR29" s="9287"/>
      <c r="IS29" s="10123" t="str">
        <f>IF(TITLE_NUMBER_PR_CHANGE="",IF(TITLE_NUMBER_PR="","",TITLE_NUMBER_PR),TITLE_NUMBER_PR_CHANGE)</f>
        <v>72/1</v>
      </c>
      <c r="IT29" s="10123"/>
      <c r="IU29" s="10123"/>
      <c r="IV29" s="10123"/>
      <c r="IW29" s="10123"/>
      <c r="IX29" s="10123"/>
      <c r="IY29" s="10123"/>
      <c r="IZ29" s="10123"/>
      <c r="JA29" s="10123"/>
      <c r="JB29" s="10123"/>
      <c r="JC29" s="9287"/>
      <c r="JD29" s="10123" t="str">
        <f>IF(TITLE_NUMBER_PR_CHANGE="",IF(TITLE_NUMBER_PR="","",TITLE_NUMBER_PR),TITLE_NUMBER_PR_CHANGE)</f>
        <v>72/1</v>
      </c>
      <c r="JE29" s="10123"/>
      <c r="JF29" s="10123"/>
      <c r="JG29" s="10123"/>
      <c r="JH29" s="10123"/>
      <c r="JI29" s="10123"/>
      <c r="JJ29" s="10123"/>
      <c r="JK29" s="10123"/>
      <c r="JL29" s="10123"/>
      <c r="JM29" s="10123"/>
      <c r="JN29" s="9287"/>
      <c r="JO29" s="10123" t="str">
        <f>IF(TITLE_NUMBER_PR_CHANGE="",IF(TITLE_NUMBER_PR="","",TITLE_NUMBER_PR),TITLE_NUMBER_PR_CHANGE)</f>
        <v>72/1</v>
      </c>
      <c r="JP29" s="10123"/>
      <c r="JQ29" s="10123"/>
      <c r="JR29" s="10123"/>
      <c r="JS29" s="10123"/>
      <c r="JT29" s="10123"/>
      <c r="JU29" s="10123"/>
      <c r="JV29" s="10123"/>
      <c r="JW29" s="10123"/>
      <c r="JX29" s="10123"/>
      <c r="JY29" s="9287"/>
      <c r="JZ29" s="10123" t="str">
        <f>IF(TITLE_NUMBER_PR_CHANGE="",IF(TITLE_NUMBER_PR="","",TITLE_NUMBER_PR),TITLE_NUMBER_PR_CHANGE)</f>
        <v>72/1</v>
      </c>
      <c r="KA29" s="10123"/>
      <c r="KB29" s="10123"/>
      <c r="KC29" s="10123"/>
      <c r="KD29" s="10123"/>
      <c r="KE29" s="10123"/>
      <c r="KF29" s="10123"/>
      <c r="KG29" s="10123"/>
      <c r="KH29" s="10123"/>
      <c r="KI29" s="10123"/>
      <c r="KJ29" s="9287"/>
      <c r="KK29" s="10123" t="str">
        <f>IF(TITLE_NUMBER_PR_CHANGE="",IF(TITLE_NUMBER_PR="","",TITLE_NUMBER_PR),TITLE_NUMBER_PR_CHANGE)</f>
        <v>72/1</v>
      </c>
      <c r="KL29" s="10123"/>
      <c r="KM29" s="10123"/>
      <c r="KN29" s="10123"/>
      <c r="KO29" s="10123"/>
      <c r="KP29" s="10123"/>
      <c r="KQ29" s="10123"/>
      <c r="KR29" s="10123"/>
      <c r="KS29" s="10123"/>
      <c r="KT29" s="10123"/>
      <c r="KU29" s="9287"/>
      <c r="KV29" s="15049" t="str">
        <f>IF(TITLE_NUMBER_PR_CHANGE="",IF(TITLE_NUMBER_PR="","",TITLE_NUMBER_PR),TITLE_NUMBER_PR_CHANGE)</f>
        <v>72/1</v>
      </c>
      <c r="KW29" s="15049"/>
      <c r="KX29" s="15049"/>
      <c r="KY29" s="15049"/>
      <c r="KZ29" s="15049"/>
      <c r="LA29" s="15049"/>
      <c r="LB29" s="15049"/>
      <c r="LC29" s="15049"/>
      <c r="LD29" s="15049"/>
      <c r="LE29" s="15049"/>
      <c r="LF29" s="13894"/>
      <c r="LG29" s="15049" t="str">
        <f>IF(TITLE_NUMBER_PR_CHANGE="",IF(TITLE_NUMBER_PR="","",TITLE_NUMBER_PR),TITLE_NUMBER_PR_CHANGE)</f>
        <v>72/1</v>
      </c>
      <c r="LH29" s="15049"/>
      <c r="LI29" s="15049"/>
      <c r="LJ29" s="15049"/>
      <c r="LK29" s="15049"/>
      <c r="LL29" s="15049"/>
      <c r="LM29" s="15049"/>
      <c r="LN29" s="15049"/>
      <c r="LO29" s="15049"/>
      <c r="LP29" s="15049"/>
      <c r="LQ29" s="13894"/>
      <c r="LR29" s="15049" t="str">
        <f>IF(TITLE_NUMBER_PR_CHANGE="",IF(TITLE_NUMBER_PR="","",TITLE_NUMBER_PR),TITLE_NUMBER_PR_CHANGE)</f>
        <v>72/1</v>
      </c>
      <c r="LS29" s="15049"/>
      <c r="LT29" s="15049"/>
      <c r="LU29" s="15049"/>
      <c r="LV29" s="15049"/>
      <c r="LW29" s="15049"/>
      <c r="LX29" s="15049"/>
      <c r="LY29" s="15049"/>
      <c r="LZ29" s="15049"/>
      <c r="MA29" s="15049"/>
      <c r="MB29" s="13894"/>
      <c r="MC29" s="15049" t="str">
        <f>IF(TITLE_NUMBER_PR_CHANGE="",IF(TITLE_NUMBER_PR="","",TITLE_NUMBER_PR),TITLE_NUMBER_PR_CHANGE)</f>
        <v>72/1</v>
      </c>
      <c r="MD29" s="15049"/>
      <c r="ME29" s="15049"/>
      <c r="MF29" s="15049"/>
      <c r="MG29" s="15049"/>
      <c r="MH29" s="15049"/>
      <c r="MI29" s="15049"/>
      <c r="MJ29" s="15049"/>
      <c r="MK29" s="15049"/>
      <c r="ML29" s="15049"/>
      <c r="MM29" s="13894"/>
      <c r="MN29" s="15049" t="str">
        <f>IF(TITLE_NUMBER_PR_CHANGE="",IF(TITLE_NUMBER_PR="","",TITLE_NUMBER_PR),TITLE_NUMBER_PR_CHANGE)</f>
        <v>72/1</v>
      </c>
      <c r="MO29" s="15049"/>
      <c r="MP29" s="15049"/>
      <c r="MQ29" s="15049"/>
      <c r="MR29" s="15049"/>
      <c r="MS29" s="15049"/>
      <c r="MT29" s="15049"/>
      <c r="MU29" s="15049"/>
      <c r="MV29" s="15049"/>
      <c r="MW29" s="15049"/>
      <c r="MX29" s="13894"/>
      <c r="MY29" s="15049" t="str">
        <f>IF(TITLE_NUMBER_PR_CHANGE="",IF(TITLE_NUMBER_PR="","",TITLE_NUMBER_PR),TITLE_NUMBER_PR_CHANGE)</f>
        <v>72/1</v>
      </c>
      <c r="MZ29" s="15049"/>
      <c r="NA29" s="15049"/>
      <c r="NB29" s="15049"/>
      <c r="NC29" s="15049"/>
      <c r="ND29" s="15049"/>
      <c r="NE29" s="15049"/>
      <c r="NF29" s="15049"/>
      <c r="NG29" s="15049"/>
      <c r="NH29" s="15049"/>
      <c r="NI29" s="13894"/>
      <c r="NJ29" s="15049" t="str">
        <f>IF(TITLE_NUMBER_PR_CHANGE="",IF(TITLE_NUMBER_PR="","",TITLE_NUMBER_PR),TITLE_NUMBER_PR_CHANGE)</f>
        <v>72/1</v>
      </c>
      <c r="NK29" s="15049"/>
      <c r="NL29" s="15049"/>
      <c r="NM29" s="15049"/>
      <c r="NN29" s="15049"/>
      <c r="NO29" s="15049"/>
      <c r="NP29" s="15049"/>
      <c r="NQ29" s="15049"/>
      <c r="NR29" s="15049"/>
      <c r="NS29" s="15049"/>
      <c r="NT29" s="13894"/>
      <c r="NU29" s="15049" t="str">
        <f>IF(TITLE_NUMBER_PR_CHANGE="",IF(TITLE_NUMBER_PR="","",TITLE_NUMBER_PR),TITLE_NUMBER_PR_CHANGE)</f>
        <v>72/1</v>
      </c>
      <c r="NV29" s="15049"/>
      <c r="NW29" s="15049"/>
      <c r="NX29" s="15049"/>
      <c r="NY29" s="15049"/>
      <c r="NZ29" s="15049"/>
      <c r="OA29" s="15049"/>
      <c r="OB29" s="15049"/>
      <c r="OC29" s="15049"/>
      <c r="OD29" s="15049"/>
      <c r="OE29" s="13894"/>
      <c r="OF29" s="15049" t="str">
        <f>IF(TITLE_NUMBER_PR_CHANGE="",IF(TITLE_NUMBER_PR="","",TITLE_NUMBER_PR),TITLE_NUMBER_PR_CHANGE)</f>
        <v>72/1</v>
      </c>
      <c r="OG29" s="15049"/>
      <c r="OH29" s="15049"/>
      <c r="OI29" s="15049"/>
      <c r="OJ29" s="15049"/>
      <c r="OK29" s="15049"/>
      <c r="OL29" s="15049"/>
      <c r="OM29" s="15049"/>
      <c r="ON29" s="15049"/>
      <c r="OO29" s="15049"/>
      <c r="OP29" s="13894"/>
      <c r="OQ29" s="549"/>
      <c r="OR29" s="503"/>
      <c r="OS29" s="591"/>
      <c r="OT29" s="591"/>
      <c r="OU29" s="591"/>
      <c r="OV29" s="591"/>
      <c r="OW29" s="591"/>
    </row>
    <row s="13547"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http://pravo.gov.ru Номер опубликования: 2501202312270032 Дата опубликования: 27.12.2023</v>
      </c>
      <c r="W30" s="2382"/>
      <c r="X30" s="2382"/>
      <c r="Y30" s="2382"/>
      <c r="Z30" s="2382"/>
      <c r="AA30" s="2382"/>
      <c r="AB30" s="2382"/>
      <c r="AC30" s="2382"/>
      <c r="AD30" s="2382"/>
      <c r="AE30" s="2382"/>
      <c r="AF30" s="549"/>
      <c r="AG30" s="2382" t="str">
        <f>IF(TITLE_IST_PUB_CHANGE="",IF(TITLE_IST_PUB="","",TITLE_IST_PUB),TITLE_IST_PUB_CHANGE)</f>
        <v>http://pravo.gov.ru Номер опубликования: 2501202312270032 Дата опубликования: 27.12.2023</v>
      </c>
      <c r="AH30" s="2382"/>
      <c r="AI30" s="2382"/>
      <c r="AJ30" s="2382"/>
      <c r="AK30" s="2382"/>
      <c r="AL30" s="2382"/>
      <c r="AM30" s="2382"/>
      <c r="AN30" s="2382"/>
      <c r="AO30" s="2382"/>
      <c r="AP30" s="2382"/>
      <c r="AQ30" s="549"/>
      <c r="AR30" s="6511" t="str">
        <f>IF(TITLE_IST_PUB_CHANGE="",IF(TITLE_IST_PUB="","",TITLE_IST_PUB),TITLE_IST_PUB_CHANGE)</f>
        <v>http://pravo.gov.ru Номер опубликования: 2501202312270032 Дата опубликования: 27.12.2023</v>
      </c>
      <c r="AS30" s="6511"/>
      <c r="AT30" s="6511"/>
      <c r="AU30" s="6511"/>
      <c r="AV30" s="6511"/>
      <c r="AW30" s="6511"/>
      <c r="AX30" s="6511"/>
      <c r="AY30" s="6511"/>
      <c r="AZ30" s="6511"/>
      <c r="BA30" s="6511"/>
      <c r="BB30" s="6423"/>
      <c r="BC30" s="6511" t="str">
        <f>IF(TITLE_IST_PUB_CHANGE="",IF(TITLE_IST_PUB="","",TITLE_IST_PUB),TITLE_IST_PUB_CHANGE)</f>
        <v>http://pravo.gov.ru Номер опубликования: 2501202312270032 Дата опубликования: 27.12.2023</v>
      </c>
      <c r="BD30" s="6511"/>
      <c r="BE30" s="6511"/>
      <c r="BF30" s="6511"/>
      <c r="BG30" s="6511"/>
      <c r="BH30" s="6511"/>
      <c r="BI30" s="6511"/>
      <c r="BJ30" s="6511"/>
      <c r="BK30" s="6511"/>
      <c r="BL30" s="6511"/>
      <c r="BM30" s="6423"/>
      <c r="BN30" s="10123" t="str">
        <f>IF(TITLE_IST_PUB_CHANGE="",IF(TITLE_IST_PUB="","",TITLE_IST_PUB),TITLE_IST_PUB_CHANGE)</f>
        <v>http://pravo.gov.ru Номер опубликования: 2501202312270032 Дата опубликования: 27.12.2023</v>
      </c>
      <c r="BO30" s="10123"/>
      <c r="BP30" s="10123"/>
      <c r="BQ30" s="10123"/>
      <c r="BR30" s="10123"/>
      <c r="BS30" s="10123"/>
      <c r="BT30" s="10123"/>
      <c r="BU30" s="10123"/>
      <c r="BV30" s="10123"/>
      <c r="BW30" s="10123"/>
      <c r="BX30" s="9287"/>
      <c r="BY30" s="10123" t="str">
        <f>IF(TITLE_IST_PUB_CHANGE="",IF(TITLE_IST_PUB="","",TITLE_IST_PUB),TITLE_IST_PUB_CHANGE)</f>
        <v>http://pravo.gov.ru Номер опубликования: 2501202312270032 Дата опубликования: 27.12.2023</v>
      </c>
      <c r="BZ30" s="10123"/>
      <c r="CA30" s="10123"/>
      <c r="CB30" s="10123"/>
      <c r="CC30" s="10123"/>
      <c r="CD30" s="10123"/>
      <c r="CE30" s="10123"/>
      <c r="CF30" s="10123"/>
      <c r="CG30" s="10123"/>
      <c r="CH30" s="10123"/>
      <c r="CI30" s="9287"/>
      <c r="CJ30" s="10123" t="str">
        <f>IF(TITLE_IST_PUB_CHANGE="",IF(TITLE_IST_PUB="","",TITLE_IST_PUB),TITLE_IST_PUB_CHANGE)</f>
        <v>http://pravo.gov.ru Номер опубликования: 2501202312270032 Дата опубликования: 27.12.2023</v>
      </c>
      <c r="CK30" s="10123"/>
      <c r="CL30" s="10123"/>
      <c r="CM30" s="10123"/>
      <c r="CN30" s="10123"/>
      <c r="CO30" s="10123"/>
      <c r="CP30" s="10123"/>
      <c r="CQ30" s="10123"/>
      <c r="CR30" s="10123"/>
      <c r="CS30" s="10123"/>
      <c r="CT30" s="9287"/>
      <c r="CU30" s="10123" t="str">
        <f>IF(TITLE_IST_PUB_CHANGE="",IF(TITLE_IST_PUB="","",TITLE_IST_PUB),TITLE_IST_PUB_CHANGE)</f>
        <v>http://pravo.gov.ru Номер опубликования: 2501202312270032 Дата опубликования: 27.12.2023</v>
      </c>
      <c r="CV30" s="10123"/>
      <c r="CW30" s="10123"/>
      <c r="CX30" s="10123"/>
      <c r="CY30" s="10123"/>
      <c r="CZ30" s="10123"/>
      <c r="DA30" s="10123"/>
      <c r="DB30" s="10123"/>
      <c r="DC30" s="10123"/>
      <c r="DD30" s="10123"/>
      <c r="DE30" s="9287"/>
      <c r="DF30" s="10123" t="str">
        <f>IF(TITLE_IST_PUB_CHANGE="",IF(TITLE_IST_PUB="","",TITLE_IST_PUB),TITLE_IST_PUB_CHANGE)</f>
        <v>http://pravo.gov.ru Номер опубликования: 2501202312270032 Дата опубликования: 27.12.2023</v>
      </c>
      <c r="DG30" s="10123"/>
      <c r="DH30" s="10123"/>
      <c r="DI30" s="10123"/>
      <c r="DJ30" s="10123"/>
      <c r="DK30" s="10123"/>
      <c r="DL30" s="10123"/>
      <c r="DM30" s="10123"/>
      <c r="DN30" s="10123"/>
      <c r="DO30" s="10123"/>
      <c r="DP30" s="9287"/>
      <c r="DQ30" s="10123" t="str">
        <f>IF(TITLE_IST_PUB_CHANGE="",IF(TITLE_IST_PUB="","",TITLE_IST_PUB),TITLE_IST_PUB_CHANGE)</f>
        <v>http://pravo.gov.ru Номер опубликования: 2501202312270032 Дата опубликования: 27.12.2023</v>
      </c>
      <c r="DR30" s="10123"/>
      <c r="DS30" s="10123"/>
      <c r="DT30" s="10123"/>
      <c r="DU30" s="10123"/>
      <c r="DV30" s="10123"/>
      <c r="DW30" s="10123"/>
      <c r="DX30" s="10123"/>
      <c r="DY30" s="10123"/>
      <c r="DZ30" s="10123"/>
      <c r="EA30" s="9287"/>
      <c r="EB30" s="10123" t="str">
        <f>IF(TITLE_IST_PUB_CHANGE="",IF(TITLE_IST_PUB="","",TITLE_IST_PUB),TITLE_IST_PUB_CHANGE)</f>
        <v>http://pravo.gov.ru Номер опубликования: 2501202312270032 Дата опубликования: 27.12.2023</v>
      </c>
      <c r="EC30" s="10123"/>
      <c r="ED30" s="10123"/>
      <c r="EE30" s="10123"/>
      <c r="EF30" s="10123"/>
      <c r="EG30" s="10123"/>
      <c r="EH30" s="10123"/>
      <c r="EI30" s="10123"/>
      <c r="EJ30" s="10123"/>
      <c r="EK30" s="10123"/>
      <c r="EL30" s="9287"/>
      <c r="EM30" s="10123" t="str">
        <f>IF(TITLE_IST_PUB_CHANGE="",IF(TITLE_IST_PUB="","",TITLE_IST_PUB),TITLE_IST_PUB_CHANGE)</f>
        <v>http://pravo.gov.ru Номер опубликования: 2501202312270032 Дата опубликования: 27.12.2023</v>
      </c>
      <c r="EN30" s="10123"/>
      <c r="EO30" s="10123"/>
      <c r="EP30" s="10123"/>
      <c r="EQ30" s="10123"/>
      <c r="ER30" s="10123"/>
      <c r="ES30" s="10123"/>
      <c r="ET30" s="10123"/>
      <c r="EU30" s="10123"/>
      <c r="EV30" s="10123"/>
      <c r="EW30" s="9287"/>
      <c r="EX30" s="10123" t="str">
        <f>IF(TITLE_IST_PUB_CHANGE="",IF(TITLE_IST_PUB="","",TITLE_IST_PUB),TITLE_IST_PUB_CHANGE)</f>
        <v>http://pravo.gov.ru Номер опубликования: 2501202312270032 Дата опубликования: 27.12.2023</v>
      </c>
      <c r="EY30" s="10123"/>
      <c r="EZ30" s="10123"/>
      <c r="FA30" s="10123"/>
      <c r="FB30" s="10123"/>
      <c r="FC30" s="10123"/>
      <c r="FD30" s="10123"/>
      <c r="FE30" s="10123"/>
      <c r="FF30" s="10123"/>
      <c r="FG30" s="10123"/>
      <c r="FH30" s="9287"/>
      <c r="FI30" s="10123" t="str">
        <f>IF(TITLE_IST_PUB_CHANGE="",IF(TITLE_IST_PUB="","",TITLE_IST_PUB),TITLE_IST_PUB_CHANGE)</f>
        <v>http://pravo.gov.ru Номер опубликования: 2501202312270032 Дата опубликования: 27.12.2023</v>
      </c>
      <c r="FJ30" s="10123"/>
      <c r="FK30" s="10123"/>
      <c r="FL30" s="10123"/>
      <c r="FM30" s="10123"/>
      <c r="FN30" s="10123"/>
      <c r="FO30" s="10123"/>
      <c r="FP30" s="10123"/>
      <c r="FQ30" s="10123"/>
      <c r="FR30" s="10123"/>
      <c r="FS30" s="9287"/>
      <c r="FT30" s="10123" t="str">
        <f>IF(TITLE_IST_PUB_CHANGE="",IF(TITLE_IST_PUB="","",TITLE_IST_PUB),TITLE_IST_PUB_CHANGE)</f>
        <v>http://pravo.gov.ru Номер опубликования: 2501202312270032 Дата опубликования: 27.12.2023</v>
      </c>
      <c r="FU30" s="10123"/>
      <c r="FV30" s="10123"/>
      <c r="FW30" s="10123"/>
      <c r="FX30" s="10123"/>
      <c r="FY30" s="10123"/>
      <c r="FZ30" s="10123"/>
      <c r="GA30" s="10123"/>
      <c r="GB30" s="10123"/>
      <c r="GC30" s="10123"/>
      <c r="GD30" s="9287"/>
      <c r="GE30" s="10123" t="str">
        <f>IF(TITLE_IST_PUB_CHANGE="",IF(TITLE_IST_PUB="","",TITLE_IST_PUB),TITLE_IST_PUB_CHANGE)</f>
        <v>http://pravo.gov.ru Номер опубликования: 2501202312270032 Дата опубликования: 27.12.2023</v>
      </c>
      <c r="GF30" s="10123"/>
      <c r="GG30" s="10123"/>
      <c r="GH30" s="10123"/>
      <c r="GI30" s="10123"/>
      <c r="GJ30" s="10123"/>
      <c r="GK30" s="10123"/>
      <c r="GL30" s="10123"/>
      <c r="GM30" s="10123"/>
      <c r="GN30" s="10123"/>
      <c r="GO30" s="9287"/>
      <c r="GP30" s="10123" t="str">
        <f>IF(TITLE_IST_PUB_CHANGE="",IF(TITLE_IST_PUB="","",TITLE_IST_PUB),TITLE_IST_PUB_CHANGE)</f>
        <v>http://pravo.gov.ru Номер опубликования: 2501202312270032 Дата опубликования: 27.12.2023</v>
      </c>
      <c r="GQ30" s="10123"/>
      <c r="GR30" s="10123"/>
      <c r="GS30" s="10123"/>
      <c r="GT30" s="10123"/>
      <c r="GU30" s="10123"/>
      <c r="GV30" s="10123"/>
      <c r="GW30" s="10123"/>
      <c r="GX30" s="10123"/>
      <c r="GY30" s="10123"/>
      <c r="GZ30" s="9287"/>
      <c r="HA30" s="10123" t="str">
        <f>IF(TITLE_IST_PUB_CHANGE="",IF(TITLE_IST_PUB="","",TITLE_IST_PUB),TITLE_IST_PUB_CHANGE)</f>
        <v>http://pravo.gov.ru Номер опубликования: 2501202312270032 Дата опубликования: 27.12.2023</v>
      </c>
      <c r="HB30" s="10123"/>
      <c r="HC30" s="10123"/>
      <c r="HD30" s="10123"/>
      <c r="HE30" s="10123"/>
      <c r="HF30" s="10123"/>
      <c r="HG30" s="10123"/>
      <c r="HH30" s="10123"/>
      <c r="HI30" s="10123"/>
      <c r="HJ30" s="10123"/>
      <c r="HK30" s="9287"/>
      <c r="HL30" s="10123" t="str">
        <f>IF(TITLE_IST_PUB_CHANGE="",IF(TITLE_IST_PUB="","",TITLE_IST_PUB),TITLE_IST_PUB_CHANGE)</f>
        <v>http://pravo.gov.ru Номер опубликования: 2501202312270032 Дата опубликования: 27.12.2023</v>
      </c>
      <c r="HM30" s="10123"/>
      <c r="HN30" s="10123"/>
      <c r="HO30" s="10123"/>
      <c r="HP30" s="10123"/>
      <c r="HQ30" s="10123"/>
      <c r="HR30" s="10123"/>
      <c r="HS30" s="10123"/>
      <c r="HT30" s="10123"/>
      <c r="HU30" s="10123"/>
      <c r="HV30" s="9287"/>
      <c r="HW30" s="10123" t="str">
        <f>IF(TITLE_IST_PUB_CHANGE="",IF(TITLE_IST_PUB="","",TITLE_IST_PUB),TITLE_IST_PUB_CHANGE)</f>
        <v>http://pravo.gov.ru Номер опубликования: 2501202312270032 Дата опубликования: 27.12.2023</v>
      </c>
      <c r="HX30" s="10123"/>
      <c r="HY30" s="10123"/>
      <c r="HZ30" s="10123"/>
      <c r="IA30" s="10123"/>
      <c r="IB30" s="10123"/>
      <c r="IC30" s="10123"/>
      <c r="ID30" s="10123"/>
      <c r="IE30" s="10123"/>
      <c r="IF30" s="10123"/>
      <c r="IG30" s="9287"/>
      <c r="IH30" s="10123" t="str">
        <f>IF(TITLE_IST_PUB_CHANGE="",IF(TITLE_IST_PUB="","",TITLE_IST_PUB),TITLE_IST_PUB_CHANGE)</f>
        <v>http://pravo.gov.ru Номер опубликования: 2501202312270032 Дата опубликования: 27.12.2023</v>
      </c>
      <c r="II30" s="10123"/>
      <c r="IJ30" s="10123"/>
      <c r="IK30" s="10123"/>
      <c r="IL30" s="10123"/>
      <c r="IM30" s="10123"/>
      <c r="IN30" s="10123"/>
      <c r="IO30" s="10123"/>
      <c r="IP30" s="10123"/>
      <c r="IQ30" s="10123"/>
      <c r="IR30" s="9287"/>
      <c r="IS30" s="10123" t="str">
        <f>IF(TITLE_IST_PUB_CHANGE="",IF(TITLE_IST_PUB="","",TITLE_IST_PUB),TITLE_IST_PUB_CHANGE)</f>
        <v>http://pravo.gov.ru Номер опубликования: 2501202312270032 Дата опубликования: 27.12.2023</v>
      </c>
      <c r="IT30" s="10123"/>
      <c r="IU30" s="10123"/>
      <c r="IV30" s="10123"/>
      <c r="IW30" s="10123"/>
      <c r="IX30" s="10123"/>
      <c r="IY30" s="10123"/>
      <c r="IZ30" s="10123"/>
      <c r="JA30" s="10123"/>
      <c r="JB30" s="10123"/>
      <c r="JC30" s="9287"/>
      <c r="JD30" s="10123" t="str">
        <f>IF(TITLE_IST_PUB_CHANGE="",IF(TITLE_IST_PUB="","",TITLE_IST_PUB),TITLE_IST_PUB_CHANGE)</f>
        <v>http://pravo.gov.ru Номер опубликования: 2501202312270032 Дата опубликования: 27.12.2023</v>
      </c>
      <c r="JE30" s="10123"/>
      <c r="JF30" s="10123"/>
      <c r="JG30" s="10123"/>
      <c r="JH30" s="10123"/>
      <c r="JI30" s="10123"/>
      <c r="JJ30" s="10123"/>
      <c r="JK30" s="10123"/>
      <c r="JL30" s="10123"/>
      <c r="JM30" s="10123"/>
      <c r="JN30" s="9287"/>
      <c r="JO30" s="10123" t="str">
        <f>IF(TITLE_IST_PUB_CHANGE="",IF(TITLE_IST_PUB="","",TITLE_IST_PUB),TITLE_IST_PUB_CHANGE)</f>
        <v>http://pravo.gov.ru Номер опубликования: 2501202312270032 Дата опубликования: 27.12.2023</v>
      </c>
      <c r="JP30" s="10123"/>
      <c r="JQ30" s="10123"/>
      <c r="JR30" s="10123"/>
      <c r="JS30" s="10123"/>
      <c r="JT30" s="10123"/>
      <c r="JU30" s="10123"/>
      <c r="JV30" s="10123"/>
      <c r="JW30" s="10123"/>
      <c r="JX30" s="10123"/>
      <c r="JY30" s="9287"/>
      <c r="JZ30" s="10123" t="str">
        <f>IF(TITLE_IST_PUB_CHANGE="",IF(TITLE_IST_PUB="","",TITLE_IST_PUB),TITLE_IST_PUB_CHANGE)</f>
        <v>http://pravo.gov.ru Номер опубликования: 2501202312270032 Дата опубликования: 27.12.2023</v>
      </c>
      <c r="KA30" s="10123"/>
      <c r="KB30" s="10123"/>
      <c r="KC30" s="10123"/>
      <c r="KD30" s="10123"/>
      <c r="KE30" s="10123"/>
      <c r="KF30" s="10123"/>
      <c r="KG30" s="10123"/>
      <c r="KH30" s="10123"/>
      <c r="KI30" s="10123"/>
      <c r="KJ30" s="9287"/>
      <c r="KK30" s="10123" t="str">
        <f>IF(TITLE_IST_PUB_CHANGE="",IF(TITLE_IST_PUB="","",TITLE_IST_PUB),TITLE_IST_PUB_CHANGE)</f>
        <v>http://pravo.gov.ru Номер опубликования: 2501202312270032 Дата опубликования: 27.12.2023</v>
      </c>
      <c r="KL30" s="10123"/>
      <c r="KM30" s="10123"/>
      <c r="KN30" s="10123"/>
      <c r="KO30" s="10123"/>
      <c r="KP30" s="10123"/>
      <c r="KQ30" s="10123"/>
      <c r="KR30" s="10123"/>
      <c r="KS30" s="10123"/>
      <c r="KT30" s="10123"/>
      <c r="KU30" s="9287"/>
      <c r="KV30" s="15049" t="str">
        <f>IF(TITLE_IST_PUB_CHANGE="",IF(TITLE_IST_PUB="","",TITLE_IST_PUB),TITLE_IST_PUB_CHANGE)</f>
        <v>http://pravo.gov.ru Номер опубликования: 2501202312270032 Дата опубликования: 27.12.2023</v>
      </c>
      <c r="KW30" s="15049"/>
      <c r="KX30" s="15049"/>
      <c r="KY30" s="15049"/>
      <c r="KZ30" s="15049"/>
      <c r="LA30" s="15049"/>
      <c r="LB30" s="15049"/>
      <c r="LC30" s="15049"/>
      <c r="LD30" s="15049"/>
      <c r="LE30" s="15049"/>
      <c r="LF30" s="13894"/>
      <c r="LG30" s="15049" t="str">
        <f>IF(TITLE_IST_PUB_CHANGE="",IF(TITLE_IST_PUB="","",TITLE_IST_PUB),TITLE_IST_PUB_CHANGE)</f>
        <v>http://pravo.gov.ru Номер опубликования: 2501202312270032 Дата опубликования: 27.12.2023</v>
      </c>
      <c r="LH30" s="15049"/>
      <c r="LI30" s="15049"/>
      <c r="LJ30" s="15049"/>
      <c r="LK30" s="15049"/>
      <c r="LL30" s="15049"/>
      <c r="LM30" s="15049"/>
      <c r="LN30" s="15049"/>
      <c r="LO30" s="15049"/>
      <c r="LP30" s="15049"/>
      <c r="LQ30" s="13894"/>
      <c r="LR30" s="15049" t="str">
        <f>IF(TITLE_IST_PUB_CHANGE="",IF(TITLE_IST_PUB="","",TITLE_IST_PUB),TITLE_IST_PUB_CHANGE)</f>
        <v>http://pravo.gov.ru Номер опубликования: 2501202312270032 Дата опубликования: 27.12.2023</v>
      </c>
      <c r="LS30" s="15049"/>
      <c r="LT30" s="15049"/>
      <c r="LU30" s="15049"/>
      <c r="LV30" s="15049"/>
      <c r="LW30" s="15049"/>
      <c r="LX30" s="15049"/>
      <c r="LY30" s="15049"/>
      <c r="LZ30" s="15049"/>
      <c r="MA30" s="15049"/>
      <c r="MB30" s="13894"/>
      <c r="MC30" s="15049" t="str">
        <f>IF(TITLE_IST_PUB_CHANGE="",IF(TITLE_IST_PUB="","",TITLE_IST_PUB),TITLE_IST_PUB_CHANGE)</f>
        <v>http://pravo.gov.ru Номер опубликования: 2501202312270032 Дата опубликования: 27.12.2023</v>
      </c>
      <c r="MD30" s="15049"/>
      <c r="ME30" s="15049"/>
      <c r="MF30" s="15049"/>
      <c r="MG30" s="15049"/>
      <c r="MH30" s="15049"/>
      <c r="MI30" s="15049"/>
      <c r="MJ30" s="15049"/>
      <c r="MK30" s="15049"/>
      <c r="ML30" s="15049"/>
      <c r="MM30" s="13894"/>
      <c r="MN30" s="15049" t="str">
        <f>IF(TITLE_IST_PUB_CHANGE="",IF(TITLE_IST_PUB="","",TITLE_IST_PUB),TITLE_IST_PUB_CHANGE)</f>
        <v>http://pravo.gov.ru Номер опубликования: 2501202312270032 Дата опубликования: 27.12.2023</v>
      </c>
      <c r="MO30" s="15049"/>
      <c r="MP30" s="15049"/>
      <c r="MQ30" s="15049"/>
      <c r="MR30" s="15049"/>
      <c r="MS30" s="15049"/>
      <c r="MT30" s="15049"/>
      <c r="MU30" s="15049"/>
      <c r="MV30" s="15049"/>
      <c r="MW30" s="15049"/>
      <c r="MX30" s="13894"/>
      <c r="MY30" s="15049" t="str">
        <f>IF(TITLE_IST_PUB_CHANGE="",IF(TITLE_IST_PUB="","",TITLE_IST_PUB),TITLE_IST_PUB_CHANGE)</f>
        <v>http://pravo.gov.ru Номер опубликования: 2501202312270032 Дата опубликования: 27.12.2023</v>
      </c>
      <c r="MZ30" s="15049"/>
      <c r="NA30" s="15049"/>
      <c r="NB30" s="15049"/>
      <c r="NC30" s="15049"/>
      <c r="ND30" s="15049"/>
      <c r="NE30" s="15049"/>
      <c r="NF30" s="15049"/>
      <c r="NG30" s="15049"/>
      <c r="NH30" s="15049"/>
      <c r="NI30" s="13894"/>
      <c r="NJ30" s="15049" t="str">
        <f>IF(TITLE_IST_PUB_CHANGE="",IF(TITLE_IST_PUB="","",TITLE_IST_PUB),TITLE_IST_PUB_CHANGE)</f>
        <v>http://pravo.gov.ru Номер опубликования: 2501202312270032 Дата опубликования: 27.12.2023</v>
      </c>
      <c r="NK30" s="15049"/>
      <c r="NL30" s="15049"/>
      <c r="NM30" s="15049"/>
      <c r="NN30" s="15049"/>
      <c r="NO30" s="15049"/>
      <c r="NP30" s="15049"/>
      <c r="NQ30" s="15049"/>
      <c r="NR30" s="15049"/>
      <c r="NS30" s="15049"/>
      <c r="NT30" s="13894"/>
      <c r="NU30" s="15049" t="str">
        <f>IF(TITLE_IST_PUB_CHANGE="",IF(TITLE_IST_PUB="","",TITLE_IST_PUB),TITLE_IST_PUB_CHANGE)</f>
        <v>http://pravo.gov.ru Номер опубликования: 2501202312270032 Дата опубликования: 27.12.2023</v>
      </c>
      <c r="NV30" s="15049"/>
      <c r="NW30" s="15049"/>
      <c r="NX30" s="15049"/>
      <c r="NY30" s="15049"/>
      <c r="NZ30" s="15049"/>
      <c r="OA30" s="15049"/>
      <c r="OB30" s="15049"/>
      <c r="OC30" s="15049"/>
      <c r="OD30" s="15049"/>
      <c r="OE30" s="13894"/>
      <c r="OF30" s="15049" t="str">
        <f>IF(TITLE_IST_PUB_CHANGE="",IF(TITLE_IST_PUB="","",TITLE_IST_PUB),TITLE_IST_PUB_CHANGE)</f>
        <v>http://pravo.gov.ru Номер опубликования: 2501202312270032 Дата опубликования: 27.12.2023</v>
      </c>
      <c r="OG30" s="15049"/>
      <c r="OH30" s="15049"/>
      <c r="OI30" s="15049"/>
      <c r="OJ30" s="15049"/>
      <c r="OK30" s="15049"/>
      <c r="OL30" s="15049"/>
      <c r="OM30" s="15049"/>
      <c r="ON30" s="15049"/>
      <c r="OO30" s="15049"/>
      <c r="OP30" s="13894"/>
      <c r="OQ30" s="549"/>
      <c r="OR30" s="503"/>
      <c r="OS30" s="591"/>
      <c r="OT30" s="591"/>
      <c r="OU30" s="591"/>
      <c r="OV30" s="591"/>
      <c r="OW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6510"/>
      <c r="AS31" s="6510"/>
      <c r="AT31" s="6510"/>
      <c r="AU31" s="6510"/>
      <c r="AV31" s="6510"/>
      <c r="AW31" s="6510"/>
      <c r="AX31" s="6510"/>
      <c r="AY31" s="6510"/>
      <c r="AZ31" s="6510"/>
      <c r="BA31" s="6510"/>
      <c r="BB31" s="6510"/>
      <c r="BC31" s="6510"/>
      <c r="BD31" s="6510"/>
      <c r="BE31" s="6510"/>
      <c r="BF31" s="6510"/>
      <c r="BG31" s="6510"/>
      <c r="BH31" s="6510"/>
      <c r="BI31" s="6510"/>
      <c r="BJ31" s="6510"/>
      <c r="BK31" s="6510"/>
      <c r="BL31" s="6510"/>
      <c r="BM31" s="6510"/>
      <c r="BN31" s="10121"/>
      <c r="BO31" s="10121"/>
      <c r="BP31" s="10121"/>
      <c r="BQ31" s="10121"/>
      <c r="BR31" s="10121"/>
      <c r="BS31" s="10121"/>
      <c r="BT31" s="10121"/>
      <c r="BU31" s="10121"/>
      <c r="BV31" s="10121"/>
      <c r="BW31" s="10121"/>
      <c r="BX31" s="10121"/>
      <c r="BY31" s="10121"/>
      <c r="BZ31" s="10121"/>
      <c r="CA31" s="10121"/>
      <c r="CB31" s="10121"/>
      <c r="CC31" s="10121"/>
      <c r="CD31" s="10121"/>
      <c r="CE31" s="10121"/>
      <c r="CF31" s="10121"/>
      <c r="CG31" s="10121"/>
      <c r="CH31" s="10121"/>
      <c r="CI31" s="10121"/>
      <c r="CJ31" s="10121"/>
      <c r="CK31" s="10121"/>
      <c r="CL31" s="10121"/>
      <c r="CM31" s="10121"/>
      <c r="CN31" s="10121"/>
      <c r="CO31" s="10121"/>
      <c r="CP31" s="10121"/>
      <c r="CQ31" s="10121"/>
      <c r="CR31" s="10121"/>
      <c r="CS31" s="10121"/>
      <c r="CT31" s="10121"/>
      <c r="CU31" s="10121"/>
      <c r="CV31" s="10121"/>
      <c r="CW31" s="10121"/>
      <c r="CX31" s="10121"/>
      <c r="CY31" s="10121"/>
      <c r="CZ31" s="10121"/>
      <c r="DA31" s="10121"/>
      <c r="DB31" s="10121"/>
      <c r="DC31" s="10121"/>
      <c r="DD31" s="10121"/>
      <c r="DE31" s="10121"/>
      <c r="DF31" s="10121"/>
      <c r="DG31" s="10121"/>
      <c r="DH31" s="10121"/>
      <c r="DI31" s="10121"/>
      <c r="DJ31" s="10121"/>
      <c r="DK31" s="10121"/>
      <c r="DL31" s="10121"/>
      <c r="DM31" s="10121"/>
      <c r="DN31" s="10121"/>
      <c r="DO31" s="10121"/>
      <c r="DP31" s="10121"/>
      <c r="DQ31" s="10121"/>
      <c r="DR31" s="10121"/>
      <c r="DS31" s="10121"/>
      <c r="DT31" s="10121"/>
      <c r="DU31" s="10121"/>
      <c r="DV31" s="10121"/>
      <c r="DW31" s="10121"/>
      <c r="DX31" s="10121"/>
      <c r="DY31" s="10121"/>
      <c r="DZ31" s="10121"/>
      <c r="EA31" s="10121"/>
      <c r="EB31" s="10121"/>
      <c r="EC31" s="10121"/>
      <c r="ED31" s="10121"/>
      <c r="EE31" s="10121"/>
      <c r="EF31" s="10121"/>
      <c r="EG31" s="10121"/>
      <c r="EH31" s="10121"/>
      <c r="EI31" s="10121"/>
      <c r="EJ31" s="10121"/>
      <c r="EK31" s="10121"/>
      <c r="EL31" s="10121"/>
      <c r="EM31" s="10121"/>
      <c r="EN31" s="10121"/>
      <c r="EO31" s="10121"/>
      <c r="EP31" s="10121"/>
      <c r="EQ31" s="10121"/>
      <c r="ER31" s="10121"/>
      <c r="ES31" s="10121"/>
      <c r="ET31" s="10121"/>
      <c r="EU31" s="10121"/>
      <c r="EV31" s="10121"/>
      <c r="EW31" s="10121"/>
      <c r="EX31" s="10121"/>
      <c r="EY31" s="10121"/>
      <c r="EZ31" s="10121"/>
      <c r="FA31" s="10121"/>
      <c r="FB31" s="10121"/>
      <c r="FC31" s="10121"/>
      <c r="FD31" s="10121"/>
      <c r="FE31" s="10121"/>
      <c r="FF31" s="10121"/>
      <c r="FG31" s="10121"/>
      <c r="FH31" s="10121"/>
      <c r="FI31" s="10121"/>
      <c r="FJ31" s="10121"/>
      <c r="FK31" s="10121"/>
      <c r="FL31" s="10121"/>
      <c r="FM31" s="10121"/>
      <c r="FN31" s="10121"/>
      <c r="FO31" s="10121"/>
      <c r="FP31" s="10121"/>
      <c r="FQ31" s="10121"/>
      <c r="FR31" s="10121"/>
      <c r="FS31" s="10121"/>
      <c r="FT31" s="10121"/>
      <c r="FU31" s="10121"/>
      <c r="FV31" s="10121"/>
      <c r="FW31" s="10121"/>
      <c r="FX31" s="10121"/>
      <c r="FY31" s="10121"/>
      <c r="FZ31" s="10121"/>
      <c r="GA31" s="10121"/>
      <c r="GB31" s="10121"/>
      <c r="GC31" s="10121"/>
      <c r="GD31" s="10121"/>
      <c r="GE31" s="10121"/>
      <c r="GF31" s="10121"/>
      <c r="GG31" s="10121"/>
      <c r="GH31" s="10121"/>
      <c r="GI31" s="10121"/>
      <c r="GJ31" s="10121"/>
      <c r="GK31" s="10121"/>
      <c r="GL31" s="10121"/>
      <c r="GM31" s="10121"/>
      <c r="GN31" s="10121"/>
      <c r="GO31" s="10121"/>
      <c r="GP31" s="10121"/>
      <c r="GQ31" s="10121"/>
      <c r="GR31" s="10121"/>
      <c r="GS31" s="10121"/>
      <c r="GT31" s="10121"/>
      <c r="GU31" s="10121"/>
      <c r="GV31" s="10121"/>
      <c r="GW31" s="10121"/>
      <c r="GX31" s="10121"/>
      <c r="GY31" s="10121"/>
      <c r="GZ31" s="10121"/>
      <c r="HA31" s="10121"/>
      <c r="HB31" s="10121"/>
      <c r="HC31" s="10121"/>
      <c r="HD31" s="10121"/>
      <c r="HE31" s="10121"/>
      <c r="HF31" s="10121"/>
      <c r="HG31" s="10121"/>
      <c r="HH31" s="10121"/>
      <c r="HI31" s="10121"/>
      <c r="HJ31" s="10121"/>
      <c r="HK31" s="10121"/>
      <c r="HL31" s="10121"/>
      <c r="HM31" s="10121"/>
      <c r="HN31" s="10121"/>
      <c r="HO31" s="10121"/>
      <c r="HP31" s="10121"/>
      <c r="HQ31" s="10121"/>
      <c r="HR31" s="10121"/>
      <c r="HS31" s="10121"/>
      <c r="HT31" s="10121"/>
      <c r="HU31" s="10121"/>
      <c r="HV31" s="10121"/>
      <c r="HW31" s="10121"/>
      <c r="HX31" s="10121"/>
      <c r="HY31" s="10121"/>
      <c r="HZ31" s="10121"/>
      <c r="IA31" s="10121"/>
      <c r="IB31" s="10121"/>
      <c r="IC31" s="10121"/>
      <c r="ID31" s="10121"/>
      <c r="IE31" s="10121"/>
      <c r="IF31" s="10121"/>
      <c r="IG31" s="10121"/>
      <c r="IH31" s="10121"/>
      <c r="II31" s="10121"/>
      <c r="IJ31" s="10121"/>
      <c r="IK31" s="10121"/>
      <c r="IL31" s="10121"/>
      <c r="IM31" s="10121"/>
      <c r="IN31" s="10121"/>
      <c r="IO31" s="10121"/>
      <c r="IP31" s="10121"/>
      <c r="IQ31" s="10121"/>
      <c r="IR31" s="10121"/>
      <c r="IS31" s="10121"/>
      <c r="IT31" s="10121"/>
      <c r="IU31" s="10121"/>
      <c r="IV31" s="10121"/>
      <c r="IW31" s="10121"/>
      <c r="IX31" s="10121"/>
      <c r="IY31" s="10121"/>
      <c r="IZ31" s="10121"/>
      <c r="JA31" s="10121"/>
      <c r="JB31" s="10121"/>
      <c r="JC31" s="10121"/>
      <c r="JD31" s="10121"/>
      <c r="JE31" s="10121"/>
      <c r="JF31" s="10121"/>
      <c r="JG31" s="10121"/>
      <c r="JH31" s="10121"/>
      <c r="JI31" s="10121"/>
      <c r="JJ31" s="10121"/>
      <c r="JK31" s="10121"/>
      <c r="JL31" s="10121"/>
      <c r="JM31" s="10121"/>
      <c r="JN31" s="10121"/>
      <c r="JO31" s="10121"/>
      <c r="JP31" s="10121"/>
      <c r="JQ31" s="10121"/>
      <c r="JR31" s="10121"/>
      <c r="JS31" s="10121"/>
      <c r="JT31" s="10121"/>
      <c r="JU31" s="10121"/>
      <c r="JV31" s="10121"/>
      <c r="JW31" s="10121"/>
      <c r="JX31" s="10121"/>
      <c r="JY31" s="10121"/>
      <c r="JZ31" s="10121"/>
      <c r="KA31" s="10121"/>
      <c r="KB31" s="10121"/>
      <c r="KC31" s="10121"/>
      <c r="KD31" s="10121"/>
      <c r="KE31" s="10121"/>
      <c r="KF31" s="10121"/>
      <c r="KG31" s="10121"/>
      <c r="KH31" s="10121"/>
      <c r="KI31" s="10121"/>
      <c r="KJ31" s="10121"/>
      <c r="KK31" s="10121"/>
      <c r="KL31" s="10121"/>
      <c r="KM31" s="10121"/>
      <c r="KN31" s="10121"/>
      <c r="KO31" s="10121"/>
      <c r="KP31" s="10121"/>
      <c r="KQ31" s="10121"/>
      <c r="KR31" s="10121"/>
      <c r="KS31" s="10121"/>
      <c r="KT31" s="10121"/>
      <c r="KU31" s="10121"/>
      <c r="KV31" s="15046"/>
      <c r="KW31" s="15046"/>
      <c r="KX31" s="15046"/>
      <c r="KY31" s="15046"/>
      <c r="KZ31" s="15046"/>
      <c r="LA31" s="15046"/>
      <c r="LB31" s="15046"/>
      <c r="LC31" s="15046"/>
      <c r="LD31" s="15046"/>
      <c r="LE31" s="15046"/>
      <c r="LF31" s="15046"/>
      <c r="LG31" s="15046"/>
      <c r="LH31" s="15046"/>
      <c r="LI31" s="15046"/>
      <c r="LJ31" s="15046"/>
      <c r="LK31" s="15046"/>
      <c r="LL31" s="15046"/>
      <c r="LM31" s="15046"/>
      <c r="LN31" s="15046"/>
      <c r="LO31" s="15046"/>
      <c r="LP31" s="15046"/>
      <c r="LQ31" s="15046"/>
      <c r="LR31" s="15046"/>
      <c r="LS31" s="15046"/>
      <c r="LT31" s="15046"/>
      <c r="LU31" s="15046"/>
      <c r="LV31" s="15046"/>
      <c r="LW31" s="15046"/>
      <c r="LX31" s="15046"/>
      <c r="LY31" s="15046"/>
      <c r="LZ31" s="15046"/>
      <c r="MA31" s="15046"/>
      <c r="MB31" s="15046"/>
      <c r="MC31" s="15046"/>
      <c r="MD31" s="15046"/>
      <c r="ME31" s="15046"/>
      <c r="MF31" s="15046"/>
      <c r="MG31" s="15046"/>
      <c r="MH31" s="15046"/>
      <c r="MI31" s="15046"/>
      <c r="MJ31" s="15046"/>
      <c r="MK31" s="15046"/>
      <c r="ML31" s="15046"/>
      <c r="MM31" s="15046"/>
      <c r="MN31" s="15046"/>
      <c r="MO31" s="15046"/>
      <c r="MP31" s="15046"/>
      <c r="MQ31" s="15046"/>
      <c r="MR31" s="15046"/>
      <c r="MS31" s="15046"/>
      <c r="MT31" s="15046"/>
      <c r="MU31" s="15046"/>
      <c r="MV31" s="15046"/>
      <c r="MW31" s="15046"/>
      <c r="MX31" s="15046"/>
      <c r="MY31" s="15046"/>
      <c r="MZ31" s="15046"/>
      <c r="NA31" s="15046"/>
      <c r="NB31" s="15046"/>
      <c r="NC31" s="15046"/>
      <c r="ND31" s="15046"/>
      <c r="NE31" s="15046"/>
      <c r="NF31" s="15046"/>
      <c r="NG31" s="15046"/>
      <c r="NH31" s="15046"/>
      <c r="NI31" s="15046"/>
      <c r="NJ31" s="15046"/>
      <c r="NK31" s="15046"/>
      <c r="NL31" s="15046"/>
      <c r="NM31" s="15046"/>
      <c r="NN31" s="15046"/>
      <c r="NO31" s="15046"/>
      <c r="NP31" s="15046"/>
      <c r="NQ31" s="15046"/>
      <c r="NR31" s="15046"/>
      <c r="NS31" s="15046"/>
      <c r="NT31" s="15046"/>
      <c r="NU31" s="15046"/>
      <c r="NV31" s="15046"/>
      <c r="NW31" s="15046"/>
      <c r="NX31" s="15046"/>
      <c r="NY31" s="15046"/>
      <c r="NZ31" s="15046"/>
      <c r="OA31" s="15046"/>
      <c r="OB31" s="15046"/>
      <c r="OC31" s="15046"/>
      <c r="OD31" s="15046"/>
      <c r="OE31" s="15046"/>
      <c r="OF31" s="15046"/>
      <c r="OG31" s="15046"/>
      <c r="OH31" s="15046"/>
      <c r="OI31" s="15046"/>
      <c r="OJ31" s="15046"/>
      <c r="OK31" s="15046"/>
      <c r="OL31" s="15046"/>
      <c r="OM31" s="15046"/>
      <c r="ON31" s="15046"/>
      <c r="OO31" s="15046"/>
      <c r="OP31" s="15046"/>
      <c r="OQ31" s="732"/>
    </row>
    <row s="13547" customFormat="1" customHeight="1" ht="18.75" hidden="1">
      <c r="A32" s="1596"/>
      <c r="B32" s="1596"/>
      <c r="C32" s="1596"/>
      <c r="D32" s="1596"/>
      <c r="E32" s="1596"/>
      <c r="F32" s="1596"/>
      <c r="G32" s="1596"/>
      <c r="H32" s="1596"/>
      <c r="I32" s="1596"/>
      <c r="J32" s="1596"/>
      <c r="K32" s="1596"/>
      <c r="L32" s="1597"/>
      <c r="M32" s="1596"/>
      <c r="N32" s="1596"/>
      <c r="O32" s="1596"/>
      <c r="S32" s="2380" t="s">
        <v>424</v>
      </c>
      <c r="T32" s="2380"/>
      <c r="U32" s="1600"/>
      <c r="V32" s="2381" t="str">
        <f>IF(TITLE_DATE_PR_CHANGE="",IF(TITLE_DATE_PR="","",TITLE_DATE_PR),TITLE_DATE_PR_CHANGE)</f>
        <v>45281.66994212963</v>
      </c>
      <c r="W32" s="2381"/>
      <c r="X32" s="2381"/>
      <c r="Y32" s="2381"/>
      <c r="Z32" s="2381"/>
      <c r="AA32" s="2381"/>
      <c r="AB32" s="2381"/>
      <c r="AC32" s="2381"/>
      <c r="AD32" s="2381"/>
      <c r="AE32" s="2381"/>
      <c r="AF32" s="549"/>
      <c r="AG32" s="2381" t="str">
        <f>IF(TITLE_DATE_PR_CHANGE="",IF(TITLE_DATE_PR="","",TITLE_DATE_PR),TITLE_DATE_PR_CHANGE)</f>
        <v>45281.66994212963</v>
      </c>
      <c r="AH32" s="2381"/>
      <c r="AI32" s="2381"/>
      <c r="AJ32" s="2381"/>
      <c r="AK32" s="2381"/>
      <c r="AL32" s="2381"/>
      <c r="AM32" s="2381"/>
      <c r="AN32" s="2381"/>
      <c r="AO32" s="2381"/>
      <c r="AP32" s="2381"/>
      <c r="AQ32" s="549"/>
      <c r="AR32" s="6512" t="str">
        <f>IF(TITLE_DATE_PR_CHANGE="",IF(TITLE_DATE_PR="","",TITLE_DATE_PR),TITLE_DATE_PR_CHANGE)</f>
        <v>45281.66994212963</v>
      </c>
      <c r="AS32" s="6512"/>
      <c r="AT32" s="6512"/>
      <c r="AU32" s="6512"/>
      <c r="AV32" s="6512"/>
      <c r="AW32" s="6512"/>
      <c r="AX32" s="6512"/>
      <c r="AY32" s="6512"/>
      <c r="AZ32" s="6512"/>
      <c r="BA32" s="6512"/>
      <c r="BB32" s="6423"/>
      <c r="BC32" s="6512" t="str">
        <f>IF(TITLE_DATE_PR_CHANGE="",IF(TITLE_DATE_PR="","",TITLE_DATE_PR),TITLE_DATE_PR_CHANGE)</f>
        <v>45281.66994212963</v>
      </c>
      <c r="BD32" s="6512"/>
      <c r="BE32" s="6512"/>
      <c r="BF32" s="6512"/>
      <c r="BG32" s="6512"/>
      <c r="BH32" s="6512"/>
      <c r="BI32" s="6512"/>
      <c r="BJ32" s="6512"/>
      <c r="BK32" s="6512"/>
      <c r="BL32" s="6512"/>
      <c r="BM32" s="6423"/>
      <c r="BN32" s="10125" t="str">
        <f>IF(TITLE_DATE_PR_CHANGE="",IF(TITLE_DATE_PR="","",TITLE_DATE_PR),TITLE_DATE_PR_CHANGE)</f>
        <v>45281.66994212963</v>
      </c>
      <c r="BO32" s="10125"/>
      <c r="BP32" s="10125"/>
      <c r="BQ32" s="10125"/>
      <c r="BR32" s="10125"/>
      <c r="BS32" s="10125"/>
      <c r="BT32" s="10125"/>
      <c r="BU32" s="10125"/>
      <c r="BV32" s="10125"/>
      <c r="BW32" s="10125"/>
      <c r="BX32" s="9287"/>
      <c r="BY32" s="10125" t="str">
        <f>IF(TITLE_DATE_PR_CHANGE="",IF(TITLE_DATE_PR="","",TITLE_DATE_PR),TITLE_DATE_PR_CHANGE)</f>
        <v>45281.66994212963</v>
      </c>
      <c r="BZ32" s="10125"/>
      <c r="CA32" s="10125"/>
      <c r="CB32" s="10125"/>
      <c r="CC32" s="10125"/>
      <c r="CD32" s="10125"/>
      <c r="CE32" s="10125"/>
      <c r="CF32" s="10125"/>
      <c r="CG32" s="10125"/>
      <c r="CH32" s="10125"/>
      <c r="CI32" s="9287"/>
      <c r="CJ32" s="10125" t="str">
        <f>IF(TITLE_DATE_PR_CHANGE="",IF(TITLE_DATE_PR="","",TITLE_DATE_PR),TITLE_DATE_PR_CHANGE)</f>
        <v>45281.66994212963</v>
      </c>
      <c r="CK32" s="10125"/>
      <c r="CL32" s="10125"/>
      <c r="CM32" s="10125"/>
      <c r="CN32" s="10125"/>
      <c r="CO32" s="10125"/>
      <c r="CP32" s="10125"/>
      <c r="CQ32" s="10125"/>
      <c r="CR32" s="10125"/>
      <c r="CS32" s="10125"/>
      <c r="CT32" s="9287"/>
      <c r="CU32" s="10125" t="str">
        <f>IF(TITLE_DATE_PR_CHANGE="",IF(TITLE_DATE_PR="","",TITLE_DATE_PR),TITLE_DATE_PR_CHANGE)</f>
        <v>45281.66994212963</v>
      </c>
      <c r="CV32" s="10125"/>
      <c r="CW32" s="10125"/>
      <c r="CX32" s="10125"/>
      <c r="CY32" s="10125"/>
      <c r="CZ32" s="10125"/>
      <c r="DA32" s="10125"/>
      <c r="DB32" s="10125"/>
      <c r="DC32" s="10125"/>
      <c r="DD32" s="10125"/>
      <c r="DE32" s="9287"/>
      <c r="DF32" s="10125" t="str">
        <f>IF(TITLE_DATE_PR_CHANGE="",IF(TITLE_DATE_PR="","",TITLE_DATE_PR),TITLE_DATE_PR_CHANGE)</f>
        <v>45281.66994212963</v>
      </c>
      <c r="DG32" s="10125"/>
      <c r="DH32" s="10125"/>
      <c r="DI32" s="10125"/>
      <c r="DJ32" s="10125"/>
      <c r="DK32" s="10125"/>
      <c r="DL32" s="10125"/>
      <c r="DM32" s="10125"/>
      <c r="DN32" s="10125"/>
      <c r="DO32" s="10125"/>
      <c r="DP32" s="9287"/>
      <c r="DQ32" s="10125" t="str">
        <f>IF(TITLE_DATE_PR_CHANGE="",IF(TITLE_DATE_PR="","",TITLE_DATE_PR),TITLE_DATE_PR_CHANGE)</f>
        <v>45281.66994212963</v>
      </c>
      <c r="DR32" s="10125"/>
      <c r="DS32" s="10125"/>
      <c r="DT32" s="10125"/>
      <c r="DU32" s="10125"/>
      <c r="DV32" s="10125"/>
      <c r="DW32" s="10125"/>
      <c r="DX32" s="10125"/>
      <c r="DY32" s="10125"/>
      <c r="DZ32" s="10125"/>
      <c r="EA32" s="9287"/>
      <c r="EB32" s="10125" t="str">
        <f>IF(TITLE_DATE_PR_CHANGE="",IF(TITLE_DATE_PR="","",TITLE_DATE_PR),TITLE_DATE_PR_CHANGE)</f>
        <v>45281.66994212963</v>
      </c>
      <c r="EC32" s="10125"/>
      <c r="ED32" s="10125"/>
      <c r="EE32" s="10125"/>
      <c r="EF32" s="10125"/>
      <c r="EG32" s="10125"/>
      <c r="EH32" s="10125"/>
      <c r="EI32" s="10125"/>
      <c r="EJ32" s="10125"/>
      <c r="EK32" s="10125"/>
      <c r="EL32" s="9287"/>
      <c r="EM32" s="10125" t="str">
        <f>IF(TITLE_DATE_PR_CHANGE="",IF(TITLE_DATE_PR="","",TITLE_DATE_PR),TITLE_DATE_PR_CHANGE)</f>
        <v>45281.66994212963</v>
      </c>
      <c r="EN32" s="10125"/>
      <c r="EO32" s="10125"/>
      <c r="EP32" s="10125"/>
      <c r="EQ32" s="10125"/>
      <c r="ER32" s="10125"/>
      <c r="ES32" s="10125"/>
      <c r="ET32" s="10125"/>
      <c r="EU32" s="10125"/>
      <c r="EV32" s="10125"/>
      <c r="EW32" s="9287"/>
      <c r="EX32" s="10125" t="str">
        <f>IF(TITLE_DATE_PR_CHANGE="",IF(TITLE_DATE_PR="","",TITLE_DATE_PR),TITLE_DATE_PR_CHANGE)</f>
        <v>45281.66994212963</v>
      </c>
      <c r="EY32" s="10125"/>
      <c r="EZ32" s="10125"/>
      <c r="FA32" s="10125"/>
      <c r="FB32" s="10125"/>
      <c r="FC32" s="10125"/>
      <c r="FD32" s="10125"/>
      <c r="FE32" s="10125"/>
      <c r="FF32" s="10125"/>
      <c r="FG32" s="10125"/>
      <c r="FH32" s="9287"/>
      <c r="FI32" s="10125" t="str">
        <f>IF(TITLE_DATE_PR_CHANGE="",IF(TITLE_DATE_PR="","",TITLE_DATE_PR),TITLE_DATE_PR_CHANGE)</f>
        <v>45281.66994212963</v>
      </c>
      <c r="FJ32" s="10125"/>
      <c r="FK32" s="10125"/>
      <c r="FL32" s="10125"/>
      <c r="FM32" s="10125"/>
      <c r="FN32" s="10125"/>
      <c r="FO32" s="10125"/>
      <c r="FP32" s="10125"/>
      <c r="FQ32" s="10125"/>
      <c r="FR32" s="10125"/>
      <c r="FS32" s="9287"/>
      <c r="FT32" s="10125" t="str">
        <f>IF(TITLE_DATE_PR_CHANGE="",IF(TITLE_DATE_PR="","",TITLE_DATE_PR),TITLE_DATE_PR_CHANGE)</f>
        <v>45281.66994212963</v>
      </c>
      <c r="FU32" s="10125"/>
      <c r="FV32" s="10125"/>
      <c r="FW32" s="10125"/>
      <c r="FX32" s="10125"/>
      <c r="FY32" s="10125"/>
      <c r="FZ32" s="10125"/>
      <c r="GA32" s="10125"/>
      <c r="GB32" s="10125"/>
      <c r="GC32" s="10125"/>
      <c r="GD32" s="9287"/>
      <c r="GE32" s="10125" t="str">
        <f>IF(TITLE_DATE_PR_CHANGE="",IF(TITLE_DATE_PR="","",TITLE_DATE_PR),TITLE_DATE_PR_CHANGE)</f>
        <v>45281.66994212963</v>
      </c>
      <c r="GF32" s="10125"/>
      <c r="GG32" s="10125"/>
      <c r="GH32" s="10125"/>
      <c r="GI32" s="10125"/>
      <c r="GJ32" s="10125"/>
      <c r="GK32" s="10125"/>
      <c r="GL32" s="10125"/>
      <c r="GM32" s="10125"/>
      <c r="GN32" s="10125"/>
      <c r="GO32" s="9287"/>
      <c r="GP32" s="10125" t="str">
        <f>IF(TITLE_DATE_PR_CHANGE="",IF(TITLE_DATE_PR="","",TITLE_DATE_PR),TITLE_DATE_PR_CHANGE)</f>
        <v>45281.66994212963</v>
      </c>
      <c r="GQ32" s="10125"/>
      <c r="GR32" s="10125"/>
      <c r="GS32" s="10125"/>
      <c r="GT32" s="10125"/>
      <c r="GU32" s="10125"/>
      <c r="GV32" s="10125"/>
      <c r="GW32" s="10125"/>
      <c r="GX32" s="10125"/>
      <c r="GY32" s="10125"/>
      <c r="GZ32" s="9287"/>
      <c r="HA32" s="10125" t="str">
        <f>IF(TITLE_DATE_PR_CHANGE="",IF(TITLE_DATE_PR="","",TITLE_DATE_PR),TITLE_DATE_PR_CHANGE)</f>
        <v>45281.66994212963</v>
      </c>
      <c r="HB32" s="10125"/>
      <c r="HC32" s="10125"/>
      <c r="HD32" s="10125"/>
      <c r="HE32" s="10125"/>
      <c r="HF32" s="10125"/>
      <c r="HG32" s="10125"/>
      <c r="HH32" s="10125"/>
      <c r="HI32" s="10125"/>
      <c r="HJ32" s="10125"/>
      <c r="HK32" s="9287"/>
      <c r="HL32" s="10125" t="str">
        <f>IF(TITLE_DATE_PR_CHANGE="",IF(TITLE_DATE_PR="","",TITLE_DATE_PR),TITLE_DATE_PR_CHANGE)</f>
        <v>45281.66994212963</v>
      </c>
      <c r="HM32" s="10125"/>
      <c r="HN32" s="10125"/>
      <c r="HO32" s="10125"/>
      <c r="HP32" s="10125"/>
      <c r="HQ32" s="10125"/>
      <c r="HR32" s="10125"/>
      <c r="HS32" s="10125"/>
      <c r="HT32" s="10125"/>
      <c r="HU32" s="10125"/>
      <c r="HV32" s="9287"/>
      <c r="HW32" s="10125" t="str">
        <f>IF(TITLE_DATE_PR_CHANGE="",IF(TITLE_DATE_PR="","",TITLE_DATE_PR),TITLE_DATE_PR_CHANGE)</f>
        <v>45281.66994212963</v>
      </c>
      <c r="HX32" s="10125"/>
      <c r="HY32" s="10125"/>
      <c r="HZ32" s="10125"/>
      <c r="IA32" s="10125"/>
      <c r="IB32" s="10125"/>
      <c r="IC32" s="10125"/>
      <c r="ID32" s="10125"/>
      <c r="IE32" s="10125"/>
      <c r="IF32" s="10125"/>
      <c r="IG32" s="9287"/>
      <c r="IH32" s="10125" t="str">
        <f>IF(TITLE_DATE_PR_CHANGE="",IF(TITLE_DATE_PR="","",TITLE_DATE_PR),TITLE_DATE_PR_CHANGE)</f>
        <v>45281.66994212963</v>
      </c>
      <c r="II32" s="10125"/>
      <c r="IJ32" s="10125"/>
      <c r="IK32" s="10125"/>
      <c r="IL32" s="10125"/>
      <c r="IM32" s="10125"/>
      <c r="IN32" s="10125"/>
      <c r="IO32" s="10125"/>
      <c r="IP32" s="10125"/>
      <c r="IQ32" s="10125"/>
      <c r="IR32" s="9287"/>
      <c r="IS32" s="10125" t="str">
        <f>IF(TITLE_DATE_PR_CHANGE="",IF(TITLE_DATE_PR="","",TITLE_DATE_PR),TITLE_DATE_PR_CHANGE)</f>
        <v>45281.66994212963</v>
      </c>
      <c r="IT32" s="10125"/>
      <c r="IU32" s="10125"/>
      <c r="IV32" s="10125"/>
      <c r="IW32" s="10125"/>
      <c r="IX32" s="10125"/>
      <c r="IY32" s="10125"/>
      <c r="IZ32" s="10125"/>
      <c r="JA32" s="10125"/>
      <c r="JB32" s="10125"/>
      <c r="JC32" s="9287"/>
      <c r="JD32" s="10125" t="str">
        <f>IF(TITLE_DATE_PR_CHANGE="",IF(TITLE_DATE_PR="","",TITLE_DATE_PR),TITLE_DATE_PR_CHANGE)</f>
        <v>45281.66994212963</v>
      </c>
      <c r="JE32" s="10125"/>
      <c r="JF32" s="10125"/>
      <c r="JG32" s="10125"/>
      <c r="JH32" s="10125"/>
      <c r="JI32" s="10125"/>
      <c r="JJ32" s="10125"/>
      <c r="JK32" s="10125"/>
      <c r="JL32" s="10125"/>
      <c r="JM32" s="10125"/>
      <c r="JN32" s="9287"/>
      <c r="JO32" s="10125" t="str">
        <f>IF(TITLE_DATE_PR_CHANGE="",IF(TITLE_DATE_PR="","",TITLE_DATE_PR),TITLE_DATE_PR_CHANGE)</f>
        <v>45281.66994212963</v>
      </c>
      <c r="JP32" s="10125"/>
      <c r="JQ32" s="10125"/>
      <c r="JR32" s="10125"/>
      <c r="JS32" s="10125"/>
      <c r="JT32" s="10125"/>
      <c r="JU32" s="10125"/>
      <c r="JV32" s="10125"/>
      <c r="JW32" s="10125"/>
      <c r="JX32" s="10125"/>
      <c r="JY32" s="9287"/>
      <c r="JZ32" s="10125" t="str">
        <f>IF(TITLE_DATE_PR_CHANGE="",IF(TITLE_DATE_PR="","",TITLE_DATE_PR),TITLE_DATE_PR_CHANGE)</f>
        <v>45281.66994212963</v>
      </c>
      <c r="KA32" s="10125"/>
      <c r="KB32" s="10125"/>
      <c r="KC32" s="10125"/>
      <c r="KD32" s="10125"/>
      <c r="KE32" s="10125"/>
      <c r="KF32" s="10125"/>
      <c r="KG32" s="10125"/>
      <c r="KH32" s="10125"/>
      <c r="KI32" s="10125"/>
      <c r="KJ32" s="9287"/>
      <c r="KK32" s="10125" t="str">
        <f>IF(TITLE_DATE_PR_CHANGE="",IF(TITLE_DATE_PR="","",TITLE_DATE_PR),TITLE_DATE_PR_CHANGE)</f>
        <v>45281.66994212963</v>
      </c>
      <c r="KL32" s="10125"/>
      <c r="KM32" s="10125"/>
      <c r="KN32" s="10125"/>
      <c r="KO32" s="10125"/>
      <c r="KP32" s="10125"/>
      <c r="KQ32" s="10125"/>
      <c r="KR32" s="10125"/>
      <c r="KS32" s="10125"/>
      <c r="KT32" s="10125"/>
      <c r="KU32" s="9287"/>
      <c r="KV32" s="15052" t="str">
        <f>IF(TITLE_DATE_PR_CHANGE="",IF(TITLE_DATE_PR="","",TITLE_DATE_PR),TITLE_DATE_PR_CHANGE)</f>
        <v>45281.66994212963</v>
      </c>
      <c r="KW32" s="15052"/>
      <c r="KX32" s="15052"/>
      <c r="KY32" s="15052"/>
      <c r="KZ32" s="15052"/>
      <c r="LA32" s="15052"/>
      <c r="LB32" s="15052"/>
      <c r="LC32" s="15052"/>
      <c r="LD32" s="15052"/>
      <c r="LE32" s="15052"/>
      <c r="LF32" s="13894"/>
      <c r="LG32" s="15052" t="str">
        <f>IF(TITLE_DATE_PR_CHANGE="",IF(TITLE_DATE_PR="","",TITLE_DATE_PR),TITLE_DATE_PR_CHANGE)</f>
        <v>45281.66994212963</v>
      </c>
      <c r="LH32" s="15052"/>
      <c r="LI32" s="15052"/>
      <c r="LJ32" s="15052"/>
      <c r="LK32" s="15052"/>
      <c r="LL32" s="15052"/>
      <c r="LM32" s="15052"/>
      <c r="LN32" s="15052"/>
      <c r="LO32" s="15052"/>
      <c r="LP32" s="15052"/>
      <c r="LQ32" s="13894"/>
      <c r="LR32" s="15052" t="str">
        <f>IF(TITLE_DATE_PR_CHANGE="",IF(TITLE_DATE_PR="","",TITLE_DATE_PR),TITLE_DATE_PR_CHANGE)</f>
        <v>45281.66994212963</v>
      </c>
      <c r="LS32" s="15052"/>
      <c r="LT32" s="15052"/>
      <c r="LU32" s="15052"/>
      <c r="LV32" s="15052"/>
      <c r="LW32" s="15052"/>
      <c r="LX32" s="15052"/>
      <c r="LY32" s="15052"/>
      <c r="LZ32" s="15052"/>
      <c r="MA32" s="15052"/>
      <c r="MB32" s="13894"/>
      <c r="MC32" s="15052" t="str">
        <f>IF(TITLE_DATE_PR_CHANGE="",IF(TITLE_DATE_PR="","",TITLE_DATE_PR),TITLE_DATE_PR_CHANGE)</f>
        <v>45281.66994212963</v>
      </c>
      <c r="MD32" s="15052"/>
      <c r="ME32" s="15052"/>
      <c r="MF32" s="15052"/>
      <c r="MG32" s="15052"/>
      <c r="MH32" s="15052"/>
      <c r="MI32" s="15052"/>
      <c r="MJ32" s="15052"/>
      <c r="MK32" s="15052"/>
      <c r="ML32" s="15052"/>
      <c r="MM32" s="13894"/>
      <c r="MN32" s="15052" t="str">
        <f>IF(TITLE_DATE_PR_CHANGE="",IF(TITLE_DATE_PR="","",TITLE_DATE_PR),TITLE_DATE_PR_CHANGE)</f>
        <v>45281.66994212963</v>
      </c>
      <c r="MO32" s="15052"/>
      <c r="MP32" s="15052"/>
      <c r="MQ32" s="15052"/>
      <c r="MR32" s="15052"/>
      <c r="MS32" s="15052"/>
      <c r="MT32" s="15052"/>
      <c r="MU32" s="15052"/>
      <c r="MV32" s="15052"/>
      <c r="MW32" s="15052"/>
      <c r="MX32" s="13894"/>
      <c r="MY32" s="15052" t="str">
        <f>IF(TITLE_DATE_PR_CHANGE="",IF(TITLE_DATE_PR="","",TITLE_DATE_PR),TITLE_DATE_PR_CHANGE)</f>
        <v>45281.66994212963</v>
      </c>
      <c r="MZ32" s="15052"/>
      <c r="NA32" s="15052"/>
      <c r="NB32" s="15052"/>
      <c r="NC32" s="15052"/>
      <c r="ND32" s="15052"/>
      <c r="NE32" s="15052"/>
      <c r="NF32" s="15052"/>
      <c r="NG32" s="15052"/>
      <c r="NH32" s="15052"/>
      <c r="NI32" s="13894"/>
      <c r="NJ32" s="15052" t="str">
        <f>IF(TITLE_DATE_PR_CHANGE="",IF(TITLE_DATE_PR="","",TITLE_DATE_PR),TITLE_DATE_PR_CHANGE)</f>
        <v>45281.66994212963</v>
      </c>
      <c r="NK32" s="15052"/>
      <c r="NL32" s="15052"/>
      <c r="NM32" s="15052"/>
      <c r="NN32" s="15052"/>
      <c r="NO32" s="15052"/>
      <c r="NP32" s="15052"/>
      <c r="NQ32" s="15052"/>
      <c r="NR32" s="15052"/>
      <c r="NS32" s="15052"/>
      <c r="NT32" s="13894"/>
      <c r="NU32" s="15052" t="str">
        <f>IF(TITLE_DATE_PR_CHANGE="",IF(TITLE_DATE_PR="","",TITLE_DATE_PR),TITLE_DATE_PR_CHANGE)</f>
        <v>45281.66994212963</v>
      </c>
      <c r="NV32" s="15052"/>
      <c r="NW32" s="15052"/>
      <c r="NX32" s="15052"/>
      <c r="NY32" s="15052"/>
      <c r="NZ32" s="15052"/>
      <c r="OA32" s="15052"/>
      <c r="OB32" s="15052"/>
      <c r="OC32" s="15052"/>
      <c r="OD32" s="15052"/>
      <c r="OE32" s="13894"/>
      <c r="OF32" s="15052" t="str">
        <f>IF(TITLE_DATE_PR_CHANGE="",IF(TITLE_DATE_PR="","",TITLE_DATE_PR),TITLE_DATE_PR_CHANGE)</f>
        <v>45281.66994212963</v>
      </c>
      <c r="OG32" s="15052"/>
      <c r="OH32" s="15052"/>
      <c r="OI32" s="15052"/>
      <c r="OJ32" s="15052"/>
      <c r="OK32" s="15052"/>
      <c r="OL32" s="15052"/>
      <c r="OM32" s="15052"/>
      <c r="ON32" s="15052"/>
      <c r="OO32" s="15052"/>
      <c r="OP32" s="13894"/>
      <c r="OQ32" s="549"/>
      <c r="OR32" s="503"/>
      <c r="OS32" s="591"/>
      <c r="OT32" s="591"/>
      <c r="OU32" s="591"/>
      <c r="OV32" s="591"/>
      <c r="OW32" s="591"/>
    </row>
    <row s="13547" customFormat="1" customHeight="1" ht="18.75" hidden="1">
      <c r="A33" s="1596"/>
      <c r="B33" s="1596"/>
      <c r="C33" s="1596"/>
      <c r="D33" s="1596"/>
      <c r="E33" s="1596"/>
      <c r="F33" s="1596"/>
      <c r="G33" s="1596"/>
      <c r="H33" s="1596"/>
      <c r="I33" s="1596"/>
      <c r="J33" s="1596"/>
      <c r="K33" s="1596"/>
      <c r="L33" s="1597"/>
      <c r="M33" s="1596"/>
      <c r="N33" s="1596"/>
      <c r="O33" s="1596"/>
      <c r="S33" s="2380" t="s">
        <v>425</v>
      </c>
      <c r="T33" s="2380"/>
      <c r="U33" s="1600"/>
      <c r="V33" s="2382" t="str">
        <f>IF(TITLE_NUMBER_PR_CHANGE="",IF(TITLE_NUMBER_PR="","",TITLE_NUMBER_PR),TITLE_NUMBER_PR_CHANGE)</f>
        <v>72/1</v>
      </c>
      <c r="W33" s="2382"/>
      <c r="X33" s="2382"/>
      <c r="Y33" s="2382"/>
      <c r="Z33" s="2382"/>
      <c r="AA33" s="2382"/>
      <c r="AB33" s="2382"/>
      <c r="AC33" s="2382"/>
      <c r="AD33" s="2382"/>
      <c r="AE33" s="2382"/>
      <c r="AF33" s="549"/>
      <c r="AG33" s="2382" t="str">
        <f>IF(TITLE_NUMBER_PR_CHANGE="",IF(TITLE_NUMBER_PR="","",TITLE_NUMBER_PR),TITLE_NUMBER_PR_CHANGE)</f>
        <v>72/1</v>
      </c>
      <c r="AH33" s="2382"/>
      <c r="AI33" s="2382"/>
      <c r="AJ33" s="2382"/>
      <c r="AK33" s="2382"/>
      <c r="AL33" s="2382"/>
      <c r="AM33" s="2382"/>
      <c r="AN33" s="2382"/>
      <c r="AO33" s="2382"/>
      <c r="AP33" s="2382"/>
      <c r="AQ33" s="549"/>
      <c r="AR33" s="6511" t="str">
        <f>IF(TITLE_NUMBER_PR_CHANGE="",IF(TITLE_NUMBER_PR="","",TITLE_NUMBER_PR),TITLE_NUMBER_PR_CHANGE)</f>
        <v>72/1</v>
      </c>
      <c r="AS33" s="6511"/>
      <c r="AT33" s="6511"/>
      <c r="AU33" s="6511"/>
      <c r="AV33" s="6511"/>
      <c r="AW33" s="6511"/>
      <c r="AX33" s="6511"/>
      <c r="AY33" s="6511"/>
      <c r="AZ33" s="6511"/>
      <c r="BA33" s="6511"/>
      <c r="BB33" s="6423"/>
      <c r="BC33" s="6511" t="str">
        <f>IF(TITLE_NUMBER_PR_CHANGE="",IF(TITLE_NUMBER_PR="","",TITLE_NUMBER_PR),TITLE_NUMBER_PR_CHANGE)</f>
        <v>72/1</v>
      </c>
      <c r="BD33" s="6511"/>
      <c r="BE33" s="6511"/>
      <c r="BF33" s="6511"/>
      <c r="BG33" s="6511"/>
      <c r="BH33" s="6511"/>
      <c r="BI33" s="6511"/>
      <c r="BJ33" s="6511"/>
      <c r="BK33" s="6511"/>
      <c r="BL33" s="6511"/>
      <c r="BM33" s="6423"/>
      <c r="BN33" s="10123" t="str">
        <f>IF(TITLE_NUMBER_PR_CHANGE="",IF(TITLE_NUMBER_PR="","",TITLE_NUMBER_PR),TITLE_NUMBER_PR_CHANGE)</f>
        <v>72/1</v>
      </c>
      <c r="BO33" s="10123"/>
      <c r="BP33" s="10123"/>
      <c r="BQ33" s="10123"/>
      <c r="BR33" s="10123"/>
      <c r="BS33" s="10123"/>
      <c r="BT33" s="10123"/>
      <c r="BU33" s="10123"/>
      <c r="BV33" s="10123"/>
      <c r="BW33" s="10123"/>
      <c r="BX33" s="9287"/>
      <c r="BY33" s="10123" t="str">
        <f>IF(TITLE_NUMBER_PR_CHANGE="",IF(TITLE_NUMBER_PR="","",TITLE_NUMBER_PR),TITLE_NUMBER_PR_CHANGE)</f>
        <v>72/1</v>
      </c>
      <c r="BZ33" s="10123"/>
      <c r="CA33" s="10123"/>
      <c r="CB33" s="10123"/>
      <c r="CC33" s="10123"/>
      <c r="CD33" s="10123"/>
      <c r="CE33" s="10123"/>
      <c r="CF33" s="10123"/>
      <c r="CG33" s="10123"/>
      <c r="CH33" s="10123"/>
      <c r="CI33" s="9287"/>
      <c r="CJ33" s="10123" t="str">
        <f>IF(TITLE_NUMBER_PR_CHANGE="",IF(TITLE_NUMBER_PR="","",TITLE_NUMBER_PR),TITLE_NUMBER_PR_CHANGE)</f>
        <v>72/1</v>
      </c>
      <c r="CK33" s="10123"/>
      <c r="CL33" s="10123"/>
      <c r="CM33" s="10123"/>
      <c r="CN33" s="10123"/>
      <c r="CO33" s="10123"/>
      <c r="CP33" s="10123"/>
      <c r="CQ33" s="10123"/>
      <c r="CR33" s="10123"/>
      <c r="CS33" s="10123"/>
      <c r="CT33" s="9287"/>
      <c r="CU33" s="10123" t="str">
        <f>IF(TITLE_NUMBER_PR_CHANGE="",IF(TITLE_NUMBER_PR="","",TITLE_NUMBER_PR),TITLE_NUMBER_PR_CHANGE)</f>
        <v>72/1</v>
      </c>
      <c r="CV33" s="10123"/>
      <c r="CW33" s="10123"/>
      <c r="CX33" s="10123"/>
      <c r="CY33" s="10123"/>
      <c r="CZ33" s="10123"/>
      <c r="DA33" s="10123"/>
      <c r="DB33" s="10123"/>
      <c r="DC33" s="10123"/>
      <c r="DD33" s="10123"/>
      <c r="DE33" s="9287"/>
      <c r="DF33" s="10123" t="str">
        <f>IF(TITLE_NUMBER_PR_CHANGE="",IF(TITLE_NUMBER_PR="","",TITLE_NUMBER_PR),TITLE_NUMBER_PR_CHANGE)</f>
        <v>72/1</v>
      </c>
      <c r="DG33" s="10123"/>
      <c r="DH33" s="10123"/>
      <c r="DI33" s="10123"/>
      <c r="DJ33" s="10123"/>
      <c r="DK33" s="10123"/>
      <c r="DL33" s="10123"/>
      <c r="DM33" s="10123"/>
      <c r="DN33" s="10123"/>
      <c r="DO33" s="10123"/>
      <c r="DP33" s="9287"/>
      <c r="DQ33" s="10123" t="str">
        <f>IF(TITLE_NUMBER_PR_CHANGE="",IF(TITLE_NUMBER_PR="","",TITLE_NUMBER_PR),TITLE_NUMBER_PR_CHANGE)</f>
        <v>72/1</v>
      </c>
      <c r="DR33" s="10123"/>
      <c r="DS33" s="10123"/>
      <c r="DT33" s="10123"/>
      <c r="DU33" s="10123"/>
      <c r="DV33" s="10123"/>
      <c r="DW33" s="10123"/>
      <c r="DX33" s="10123"/>
      <c r="DY33" s="10123"/>
      <c r="DZ33" s="10123"/>
      <c r="EA33" s="9287"/>
      <c r="EB33" s="10123" t="str">
        <f>IF(TITLE_NUMBER_PR_CHANGE="",IF(TITLE_NUMBER_PR="","",TITLE_NUMBER_PR),TITLE_NUMBER_PR_CHANGE)</f>
        <v>72/1</v>
      </c>
      <c r="EC33" s="10123"/>
      <c r="ED33" s="10123"/>
      <c r="EE33" s="10123"/>
      <c r="EF33" s="10123"/>
      <c r="EG33" s="10123"/>
      <c r="EH33" s="10123"/>
      <c r="EI33" s="10123"/>
      <c r="EJ33" s="10123"/>
      <c r="EK33" s="10123"/>
      <c r="EL33" s="9287"/>
      <c r="EM33" s="10123" t="str">
        <f>IF(TITLE_NUMBER_PR_CHANGE="",IF(TITLE_NUMBER_PR="","",TITLE_NUMBER_PR),TITLE_NUMBER_PR_CHANGE)</f>
        <v>72/1</v>
      </c>
      <c r="EN33" s="10123"/>
      <c r="EO33" s="10123"/>
      <c r="EP33" s="10123"/>
      <c r="EQ33" s="10123"/>
      <c r="ER33" s="10123"/>
      <c r="ES33" s="10123"/>
      <c r="ET33" s="10123"/>
      <c r="EU33" s="10123"/>
      <c r="EV33" s="10123"/>
      <c r="EW33" s="9287"/>
      <c r="EX33" s="10123" t="str">
        <f>IF(TITLE_NUMBER_PR_CHANGE="",IF(TITLE_NUMBER_PR="","",TITLE_NUMBER_PR),TITLE_NUMBER_PR_CHANGE)</f>
        <v>72/1</v>
      </c>
      <c r="EY33" s="10123"/>
      <c r="EZ33" s="10123"/>
      <c r="FA33" s="10123"/>
      <c r="FB33" s="10123"/>
      <c r="FC33" s="10123"/>
      <c r="FD33" s="10123"/>
      <c r="FE33" s="10123"/>
      <c r="FF33" s="10123"/>
      <c r="FG33" s="10123"/>
      <c r="FH33" s="9287"/>
      <c r="FI33" s="10123" t="str">
        <f>IF(TITLE_NUMBER_PR_CHANGE="",IF(TITLE_NUMBER_PR="","",TITLE_NUMBER_PR),TITLE_NUMBER_PR_CHANGE)</f>
        <v>72/1</v>
      </c>
      <c r="FJ33" s="10123"/>
      <c r="FK33" s="10123"/>
      <c r="FL33" s="10123"/>
      <c r="FM33" s="10123"/>
      <c r="FN33" s="10123"/>
      <c r="FO33" s="10123"/>
      <c r="FP33" s="10123"/>
      <c r="FQ33" s="10123"/>
      <c r="FR33" s="10123"/>
      <c r="FS33" s="9287"/>
      <c r="FT33" s="10123" t="str">
        <f>IF(TITLE_NUMBER_PR_CHANGE="",IF(TITLE_NUMBER_PR="","",TITLE_NUMBER_PR),TITLE_NUMBER_PR_CHANGE)</f>
        <v>72/1</v>
      </c>
      <c r="FU33" s="10123"/>
      <c r="FV33" s="10123"/>
      <c r="FW33" s="10123"/>
      <c r="FX33" s="10123"/>
      <c r="FY33" s="10123"/>
      <c r="FZ33" s="10123"/>
      <c r="GA33" s="10123"/>
      <c r="GB33" s="10123"/>
      <c r="GC33" s="10123"/>
      <c r="GD33" s="9287"/>
      <c r="GE33" s="10123" t="str">
        <f>IF(TITLE_NUMBER_PR_CHANGE="",IF(TITLE_NUMBER_PR="","",TITLE_NUMBER_PR),TITLE_NUMBER_PR_CHANGE)</f>
        <v>72/1</v>
      </c>
      <c r="GF33" s="10123"/>
      <c r="GG33" s="10123"/>
      <c r="GH33" s="10123"/>
      <c r="GI33" s="10123"/>
      <c r="GJ33" s="10123"/>
      <c r="GK33" s="10123"/>
      <c r="GL33" s="10123"/>
      <c r="GM33" s="10123"/>
      <c r="GN33" s="10123"/>
      <c r="GO33" s="9287"/>
      <c r="GP33" s="10123" t="str">
        <f>IF(TITLE_NUMBER_PR_CHANGE="",IF(TITLE_NUMBER_PR="","",TITLE_NUMBER_PR),TITLE_NUMBER_PR_CHANGE)</f>
        <v>72/1</v>
      </c>
      <c r="GQ33" s="10123"/>
      <c r="GR33" s="10123"/>
      <c r="GS33" s="10123"/>
      <c r="GT33" s="10123"/>
      <c r="GU33" s="10123"/>
      <c r="GV33" s="10123"/>
      <c r="GW33" s="10123"/>
      <c r="GX33" s="10123"/>
      <c r="GY33" s="10123"/>
      <c r="GZ33" s="9287"/>
      <c r="HA33" s="10123" t="str">
        <f>IF(TITLE_NUMBER_PR_CHANGE="",IF(TITLE_NUMBER_PR="","",TITLE_NUMBER_PR),TITLE_NUMBER_PR_CHANGE)</f>
        <v>72/1</v>
      </c>
      <c r="HB33" s="10123"/>
      <c r="HC33" s="10123"/>
      <c r="HD33" s="10123"/>
      <c r="HE33" s="10123"/>
      <c r="HF33" s="10123"/>
      <c r="HG33" s="10123"/>
      <c r="HH33" s="10123"/>
      <c r="HI33" s="10123"/>
      <c r="HJ33" s="10123"/>
      <c r="HK33" s="9287"/>
      <c r="HL33" s="10123" t="str">
        <f>IF(TITLE_NUMBER_PR_CHANGE="",IF(TITLE_NUMBER_PR="","",TITLE_NUMBER_PR),TITLE_NUMBER_PR_CHANGE)</f>
        <v>72/1</v>
      </c>
      <c r="HM33" s="10123"/>
      <c r="HN33" s="10123"/>
      <c r="HO33" s="10123"/>
      <c r="HP33" s="10123"/>
      <c r="HQ33" s="10123"/>
      <c r="HR33" s="10123"/>
      <c r="HS33" s="10123"/>
      <c r="HT33" s="10123"/>
      <c r="HU33" s="10123"/>
      <c r="HV33" s="9287"/>
      <c r="HW33" s="10123" t="str">
        <f>IF(TITLE_NUMBER_PR_CHANGE="",IF(TITLE_NUMBER_PR="","",TITLE_NUMBER_PR),TITLE_NUMBER_PR_CHANGE)</f>
        <v>72/1</v>
      </c>
      <c r="HX33" s="10123"/>
      <c r="HY33" s="10123"/>
      <c r="HZ33" s="10123"/>
      <c r="IA33" s="10123"/>
      <c r="IB33" s="10123"/>
      <c r="IC33" s="10123"/>
      <c r="ID33" s="10123"/>
      <c r="IE33" s="10123"/>
      <c r="IF33" s="10123"/>
      <c r="IG33" s="9287"/>
      <c r="IH33" s="10123" t="str">
        <f>IF(TITLE_NUMBER_PR_CHANGE="",IF(TITLE_NUMBER_PR="","",TITLE_NUMBER_PR),TITLE_NUMBER_PR_CHANGE)</f>
        <v>72/1</v>
      </c>
      <c r="II33" s="10123"/>
      <c r="IJ33" s="10123"/>
      <c r="IK33" s="10123"/>
      <c r="IL33" s="10123"/>
      <c r="IM33" s="10123"/>
      <c r="IN33" s="10123"/>
      <c r="IO33" s="10123"/>
      <c r="IP33" s="10123"/>
      <c r="IQ33" s="10123"/>
      <c r="IR33" s="9287"/>
      <c r="IS33" s="10123" t="str">
        <f>IF(TITLE_NUMBER_PR_CHANGE="",IF(TITLE_NUMBER_PR="","",TITLE_NUMBER_PR),TITLE_NUMBER_PR_CHANGE)</f>
        <v>72/1</v>
      </c>
      <c r="IT33" s="10123"/>
      <c r="IU33" s="10123"/>
      <c r="IV33" s="10123"/>
      <c r="IW33" s="10123"/>
      <c r="IX33" s="10123"/>
      <c r="IY33" s="10123"/>
      <c r="IZ33" s="10123"/>
      <c r="JA33" s="10123"/>
      <c r="JB33" s="10123"/>
      <c r="JC33" s="9287"/>
      <c r="JD33" s="10123" t="str">
        <f>IF(TITLE_NUMBER_PR_CHANGE="",IF(TITLE_NUMBER_PR="","",TITLE_NUMBER_PR),TITLE_NUMBER_PR_CHANGE)</f>
        <v>72/1</v>
      </c>
      <c r="JE33" s="10123"/>
      <c r="JF33" s="10123"/>
      <c r="JG33" s="10123"/>
      <c r="JH33" s="10123"/>
      <c r="JI33" s="10123"/>
      <c r="JJ33" s="10123"/>
      <c r="JK33" s="10123"/>
      <c r="JL33" s="10123"/>
      <c r="JM33" s="10123"/>
      <c r="JN33" s="9287"/>
      <c r="JO33" s="10123" t="str">
        <f>IF(TITLE_NUMBER_PR_CHANGE="",IF(TITLE_NUMBER_PR="","",TITLE_NUMBER_PR),TITLE_NUMBER_PR_CHANGE)</f>
        <v>72/1</v>
      </c>
      <c r="JP33" s="10123"/>
      <c r="JQ33" s="10123"/>
      <c r="JR33" s="10123"/>
      <c r="JS33" s="10123"/>
      <c r="JT33" s="10123"/>
      <c r="JU33" s="10123"/>
      <c r="JV33" s="10123"/>
      <c r="JW33" s="10123"/>
      <c r="JX33" s="10123"/>
      <c r="JY33" s="9287"/>
      <c r="JZ33" s="10123" t="str">
        <f>IF(TITLE_NUMBER_PR_CHANGE="",IF(TITLE_NUMBER_PR="","",TITLE_NUMBER_PR),TITLE_NUMBER_PR_CHANGE)</f>
        <v>72/1</v>
      </c>
      <c r="KA33" s="10123"/>
      <c r="KB33" s="10123"/>
      <c r="KC33" s="10123"/>
      <c r="KD33" s="10123"/>
      <c r="KE33" s="10123"/>
      <c r="KF33" s="10123"/>
      <c r="KG33" s="10123"/>
      <c r="KH33" s="10123"/>
      <c r="KI33" s="10123"/>
      <c r="KJ33" s="9287"/>
      <c r="KK33" s="10123" t="str">
        <f>IF(TITLE_NUMBER_PR_CHANGE="",IF(TITLE_NUMBER_PR="","",TITLE_NUMBER_PR),TITLE_NUMBER_PR_CHANGE)</f>
        <v>72/1</v>
      </c>
      <c r="KL33" s="10123"/>
      <c r="KM33" s="10123"/>
      <c r="KN33" s="10123"/>
      <c r="KO33" s="10123"/>
      <c r="KP33" s="10123"/>
      <c r="KQ33" s="10123"/>
      <c r="KR33" s="10123"/>
      <c r="KS33" s="10123"/>
      <c r="KT33" s="10123"/>
      <c r="KU33" s="9287"/>
      <c r="KV33" s="15049" t="str">
        <f>IF(TITLE_NUMBER_PR_CHANGE="",IF(TITLE_NUMBER_PR="","",TITLE_NUMBER_PR),TITLE_NUMBER_PR_CHANGE)</f>
        <v>72/1</v>
      </c>
      <c r="KW33" s="15049"/>
      <c r="KX33" s="15049"/>
      <c r="KY33" s="15049"/>
      <c r="KZ33" s="15049"/>
      <c r="LA33" s="15049"/>
      <c r="LB33" s="15049"/>
      <c r="LC33" s="15049"/>
      <c r="LD33" s="15049"/>
      <c r="LE33" s="15049"/>
      <c r="LF33" s="13894"/>
      <c r="LG33" s="15049" t="str">
        <f>IF(TITLE_NUMBER_PR_CHANGE="",IF(TITLE_NUMBER_PR="","",TITLE_NUMBER_PR),TITLE_NUMBER_PR_CHANGE)</f>
        <v>72/1</v>
      </c>
      <c r="LH33" s="15049"/>
      <c r="LI33" s="15049"/>
      <c r="LJ33" s="15049"/>
      <c r="LK33" s="15049"/>
      <c r="LL33" s="15049"/>
      <c r="LM33" s="15049"/>
      <c r="LN33" s="15049"/>
      <c r="LO33" s="15049"/>
      <c r="LP33" s="15049"/>
      <c r="LQ33" s="13894"/>
      <c r="LR33" s="15049" t="str">
        <f>IF(TITLE_NUMBER_PR_CHANGE="",IF(TITLE_NUMBER_PR="","",TITLE_NUMBER_PR),TITLE_NUMBER_PR_CHANGE)</f>
        <v>72/1</v>
      </c>
      <c r="LS33" s="15049"/>
      <c r="LT33" s="15049"/>
      <c r="LU33" s="15049"/>
      <c r="LV33" s="15049"/>
      <c r="LW33" s="15049"/>
      <c r="LX33" s="15049"/>
      <c r="LY33" s="15049"/>
      <c r="LZ33" s="15049"/>
      <c r="MA33" s="15049"/>
      <c r="MB33" s="13894"/>
      <c r="MC33" s="15049" t="str">
        <f>IF(TITLE_NUMBER_PR_CHANGE="",IF(TITLE_NUMBER_PR="","",TITLE_NUMBER_PR),TITLE_NUMBER_PR_CHANGE)</f>
        <v>72/1</v>
      </c>
      <c r="MD33" s="15049"/>
      <c r="ME33" s="15049"/>
      <c r="MF33" s="15049"/>
      <c r="MG33" s="15049"/>
      <c r="MH33" s="15049"/>
      <c r="MI33" s="15049"/>
      <c r="MJ33" s="15049"/>
      <c r="MK33" s="15049"/>
      <c r="ML33" s="15049"/>
      <c r="MM33" s="13894"/>
      <c r="MN33" s="15049" t="str">
        <f>IF(TITLE_NUMBER_PR_CHANGE="",IF(TITLE_NUMBER_PR="","",TITLE_NUMBER_PR),TITLE_NUMBER_PR_CHANGE)</f>
        <v>72/1</v>
      </c>
      <c r="MO33" s="15049"/>
      <c r="MP33" s="15049"/>
      <c r="MQ33" s="15049"/>
      <c r="MR33" s="15049"/>
      <c r="MS33" s="15049"/>
      <c r="MT33" s="15049"/>
      <c r="MU33" s="15049"/>
      <c r="MV33" s="15049"/>
      <c r="MW33" s="15049"/>
      <c r="MX33" s="13894"/>
      <c r="MY33" s="15049" t="str">
        <f>IF(TITLE_NUMBER_PR_CHANGE="",IF(TITLE_NUMBER_PR="","",TITLE_NUMBER_PR),TITLE_NUMBER_PR_CHANGE)</f>
        <v>72/1</v>
      </c>
      <c r="MZ33" s="15049"/>
      <c r="NA33" s="15049"/>
      <c r="NB33" s="15049"/>
      <c r="NC33" s="15049"/>
      <c r="ND33" s="15049"/>
      <c r="NE33" s="15049"/>
      <c r="NF33" s="15049"/>
      <c r="NG33" s="15049"/>
      <c r="NH33" s="15049"/>
      <c r="NI33" s="13894"/>
      <c r="NJ33" s="15049" t="str">
        <f>IF(TITLE_NUMBER_PR_CHANGE="",IF(TITLE_NUMBER_PR="","",TITLE_NUMBER_PR),TITLE_NUMBER_PR_CHANGE)</f>
        <v>72/1</v>
      </c>
      <c r="NK33" s="15049"/>
      <c r="NL33" s="15049"/>
      <c r="NM33" s="15049"/>
      <c r="NN33" s="15049"/>
      <c r="NO33" s="15049"/>
      <c r="NP33" s="15049"/>
      <c r="NQ33" s="15049"/>
      <c r="NR33" s="15049"/>
      <c r="NS33" s="15049"/>
      <c r="NT33" s="13894"/>
      <c r="NU33" s="15049" t="str">
        <f>IF(TITLE_NUMBER_PR_CHANGE="",IF(TITLE_NUMBER_PR="","",TITLE_NUMBER_PR),TITLE_NUMBER_PR_CHANGE)</f>
        <v>72/1</v>
      </c>
      <c r="NV33" s="15049"/>
      <c r="NW33" s="15049"/>
      <c r="NX33" s="15049"/>
      <c r="NY33" s="15049"/>
      <c r="NZ33" s="15049"/>
      <c r="OA33" s="15049"/>
      <c r="OB33" s="15049"/>
      <c r="OC33" s="15049"/>
      <c r="OD33" s="15049"/>
      <c r="OE33" s="13894"/>
      <c r="OF33" s="15049" t="str">
        <f>IF(TITLE_NUMBER_PR_CHANGE="",IF(TITLE_NUMBER_PR="","",TITLE_NUMBER_PR),TITLE_NUMBER_PR_CHANGE)</f>
        <v>72/1</v>
      </c>
      <c r="OG33" s="15049"/>
      <c r="OH33" s="15049"/>
      <c r="OI33" s="15049"/>
      <c r="OJ33" s="15049"/>
      <c r="OK33" s="15049"/>
      <c r="OL33" s="15049"/>
      <c r="OM33" s="15049"/>
      <c r="ON33" s="15049"/>
      <c r="OO33" s="15049"/>
      <c r="OP33" s="13894"/>
      <c r="OQ33" s="549"/>
      <c r="OR33" s="503"/>
      <c r="OS33" s="591"/>
      <c r="OT33" s="591"/>
      <c r="OU33" s="591"/>
      <c r="OV33" s="591"/>
      <c r="OW33" s="591"/>
    </row>
    <row s="13547"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1863"/>
      <c r="X34" s="1863"/>
      <c r="Y34" s="1863"/>
      <c r="Z34" s="1863"/>
      <c r="AA34" s="1863"/>
      <c r="AB34" s="1863"/>
      <c r="AC34" s="549"/>
      <c r="AD34" s="549"/>
      <c r="AE34" s="549"/>
      <c r="AF34" s="501" t="s">
        <v>426</v>
      </c>
      <c r="AG34" s="549"/>
      <c r="AH34" s="1863"/>
      <c r="AI34" s="1863"/>
      <c r="AJ34" s="1863"/>
      <c r="AK34" s="1863"/>
      <c r="AL34" s="1863"/>
      <c r="AM34" s="549"/>
      <c r="AN34" s="549"/>
      <c r="AO34" s="549"/>
      <c r="AP34" s="549"/>
      <c r="AQ34" s="501" t="s">
        <v>426</v>
      </c>
      <c r="AR34" s="6423"/>
      <c r="AS34" s="6423"/>
      <c r="AT34" s="6423"/>
      <c r="AU34" s="6423"/>
      <c r="AV34" s="6423"/>
      <c r="AW34" s="6423"/>
      <c r="AX34" s="6423"/>
      <c r="AY34" s="6423"/>
      <c r="AZ34" s="6423"/>
      <c r="BA34" s="6423"/>
      <c r="BB34" s="6513" t="s">
        <v>426</v>
      </c>
      <c r="BC34" s="6423"/>
      <c r="BD34" s="6423"/>
      <c r="BE34" s="6423"/>
      <c r="BF34" s="6423"/>
      <c r="BG34" s="6423"/>
      <c r="BH34" s="6423"/>
      <c r="BI34" s="6423"/>
      <c r="BJ34" s="6423"/>
      <c r="BK34" s="6423"/>
      <c r="BL34" s="6423"/>
      <c r="BM34" s="6513" t="s">
        <v>426</v>
      </c>
      <c r="BN34" s="9287"/>
      <c r="BO34" s="9287"/>
      <c r="BP34" s="9287"/>
      <c r="BQ34" s="9287"/>
      <c r="BR34" s="9287"/>
      <c r="BS34" s="9287"/>
      <c r="BT34" s="9287"/>
      <c r="BU34" s="9287"/>
      <c r="BV34" s="9287"/>
      <c r="BW34" s="9287"/>
      <c r="BX34" s="10127" t="s">
        <v>426</v>
      </c>
      <c r="BY34" s="9287"/>
      <c r="BZ34" s="9287"/>
      <c r="CA34" s="9287"/>
      <c r="CB34" s="9287"/>
      <c r="CC34" s="9287"/>
      <c r="CD34" s="9287"/>
      <c r="CE34" s="9287"/>
      <c r="CF34" s="9287"/>
      <c r="CG34" s="9287"/>
      <c r="CH34" s="9287"/>
      <c r="CI34" s="10127" t="s">
        <v>426</v>
      </c>
      <c r="CJ34" s="9287"/>
      <c r="CK34" s="9287"/>
      <c r="CL34" s="9287"/>
      <c r="CM34" s="9287"/>
      <c r="CN34" s="9287"/>
      <c r="CO34" s="9287"/>
      <c r="CP34" s="9287"/>
      <c r="CQ34" s="9287"/>
      <c r="CR34" s="9287"/>
      <c r="CS34" s="9287"/>
      <c r="CT34" s="10127" t="s">
        <v>426</v>
      </c>
      <c r="CU34" s="9287"/>
      <c r="CV34" s="9287"/>
      <c r="CW34" s="9287"/>
      <c r="CX34" s="9287"/>
      <c r="CY34" s="9287"/>
      <c r="CZ34" s="9287"/>
      <c r="DA34" s="9287"/>
      <c r="DB34" s="9287"/>
      <c r="DC34" s="9287"/>
      <c r="DD34" s="9287"/>
      <c r="DE34" s="10127" t="s">
        <v>426</v>
      </c>
      <c r="DF34" s="9287"/>
      <c r="DG34" s="9287"/>
      <c r="DH34" s="9287"/>
      <c r="DI34" s="9287"/>
      <c r="DJ34" s="9287"/>
      <c r="DK34" s="9287"/>
      <c r="DL34" s="9287"/>
      <c r="DM34" s="9287"/>
      <c r="DN34" s="9287"/>
      <c r="DO34" s="9287"/>
      <c r="DP34" s="10127" t="s">
        <v>426</v>
      </c>
      <c r="DQ34" s="9287"/>
      <c r="DR34" s="9287"/>
      <c r="DS34" s="9287"/>
      <c r="DT34" s="9287"/>
      <c r="DU34" s="9287"/>
      <c r="DV34" s="9287"/>
      <c r="DW34" s="9287"/>
      <c r="DX34" s="9287"/>
      <c r="DY34" s="9287"/>
      <c r="DZ34" s="9287"/>
      <c r="EA34" s="10127" t="s">
        <v>426</v>
      </c>
      <c r="EB34" s="9287"/>
      <c r="EC34" s="9287"/>
      <c r="ED34" s="9287"/>
      <c r="EE34" s="9287"/>
      <c r="EF34" s="9287"/>
      <c r="EG34" s="9287"/>
      <c r="EH34" s="9287"/>
      <c r="EI34" s="9287"/>
      <c r="EJ34" s="9287"/>
      <c r="EK34" s="9287"/>
      <c r="EL34" s="10127" t="s">
        <v>426</v>
      </c>
      <c r="EM34" s="9287"/>
      <c r="EN34" s="9287"/>
      <c r="EO34" s="9287"/>
      <c r="EP34" s="9287"/>
      <c r="EQ34" s="9287"/>
      <c r="ER34" s="9287"/>
      <c r="ES34" s="9287"/>
      <c r="ET34" s="9287"/>
      <c r="EU34" s="9287"/>
      <c r="EV34" s="9287"/>
      <c r="EW34" s="10127" t="s">
        <v>426</v>
      </c>
      <c r="EX34" s="9287"/>
      <c r="EY34" s="9287"/>
      <c r="EZ34" s="9287"/>
      <c r="FA34" s="9287"/>
      <c r="FB34" s="9287"/>
      <c r="FC34" s="9287"/>
      <c r="FD34" s="9287"/>
      <c r="FE34" s="9287"/>
      <c r="FF34" s="9287"/>
      <c r="FG34" s="9287"/>
      <c r="FH34" s="10127" t="s">
        <v>426</v>
      </c>
      <c r="FI34" s="9287"/>
      <c r="FJ34" s="9287"/>
      <c r="FK34" s="9287"/>
      <c r="FL34" s="9287"/>
      <c r="FM34" s="9287"/>
      <c r="FN34" s="9287"/>
      <c r="FO34" s="9287"/>
      <c r="FP34" s="9287"/>
      <c r="FQ34" s="9287"/>
      <c r="FR34" s="9287"/>
      <c r="FS34" s="10127" t="s">
        <v>426</v>
      </c>
      <c r="FT34" s="9287"/>
      <c r="FU34" s="9287"/>
      <c r="FV34" s="9287"/>
      <c r="FW34" s="9287"/>
      <c r="FX34" s="9287"/>
      <c r="FY34" s="9287"/>
      <c r="FZ34" s="9287"/>
      <c r="GA34" s="9287"/>
      <c r="GB34" s="9287"/>
      <c r="GC34" s="9287"/>
      <c r="GD34" s="10127" t="s">
        <v>426</v>
      </c>
      <c r="GE34" s="9287"/>
      <c r="GF34" s="9287"/>
      <c r="GG34" s="9287"/>
      <c r="GH34" s="9287"/>
      <c r="GI34" s="9287"/>
      <c r="GJ34" s="9287"/>
      <c r="GK34" s="9287"/>
      <c r="GL34" s="9287"/>
      <c r="GM34" s="9287"/>
      <c r="GN34" s="9287"/>
      <c r="GO34" s="10127" t="s">
        <v>426</v>
      </c>
      <c r="GP34" s="9287"/>
      <c r="GQ34" s="9287"/>
      <c r="GR34" s="9287"/>
      <c r="GS34" s="9287"/>
      <c r="GT34" s="9287"/>
      <c r="GU34" s="9287"/>
      <c r="GV34" s="9287"/>
      <c r="GW34" s="9287"/>
      <c r="GX34" s="9287"/>
      <c r="GY34" s="9287"/>
      <c r="GZ34" s="10127" t="s">
        <v>426</v>
      </c>
      <c r="HA34" s="9287"/>
      <c r="HB34" s="9287"/>
      <c r="HC34" s="9287"/>
      <c r="HD34" s="9287"/>
      <c r="HE34" s="9287"/>
      <c r="HF34" s="9287"/>
      <c r="HG34" s="9287"/>
      <c r="HH34" s="9287"/>
      <c r="HI34" s="9287"/>
      <c r="HJ34" s="9287"/>
      <c r="HK34" s="10127" t="s">
        <v>426</v>
      </c>
      <c r="HL34" s="9287"/>
      <c r="HM34" s="9287"/>
      <c r="HN34" s="9287"/>
      <c r="HO34" s="9287"/>
      <c r="HP34" s="9287"/>
      <c r="HQ34" s="9287"/>
      <c r="HR34" s="9287"/>
      <c r="HS34" s="9287"/>
      <c r="HT34" s="9287"/>
      <c r="HU34" s="9287"/>
      <c r="HV34" s="10127" t="s">
        <v>426</v>
      </c>
      <c r="HW34" s="9287"/>
      <c r="HX34" s="9287"/>
      <c r="HY34" s="9287"/>
      <c r="HZ34" s="9287"/>
      <c r="IA34" s="9287"/>
      <c r="IB34" s="9287"/>
      <c r="IC34" s="9287"/>
      <c r="ID34" s="9287"/>
      <c r="IE34" s="9287"/>
      <c r="IF34" s="9287"/>
      <c r="IG34" s="10127" t="s">
        <v>426</v>
      </c>
      <c r="IH34" s="9287"/>
      <c r="II34" s="9287"/>
      <c r="IJ34" s="9287"/>
      <c r="IK34" s="9287"/>
      <c r="IL34" s="9287"/>
      <c r="IM34" s="9287"/>
      <c r="IN34" s="9287"/>
      <c r="IO34" s="9287"/>
      <c r="IP34" s="9287"/>
      <c r="IQ34" s="9287"/>
      <c r="IR34" s="10127" t="s">
        <v>426</v>
      </c>
      <c r="IS34" s="9287"/>
      <c r="IT34" s="9287"/>
      <c r="IU34" s="9287"/>
      <c r="IV34" s="9287"/>
      <c r="IW34" s="9287"/>
      <c r="IX34" s="9287"/>
      <c r="IY34" s="9287"/>
      <c r="IZ34" s="9287"/>
      <c r="JA34" s="9287"/>
      <c r="JB34" s="9287"/>
      <c r="JC34" s="10127" t="s">
        <v>426</v>
      </c>
      <c r="JD34" s="9287"/>
      <c r="JE34" s="9287"/>
      <c r="JF34" s="9287"/>
      <c r="JG34" s="9287"/>
      <c r="JH34" s="9287"/>
      <c r="JI34" s="9287"/>
      <c r="JJ34" s="9287"/>
      <c r="JK34" s="9287"/>
      <c r="JL34" s="9287"/>
      <c r="JM34" s="9287"/>
      <c r="JN34" s="10127" t="s">
        <v>426</v>
      </c>
      <c r="JO34" s="9287"/>
      <c r="JP34" s="9287"/>
      <c r="JQ34" s="9287"/>
      <c r="JR34" s="9287"/>
      <c r="JS34" s="9287"/>
      <c r="JT34" s="9287"/>
      <c r="JU34" s="9287"/>
      <c r="JV34" s="9287"/>
      <c r="JW34" s="9287"/>
      <c r="JX34" s="9287"/>
      <c r="JY34" s="10127" t="s">
        <v>426</v>
      </c>
      <c r="JZ34" s="9287"/>
      <c r="KA34" s="9287"/>
      <c r="KB34" s="9287"/>
      <c r="KC34" s="9287"/>
      <c r="KD34" s="9287"/>
      <c r="KE34" s="9287"/>
      <c r="KF34" s="9287"/>
      <c r="KG34" s="9287"/>
      <c r="KH34" s="9287"/>
      <c r="KI34" s="9287"/>
      <c r="KJ34" s="10127" t="s">
        <v>426</v>
      </c>
      <c r="KK34" s="9287"/>
      <c r="KL34" s="9287"/>
      <c r="KM34" s="9287"/>
      <c r="KN34" s="9287"/>
      <c r="KO34" s="9287"/>
      <c r="KP34" s="9287"/>
      <c r="KQ34" s="9287"/>
      <c r="KR34" s="9287"/>
      <c r="KS34" s="9287"/>
      <c r="KT34" s="9287"/>
      <c r="KU34" s="10127" t="s">
        <v>426</v>
      </c>
      <c r="KV34" s="13894"/>
      <c r="KW34" s="13894"/>
      <c r="KX34" s="13894"/>
      <c r="KY34" s="13894"/>
      <c r="KZ34" s="13894"/>
      <c r="LA34" s="13894"/>
      <c r="LB34" s="13894"/>
      <c r="LC34" s="13894"/>
      <c r="LD34" s="13894"/>
      <c r="LE34" s="13894"/>
      <c r="LF34" s="15055" t="s">
        <v>426</v>
      </c>
      <c r="LG34" s="13894"/>
      <c r="LH34" s="13894"/>
      <c r="LI34" s="13894"/>
      <c r="LJ34" s="13894"/>
      <c r="LK34" s="13894"/>
      <c r="LL34" s="13894"/>
      <c r="LM34" s="13894"/>
      <c r="LN34" s="13894"/>
      <c r="LO34" s="13894"/>
      <c r="LP34" s="13894"/>
      <c r="LQ34" s="15055" t="s">
        <v>426</v>
      </c>
      <c r="LR34" s="13894"/>
      <c r="LS34" s="13894"/>
      <c r="LT34" s="13894"/>
      <c r="LU34" s="13894"/>
      <c r="LV34" s="13894"/>
      <c r="LW34" s="13894"/>
      <c r="LX34" s="13894"/>
      <c r="LY34" s="13894"/>
      <c r="LZ34" s="13894"/>
      <c r="MA34" s="13894"/>
      <c r="MB34" s="15055" t="s">
        <v>426</v>
      </c>
      <c r="MC34" s="13894"/>
      <c r="MD34" s="13894"/>
      <c r="ME34" s="13894"/>
      <c r="MF34" s="13894"/>
      <c r="MG34" s="13894"/>
      <c r="MH34" s="13894"/>
      <c r="MI34" s="13894"/>
      <c r="MJ34" s="13894"/>
      <c r="MK34" s="13894"/>
      <c r="ML34" s="13894"/>
      <c r="MM34" s="15055" t="s">
        <v>426</v>
      </c>
      <c r="MN34" s="13894"/>
      <c r="MO34" s="13894"/>
      <c r="MP34" s="13894"/>
      <c r="MQ34" s="13894"/>
      <c r="MR34" s="13894"/>
      <c r="MS34" s="13894"/>
      <c r="MT34" s="13894"/>
      <c r="MU34" s="13894"/>
      <c r="MV34" s="13894"/>
      <c r="MW34" s="13894"/>
      <c r="MX34" s="15055" t="s">
        <v>426</v>
      </c>
      <c r="MY34" s="13894"/>
      <c r="MZ34" s="13894"/>
      <c r="NA34" s="13894"/>
      <c r="NB34" s="13894"/>
      <c r="NC34" s="13894"/>
      <c r="ND34" s="13894"/>
      <c r="NE34" s="13894"/>
      <c r="NF34" s="13894"/>
      <c r="NG34" s="13894"/>
      <c r="NH34" s="13894"/>
      <c r="NI34" s="15055" t="s">
        <v>426</v>
      </c>
      <c r="NJ34" s="13894"/>
      <c r="NK34" s="13894"/>
      <c r="NL34" s="13894"/>
      <c r="NM34" s="13894"/>
      <c r="NN34" s="13894"/>
      <c r="NO34" s="13894"/>
      <c r="NP34" s="13894"/>
      <c r="NQ34" s="13894"/>
      <c r="NR34" s="13894"/>
      <c r="NS34" s="13894"/>
      <c r="NT34" s="15055" t="s">
        <v>426</v>
      </c>
      <c r="NU34" s="13894"/>
      <c r="NV34" s="13894"/>
      <c r="NW34" s="13894"/>
      <c r="NX34" s="13894"/>
      <c r="NY34" s="13894"/>
      <c r="NZ34" s="13894"/>
      <c r="OA34" s="13894"/>
      <c r="OB34" s="13894"/>
      <c r="OC34" s="13894"/>
      <c r="OD34" s="13894"/>
      <c r="OE34" s="15055" t="s">
        <v>426</v>
      </c>
      <c r="OF34" s="13894"/>
      <c r="OG34" s="13894"/>
      <c r="OH34" s="13894"/>
      <c r="OI34" s="13894"/>
      <c r="OJ34" s="13894"/>
      <c r="OK34" s="13894"/>
      <c r="OL34" s="13894"/>
      <c r="OM34" s="13894"/>
      <c r="ON34" s="13894"/>
      <c r="OO34" s="13894"/>
      <c r="OP34" s="15055" t="s">
        <v>426</v>
      </c>
      <c r="OS34" s="591"/>
      <c r="OT34" s="591"/>
      <c r="OU34" s="591"/>
      <c r="OV34" s="591"/>
      <c r="OW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c r="AJ35" s="2406"/>
      <c r="AK35" s="2406"/>
      <c r="AL35" s="2406"/>
      <c r="AM35" s="2406"/>
      <c r="AN35" s="2406"/>
      <c r="AO35" s="2406"/>
      <c r="AP35" s="2406"/>
      <c r="AQ35" s="2406"/>
      <c r="AR35" s="6514" t="s">
        <v>531</v>
      </c>
      <c r="AS35" s="6514"/>
      <c r="AT35" s="6514"/>
      <c r="AU35" s="6514"/>
      <c r="AV35" s="6514"/>
      <c r="AW35" s="6514"/>
      <c r="AX35" s="6514"/>
      <c r="AY35" s="6514"/>
      <c r="AZ35" s="6514"/>
      <c r="BA35" s="6514"/>
      <c r="BB35" s="6514"/>
      <c r="BC35" s="6514" t="s">
        <v>531</v>
      </c>
      <c r="BD35" s="6514"/>
      <c r="BE35" s="6514"/>
      <c r="BF35" s="6514"/>
      <c r="BG35" s="6514"/>
      <c r="BH35" s="6514"/>
      <c r="BI35" s="6514"/>
      <c r="BJ35" s="6514"/>
      <c r="BK35" s="6514"/>
      <c r="BL35" s="6514"/>
      <c r="BM35" s="6514"/>
      <c r="BN35" s="10129" t="s">
        <v>531</v>
      </c>
      <c r="BO35" s="10129"/>
      <c r="BP35" s="10129"/>
      <c r="BQ35" s="10129"/>
      <c r="BR35" s="10129"/>
      <c r="BS35" s="10129"/>
      <c r="BT35" s="10129"/>
      <c r="BU35" s="10129"/>
      <c r="BV35" s="10129"/>
      <c r="BW35" s="10129"/>
      <c r="BX35" s="10129"/>
      <c r="BY35" s="10129" t="s">
        <v>531</v>
      </c>
      <c r="BZ35" s="10129"/>
      <c r="CA35" s="10129"/>
      <c r="CB35" s="10129"/>
      <c r="CC35" s="10129"/>
      <c r="CD35" s="10129"/>
      <c r="CE35" s="10129"/>
      <c r="CF35" s="10129"/>
      <c r="CG35" s="10129"/>
      <c r="CH35" s="10129"/>
      <c r="CI35" s="10129"/>
      <c r="CJ35" s="10129" t="s">
        <v>531</v>
      </c>
      <c r="CK35" s="10129"/>
      <c r="CL35" s="10129"/>
      <c r="CM35" s="10129"/>
      <c r="CN35" s="10129"/>
      <c r="CO35" s="10129"/>
      <c r="CP35" s="10129"/>
      <c r="CQ35" s="10129"/>
      <c r="CR35" s="10129"/>
      <c r="CS35" s="10129"/>
      <c r="CT35" s="10129"/>
      <c r="CU35" s="10129" t="s">
        <v>531</v>
      </c>
      <c r="CV35" s="10129"/>
      <c r="CW35" s="10129"/>
      <c r="CX35" s="10129"/>
      <c r="CY35" s="10129"/>
      <c r="CZ35" s="10129"/>
      <c r="DA35" s="10129"/>
      <c r="DB35" s="10129"/>
      <c r="DC35" s="10129"/>
      <c r="DD35" s="10129"/>
      <c r="DE35" s="10129"/>
      <c r="DF35" s="10129" t="s">
        <v>531</v>
      </c>
      <c r="DG35" s="10129"/>
      <c r="DH35" s="10129"/>
      <c r="DI35" s="10129"/>
      <c r="DJ35" s="10129"/>
      <c r="DK35" s="10129"/>
      <c r="DL35" s="10129"/>
      <c r="DM35" s="10129"/>
      <c r="DN35" s="10129"/>
      <c r="DO35" s="10129"/>
      <c r="DP35" s="10129"/>
      <c r="DQ35" s="10129" t="s">
        <v>531</v>
      </c>
      <c r="DR35" s="10129"/>
      <c r="DS35" s="10129"/>
      <c r="DT35" s="10129"/>
      <c r="DU35" s="10129"/>
      <c r="DV35" s="10129"/>
      <c r="DW35" s="10129"/>
      <c r="DX35" s="10129"/>
      <c r="DY35" s="10129"/>
      <c r="DZ35" s="10129"/>
      <c r="EA35" s="10129"/>
      <c r="EB35" s="10129" t="s">
        <v>531</v>
      </c>
      <c r="EC35" s="10129"/>
      <c r="ED35" s="10129"/>
      <c r="EE35" s="10129"/>
      <c r="EF35" s="10129"/>
      <c r="EG35" s="10129"/>
      <c r="EH35" s="10129"/>
      <c r="EI35" s="10129"/>
      <c r="EJ35" s="10129"/>
      <c r="EK35" s="10129"/>
      <c r="EL35" s="10129"/>
      <c r="EM35" s="10129" t="s">
        <v>531</v>
      </c>
      <c r="EN35" s="10129"/>
      <c r="EO35" s="10129"/>
      <c r="EP35" s="10129"/>
      <c r="EQ35" s="10129"/>
      <c r="ER35" s="10129"/>
      <c r="ES35" s="10129"/>
      <c r="ET35" s="10129"/>
      <c r="EU35" s="10129"/>
      <c r="EV35" s="10129"/>
      <c r="EW35" s="10129"/>
      <c r="EX35" s="10129" t="s">
        <v>531</v>
      </c>
      <c r="EY35" s="10129"/>
      <c r="EZ35" s="10129"/>
      <c r="FA35" s="10129"/>
      <c r="FB35" s="10129"/>
      <c r="FC35" s="10129"/>
      <c r="FD35" s="10129"/>
      <c r="FE35" s="10129"/>
      <c r="FF35" s="10129"/>
      <c r="FG35" s="10129"/>
      <c r="FH35" s="10129"/>
      <c r="FI35" s="10129" t="s">
        <v>531</v>
      </c>
      <c r="FJ35" s="10129"/>
      <c r="FK35" s="10129"/>
      <c r="FL35" s="10129"/>
      <c r="FM35" s="10129"/>
      <c r="FN35" s="10129"/>
      <c r="FO35" s="10129"/>
      <c r="FP35" s="10129"/>
      <c r="FQ35" s="10129"/>
      <c r="FR35" s="10129"/>
      <c r="FS35" s="10129"/>
      <c r="FT35" s="10129" t="s">
        <v>531</v>
      </c>
      <c r="FU35" s="10129"/>
      <c r="FV35" s="10129"/>
      <c r="FW35" s="10129"/>
      <c r="FX35" s="10129"/>
      <c r="FY35" s="10129"/>
      <c r="FZ35" s="10129"/>
      <c r="GA35" s="10129"/>
      <c r="GB35" s="10129"/>
      <c r="GC35" s="10129"/>
      <c r="GD35" s="10129"/>
      <c r="GE35" s="10129" t="s">
        <v>531</v>
      </c>
      <c r="GF35" s="10129"/>
      <c r="GG35" s="10129"/>
      <c r="GH35" s="10129"/>
      <c r="GI35" s="10129"/>
      <c r="GJ35" s="10129"/>
      <c r="GK35" s="10129"/>
      <c r="GL35" s="10129"/>
      <c r="GM35" s="10129"/>
      <c r="GN35" s="10129"/>
      <c r="GO35" s="10129"/>
      <c r="GP35" s="10129" t="s">
        <v>531</v>
      </c>
      <c r="GQ35" s="10129"/>
      <c r="GR35" s="10129"/>
      <c r="GS35" s="10129"/>
      <c r="GT35" s="10129"/>
      <c r="GU35" s="10129"/>
      <c r="GV35" s="10129"/>
      <c r="GW35" s="10129"/>
      <c r="GX35" s="10129"/>
      <c r="GY35" s="10129"/>
      <c r="GZ35" s="10129"/>
      <c r="HA35" s="10129" t="s">
        <v>531</v>
      </c>
      <c r="HB35" s="10129"/>
      <c r="HC35" s="10129"/>
      <c r="HD35" s="10129"/>
      <c r="HE35" s="10129"/>
      <c r="HF35" s="10129"/>
      <c r="HG35" s="10129"/>
      <c r="HH35" s="10129"/>
      <c r="HI35" s="10129"/>
      <c r="HJ35" s="10129"/>
      <c r="HK35" s="10129"/>
      <c r="HL35" s="10129" t="s">
        <v>531</v>
      </c>
      <c r="HM35" s="10129"/>
      <c r="HN35" s="10129"/>
      <c r="HO35" s="10129"/>
      <c r="HP35" s="10129"/>
      <c r="HQ35" s="10129"/>
      <c r="HR35" s="10129"/>
      <c r="HS35" s="10129"/>
      <c r="HT35" s="10129"/>
      <c r="HU35" s="10129"/>
      <c r="HV35" s="10129"/>
      <c r="HW35" s="10129" t="s">
        <v>531</v>
      </c>
      <c r="HX35" s="10129"/>
      <c r="HY35" s="10129"/>
      <c r="HZ35" s="10129"/>
      <c r="IA35" s="10129"/>
      <c r="IB35" s="10129"/>
      <c r="IC35" s="10129"/>
      <c r="ID35" s="10129"/>
      <c r="IE35" s="10129"/>
      <c r="IF35" s="10129"/>
      <c r="IG35" s="10129"/>
      <c r="IH35" s="10129" t="s">
        <v>531</v>
      </c>
      <c r="II35" s="10129"/>
      <c r="IJ35" s="10129"/>
      <c r="IK35" s="10129"/>
      <c r="IL35" s="10129"/>
      <c r="IM35" s="10129"/>
      <c r="IN35" s="10129"/>
      <c r="IO35" s="10129"/>
      <c r="IP35" s="10129"/>
      <c r="IQ35" s="10129"/>
      <c r="IR35" s="10129"/>
      <c r="IS35" s="10129" t="s">
        <v>531</v>
      </c>
      <c r="IT35" s="10129"/>
      <c r="IU35" s="10129"/>
      <c r="IV35" s="10129"/>
      <c r="IW35" s="10129"/>
      <c r="IX35" s="10129"/>
      <c r="IY35" s="10129"/>
      <c r="IZ35" s="10129"/>
      <c r="JA35" s="10129"/>
      <c r="JB35" s="10129"/>
      <c r="JC35" s="10129"/>
      <c r="JD35" s="10129" t="s">
        <v>531</v>
      </c>
      <c r="JE35" s="10129"/>
      <c r="JF35" s="10129"/>
      <c r="JG35" s="10129"/>
      <c r="JH35" s="10129"/>
      <c r="JI35" s="10129"/>
      <c r="JJ35" s="10129"/>
      <c r="JK35" s="10129"/>
      <c r="JL35" s="10129"/>
      <c r="JM35" s="10129"/>
      <c r="JN35" s="10129"/>
      <c r="JO35" s="10129" t="s">
        <v>531</v>
      </c>
      <c r="JP35" s="10129"/>
      <c r="JQ35" s="10129"/>
      <c r="JR35" s="10129"/>
      <c r="JS35" s="10129"/>
      <c r="JT35" s="10129"/>
      <c r="JU35" s="10129"/>
      <c r="JV35" s="10129"/>
      <c r="JW35" s="10129"/>
      <c r="JX35" s="10129"/>
      <c r="JY35" s="10129"/>
      <c r="JZ35" s="10129" t="s">
        <v>531</v>
      </c>
      <c r="KA35" s="10129"/>
      <c r="KB35" s="10129"/>
      <c r="KC35" s="10129"/>
      <c r="KD35" s="10129"/>
      <c r="KE35" s="10129"/>
      <c r="KF35" s="10129"/>
      <c r="KG35" s="10129"/>
      <c r="KH35" s="10129"/>
      <c r="KI35" s="10129"/>
      <c r="KJ35" s="10129"/>
      <c r="KK35" s="10129" t="s">
        <v>531</v>
      </c>
      <c r="KL35" s="10129"/>
      <c r="KM35" s="10129"/>
      <c r="KN35" s="10129"/>
      <c r="KO35" s="10129"/>
      <c r="KP35" s="10129"/>
      <c r="KQ35" s="10129"/>
      <c r="KR35" s="10129"/>
      <c r="KS35" s="10129"/>
      <c r="KT35" s="10129"/>
      <c r="KU35" s="10129"/>
      <c r="KV35" s="15058" t="s">
        <v>531</v>
      </c>
      <c r="KW35" s="15058"/>
      <c r="KX35" s="15058"/>
      <c r="KY35" s="15058"/>
      <c r="KZ35" s="15058"/>
      <c r="LA35" s="15058"/>
      <c r="LB35" s="15058"/>
      <c r="LC35" s="15058"/>
      <c r="LD35" s="15058"/>
      <c r="LE35" s="15058"/>
      <c r="LF35" s="15058"/>
      <c r="LG35" s="15058" t="s">
        <v>531</v>
      </c>
      <c r="LH35" s="15058"/>
      <c r="LI35" s="15058"/>
      <c r="LJ35" s="15058"/>
      <c r="LK35" s="15058"/>
      <c r="LL35" s="15058"/>
      <c r="LM35" s="15058"/>
      <c r="LN35" s="15058"/>
      <c r="LO35" s="15058"/>
      <c r="LP35" s="15058"/>
      <c r="LQ35" s="15058"/>
      <c r="LR35" s="15058" t="s">
        <v>531</v>
      </c>
      <c r="LS35" s="15058"/>
      <c r="LT35" s="15058"/>
      <c r="LU35" s="15058"/>
      <c r="LV35" s="15058"/>
      <c r="LW35" s="15058"/>
      <c r="LX35" s="15058"/>
      <c r="LY35" s="15058"/>
      <c r="LZ35" s="15058"/>
      <c r="MA35" s="15058"/>
      <c r="MB35" s="15058"/>
      <c r="MC35" s="15058" t="s">
        <v>531</v>
      </c>
      <c r="MD35" s="15058"/>
      <c r="ME35" s="15058"/>
      <c r="MF35" s="15058"/>
      <c r="MG35" s="15058"/>
      <c r="MH35" s="15058"/>
      <c r="MI35" s="15058"/>
      <c r="MJ35" s="15058"/>
      <c r="MK35" s="15058"/>
      <c r="ML35" s="15058"/>
      <c r="MM35" s="15058"/>
      <c r="MN35" s="15058" t="s">
        <v>531</v>
      </c>
      <c r="MO35" s="15058"/>
      <c r="MP35" s="15058"/>
      <c r="MQ35" s="15058"/>
      <c r="MR35" s="15058"/>
      <c r="MS35" s="15058"/>
      <c r="MT35" s="15058"/>
      <c r="MU35" s="15058"/>
      <c r="MV35" s="15058"/>
      <c r="MW35" s="15058"/>
      <c r="MX35" s="15058"/>
      <c r="MY35" s="15058" t="s">
        <v>531</v>
      </c>
      <c r="MZ35" s="15058"/>
      <c r="NA35" s="15058"/>
      <c r="NB35" s="15058"/>
      <c r="NC35" s="15058"/>
      <c r="ND35" s="15058"/>
      <c r="NE35" s="15058"/>
      <c r="NF35" s="15058"/>
      <c r="NG35" s="15058"/>
      <c r="NH35" s="15058"/>
      <c r="NI35" s="15058"/>
      <c r="NJ35" s="15058" t="s">
        <v>531</v>
      </c>
      <c r="NK35" s="15058"/>
      <c r="NL35" s="15058"/>
      <c r="NM35" s="15058"/>
      <c r="NN35" s="15058"/>
      <c r="NO35" s="15058"/>
      <c r="NP35" s="15058"/>
      <c r="NQ35" s="15058"/>
      <c r="NR35" s="15058"/>
      <c r="NS35" s="15058"/>
      <c r="NT35" s="15058"/>
      <c r="NU35" s="15058" t="s">
        <v>531</v>
      </c>
      <c r="NV35" s="15058"/>
      <c r="NW35" s="15058"/>
      <c r="NX35" s="15058"/>
      <c r="NY35" s="15058"/>
      <c r="NZ35" s="15058"/>
      <c r="OA35" s="15058"/>
      <c r="OB35" s="15058"/>
      <c r="OC35" s="15058"/>
      <c r="OD35" s="15058"/>
      <c r="OE35" s="15058"/>
      <c r="OF35" s="15058" t="s">
        <v>531</v>
      </c>
      <c r="OG35" s="15058"/>
      <c r="OH35" s="15058"/>
      <c r="OI35" s="15058"/>
      <c r="OJ35" s="15058"/>
      <c r="OK35" s="15058"/>
      <c r="OL35" s="15058"/>
      <c r="OM35" s="15058"/>
      <c r="ON35" s="15058"/>
      <c r="OO35" s="15058"/>
      <c r="OP35" s="15058"/>
    </row>
    <row customHeight="1" ht="14.25">
      <c r="Q36" s="599"/>
      <c r="R36" s="599"/>
      <c r="S36" s="2254" t="s">
        <v>301</v>
      </c>
      <c r="T36" s="2254"/>
      <c r="U36" s="2254"/>
      <c r="V36" s="2254"/>
      <c r="W36" s="2254"/>
      <c r="X36" s="2254"/>
      <c r="Y36" s="2254"/>
      <c r="Z36" s="2254"/>
      <c r="AA36" s="2254"/>
      <c r="AB36" s="2254"/>
      <c r="AC36" s="2254"/>
      <c r="AD36" s="2254"/>
      <c r="AE36" s="2254"/>
      <c r="AF36" s="2254"/>
      <c r="AG36" s="2254"/>
      <c r="AH36" s="2254"/>
      <c r="AI36" s="2254"/>
      <c r="AJ36" s="2254"/>
      <c r="AK36" s="2254"/>
      <c r="AL36" s="2254"/>
      <c r="AM36" s="2254"/>
      <c r="AN36" s="2254"/>
      <c r="AO36" s="2254"/>
      <c r="AP36" s="2254"/>
      <c r="AQ36" s="2254"/>
      <c r="AR36" s="6515" t="s">
        <v>301</v>
      </c>
      <c r="AS36" s="6515"/>
      <c r="AT36" s="6515"/>
      <c r="AU36" s="6515"/>
      <c r="AV36" s="6515"/>
      <c r="AW36" s="6515"/>
      <c r="AX36" s="6515"/>
      <c r="AY36" s="6515"/>
      <c r="AZ36" s="6515"/>
      <c r="BA36" s="6515"/>
      <c r="BB36" s="6515"/>
      <c r="BC36" s="6515" t="s">
        <v>301</v>
      </c>
      <c r="BD36" s="6515"/>
      <c r="BE36" s="6515"/>
      <c r="BF36" s="6515"/>
      <c r="BG36" s="6515"/>
      <c r="BH36" s="6515"/>
      <c r="BI36" s="6515"/>
      <c r="BJ36" s="6515"/>
      <c r="BK36" s="6515"/>
      <c r="BL36" s="6515"/>
      <c r="BM36" s="6515"/>
      <c r="BN36" s="10131" t="s">
        <v>301</v>
      </c>
      <c r="BO36" s="10131"/>
      <c r="BP36" s="10131"/>
      <c r="BQ36" s="10131"/>
      <c r="BR36" s="10131"/>
      <c r="BS36" s="10131"/>
      <c r="BT36" s="10131"/>
      <c r="BU36" s="10131"/>
      <c r="BV36" s="10131"/>
      <c r="BW36" s="10131"/>
      <c r="BX36" s="10131"/>
      <c r="BY36" s="10131" t="s">
        <v>301</v>
      </c>
      <c r="BZ36" s="10131"/>
      <c r="CA36" s="10131"/>
      <c r="CB36" s="10131"/>
      <c r="CC36" s="10131"/>
      <c r="CD36" s="10131"/>
      <c r="CE36" s="10131"/>
      <c r="CF36" s="10131"/>
      <c r="CG36" s="10131"/>
      <c r="CH36" s="10131"/>
      <c r="CI36" s="10131"/>
      <c r="CJ36" s="10131" t="s">
        <v>301</v>
      </c>
      <c r="CK36" s="10131"/>
      <c r="CL36" s="10131"/>
      <c r="CM36" s="10131"/>
      <c r="CN36" s="10131"/>
      <c r="CO36" s="10131"/>
      <c r="CP36" s="10131"/>
      <c r="CQ36" s="10131"/>
      <c r="CR36" s="10131"/>
      <c r="CS36" s="10131"/>
      <c r="CT36" s="10131"/>
      <c r="CU36" s="10131" t="s">
        <v>301</v>
      </c>
      <c r="CV36" s="10131"/>
      <c r="CW36" s="10131"/>
      <c r="CX36" s="10131"/>
      <c r="CY36" s="10131"/>
      <c r="CZ36" s="10131"/>
      <c r="DA36" s="10131"/>
      <c r="DB36" s="10131"/>
      <c r="DC36" s="10131"/>
      <c r="DD36" s="10131"/>
      <c r="DE36" s="10131"/>
      <c r="DF36" s="10131" t="s">
        <v>301</v>
      </c>
      <c r="DG36" s="10131"/>
      <c r="DH36" s="10131"/>
      <c r="DI36" s="10131"/>
      <c r="DJ36" s="10131"/>
      <c r="DK36" s="10131"/>
      <c r="DL36" s="10131"/>
      <c r="DM36" s="10131"/>
      <c r="DN36" s="10131"/>
      <c r="DO36" s="10131"/>
      <c r="DP36" s="10131"/>
      <c r="DQ36" s="10131" t="s">
        <v>301</v>
      </c>
      <c r="DR36" s="10131"/>
      <c r="DS36" s="10131"/>
      <c r="DT36" s="10131"/>
      <c r="DU36" s="10131"/>
      <c r="DV36" s="10131"/>
      <c r="DW36" s="10131"/>
      <c r="DX36" s="10131"/>
      <c r="DY36" s="10131"/>
      <c r="DZ36" s="10131"/>
      <c r="EA36" s="10131"/>
      <c r="EB36" s="10131" t="s">
        <v>301</v>
      </c>
      <c r="EC36" s="10131"/>
      <c r="ED36" s="10131"/>
      <c r="EE36" s="10131"/>
      <c r="EF36" s="10131"/>
      <c r="EG36" s="10131"/>
      <c r="EH36" s="10131"/>
      <c r="EI36" s="10131"/>
      <c r="EJ36" s="10131"/>
      <c r="EK36" s="10131"/>
      <c r="EL36" s="10131"/>
      <c r="EM36" s="10131" t="s">
        <v>301</v>
      </c>
      <c r="EN36" s="10131"/>
      <c r="EO36" s="10131"/>
      <c r="EP36" s="10131"/>
      <c r="EQ36" s="10131"/>
      <c r="ER36" s="10131"/>
      <c r="ES36" s="10131"/>
      <c r="ET36" s="10131"/>
      <c r="EU36" s="10131"/>
      <c r="EV36" s="10131"/>
      <c r="EW36" s="10131"/>
      <c r="EX36" s="10131" t="s">
        <v>301</v>
      </c>
      <c r="EY36" s="10131"/>
      <c r="EZ36" s="10131"/>
      <c r="FA36" s="10131"/>
      <c r="FB36" s="10131"/>
      <c r="FC36" s="10131"/>
      <c r="FD36" s="10131"/>
      <c r="FE36" s="10131"/>
      <c r="FF36" s="10131"/>
      <c r="FG36" s="10131"/>
      <c r="FH36" s="10131"/>
      <c r="FI36" s="10131" t="s">
        <v>301</v>
      </c>
      <c r="FJ36" s="10131"/>
      <c r="FK36" s="10131"/>
      <c r="FL36" s="10131"/>
      <c r="FM36" s="10131"/>
      <c r="FN36" s="10131"/>
      <c r="FO36" s="10131"/>
      <c r="FP36" s="10131"/>
      <c r="FQ36" s="10131"/>
      <c r="FR36" s="10131"/>
      <c r="FS36" s="10131"/>
      <c r="FT36" s="10131" t="s">
        <v>301</v>
      </c>
      <c r="FU36" s="10131"/>
      <c r="FV36" s="10131"/>
      <c r="FW36" s="10131"/>
      <c r="FX36" s="10131"/>
      <c r="FY36" s="10131"/>
      <c r="FZ36" s="10131"/>
      <c r="GA36" s="10131"/>
      <c r="GB36" s="10131"/>
      <c r="GC36" s="10131"/>
      <c r="GD36" s="10131"/>
      <c r="GE36" s="10131" t="s">
        <v>301</v>
      </c>
      <c r="GF36" s="10131"/>
      <c r="GG36" s="10131"/>
      <c r="GH36" s="10131"/>
      <c r="GI36" s="10131"/>
      <c r="GJ36" s="10131"/>
      <c r="GK36" s="10131"/>
      <c r="GL36" s="10131"/>
      <c r="GM36" s="10131"/>
      <c r="GN36" s="10131"/>
      <c r="GO36" s="10131"/>
      <c r="GP36" s="10131" t="s">
        <v>301</v>
      </c>
      <c r="GQ36" s="10131"/>
      <c r="GR36" s="10131"/>
      <c r="GS36" s="10131"/>
      <c r="GT36" s="10131"/>
      <c r="GU36" s="10131"/>
      <c r="GV36" s="10131"/>
      <c r="GW36" s="10131"/>
      <c r="GX36" s="10131"/>
      <c r="GY36" s="10131"/>
      <c r="GZ36" s="10131"/>
      <c r="HA36" s="10131" t="s">
        <v>301</v>
      </c>
      <c r="HB36" s="10131"/>
      <c r="HC36" s="10131"/>
      <c r="HD36" s="10131"/>
      <c r="HE36" s="10131"/>
      <c r="HF36" s="10131"/>
      <c r="HG36" s="10131"/>
      <c r="HH36" s="10131"/>
      <c r="HI36" s="10131"/>
      <c r="HJ36" s="10131"/>
      <c r="HK36" s="10131"/>
      <c r="HL36" s="10131" t="s">
        <v>301</v>
      </c>
      <c r="HM36" s="10131"/>
      <c r="HN36" s="10131"/>
      <c r="HO36" s="10131"/>
      <c r="HP36" s="10131"/>
      <c r="HQ36" s="10131"/>
      <c r="HR36" s="10131"/>
      <c r="HS36" s="10131"/>
      <c r="HT36" s="10131"/>
      <c r="HU36" s="10131"/>
      <c r="HV36" s="10131"/>
      <c r="HW36" s="10131" t="s">
        <v>301</v>
      </c>
      <c r="HX36" s="10131"/>
      <c r="HY36" s="10131"/>
      <c r="HZ36" s="10131"/>
      <c r="IA36" s="10131"/>
      <c r="IB36" s="10131"/>
      <c r="IC36" s="10131"/>
      <c r="ID36" s="10131"/>
      <c r="IE36" s="10131"/>
      <c r="IF36" s="10131"/>
      <c r="IG36" s="10131"/>
      <c r="IH36" s="10131" t="s">
        <v>301</v>
      </c>
      <c r="II36" s="10131"/>
      <c r="IJ36" s="10131"/>
      <c r="IK36" s="10131"/>
      <c r="IL36" s="10131"/>
      <c r="IM36" s="10131"/>
      <c r="IN36" s="10131"/>
      <c r="IO36" s="10131"/>
      <c r="IP36" s="10131"/>
      <c r="IQ36" s="10131"/>
      <c r="IR36" s="10131"/>
      <c r="IS36" s="10131" t="s">
        <v>301</v>
      </c>
      <c r="IT36" s="10131"/>
      <c r="IU36" s="10131"/>
      <c r="IV36" s="10131"/>
      <c r="IW36" s="10131"/>
      <c r="IX36" s="10131"/>
      <c r="IY36" s="10131"/>
      <c r="IZ36" s="10131"/>
      <c r="JA36" s="10131"/>
      <c r="JB36" s="10131"/>
      <c r="JC36" s="10131"/>
      <c r="JD36" s="10131" t="s">
        <v>301</v>
      </c>
      <c r="JE36" s="10131"/>
      <c r="JF36" s="10131"/>
      <c r="JG36" s="10131"/>
      <c r="JH36" s="10131"/>
      <c r="JI36" s="10131"/>
      <c r="JJ36" s="10131"/>
      <c r="JK36" s="10131"/>
      <c r="JL36" s="10131"/>
      <c r="JM36" s="10131"/>
      <c r="JN36" s="10131"/>
      <c r="JO36" s="10131" t="s">
        <v>301</v>
      </c>
      <c r="JP36" s="10131"/>
      <c r="JQ36" s="10131"/>
      <c r="JR36" s="10131"/>
      <c r="JS36" s="10131"/>
      <c r="JT36" s="10131"/>
      <c r="JU36" s="10131"/>
      <c r="JV36" s="10131"/>
      <c r="JW36" s="10131"/>
      <c r="JX36" s="10131"/>
      <c r="JY36" s="10131"/>
      <c r="JZ36" s="10131" t="s">
        <v>301</v>
      </c>
      <c r="KA36" s="10131"/>
      <c r="KB36" s="10131"/>
      <c r="KC36" s="10131"/>
      <c r="KD36" s="10131"/>
      <c r="KE36" s="10131"/>
      <c r="KF36" s="10131"/>
      <c r="KG36" s="10131"/>
      <c r="KH36" s="10131"/>
      <c r="KI36" s="10131"/>
      <c r="KJ36" s="10131"/>
      <c r="KK36" s="10131" t="s">
        <v>301</v>
      </c>
      <c r="KL36" s="10131"/>
      <c r="KM36" s="10131"/>
      <c r="KN36" s="10131"/>
      <c r="KO36" s="10131"/>
      <c r="KP36" s="10131"/>
      <c r="KQ36" s="10131"/>
      <c r="KR36" s="10131"/>
      <c r="KS36" s="10131"/>
      <c r="KT36" s="10131"/>
      <c r="KU36" s="10131"/>
      <c r="KV36" s="15061" t="s">
        <v>301</v>
      </c>
      <c r="KW36" s="15061"/>
      <c r="KX36" s="15061"/>
      <c r="KY36" s="15061"/>
      <c r="KZ36" s="15061"/>
      <c r="LA36" s="15061"/>
      <c r="LB36" s="15061"/>
      <c r="LC36" s="15061"/>
      <c r="LD36" s="15061"/>
      <c r="LE36" s="15061"/>
      <c r="LF36" s="15061"/>
      <c r="LG36" s="15061" t="s">
        <v>301</v>
      </c>
      <c r="LH36" s="15061"/>
      <c r="LI36" s="15061"/>
      <c r="LJ36" s="15061"/>
      <c r="LK36" s="15061"/>
      <c r="LL36" s="15061"/>
      <c r="LM36" s="15061"/>
      <c r="LN36" s="15061"/>
      <c r="LO36" s="15061"/>
      <c r="LP36" s="15061"/>
      <c r="LQ36" s="15061"/>
      <c r="LR36" s="15061" t="s">
        <v>301</v>
      </c>
      <c r="LS36" s="15061"/>
      <c r="LT36" s="15061"/>
      <c r="LU36" s="15061"/>
      <c r="LV36" s="15061"/>
      <c r="LW36" s="15061"/>
      <c r="LX36" s="15061"/>
      <c r="LY36" s="15061"/>
      <c r="LZ36" s="15061"/>
      <c r="MA36" s="15061"/>
      <c r="MB36" s="15061"/>
      <c r="MC36" s="15061" t="s">
        <v>301</v>
      </c>
      <c r="MD36" s="15061"/>
      <c r="ME36" s="15061"/>
      <c r="MF36" s="15061"/>
      <c r="MG36" s="15061"/>
      <c r="MH36" s="15061"/>
      <c r="MI36" s="15061"/>
      <c r="MJ36" s="15061"/>
      <c r="MK36" s="15061"/>
      <c r="ML36" s="15061"/>
      <c r="MM36" s="15061"/>
      <c r="MN36" s="15061" t="s">
        <v>301</v>
      </c>
      <c r="MO36" s="15061"/>
      <c r="MP36" s="15061"/>
      <c r="MQ36" s="15061"/>
      <c r="MR36" s="15061"/>
      <c r="MS36" s="15061"/>
      <c r="MT36" s="15061"/>
      <c r="MU36" s="15061"/>
      <c r="MV36" s="15061"/>
      <c r="MW36" s="15061"/>
      <c r="MX36" s="15061"/>
      <c r="MY36" s="15061" t="s">
        <v>301</v>
      </c>
      <c r="MZ36" s="15061"/>
      <c r="NA36" s="15061"/>
      <c r="NB36" s="15061"/>
      <c r="NC36" s="15061"/>
      <c r="ND36" s="15061"/>
      <c r="NE36" s="15061"/>
      <c r="NF36" s="15061"/>
      <c r="NG36" s="15061"/>
      <c r="NH36" s="15061"/>
      <c r="NI36" s="15061"/>
      <c r="NJ36" s="15061" t="s">
        <v>301</v>
      </c>
      <c r="NK36" s="15061"/>
      <c r="NL36" s="15061"/>
      <c r="NM36" s="15061"/>
      <c r="NN36" s="15061"/>
      <c r="NO36" s="15061"/>
      <c r="NP36" s="15061"/>
      <c r="NQ36" s="15061"/>
      <c r="NR36" s="15061"/>
      <c r="NS36" s="15061"/>
      <c r="NT36" s="15061"/>
      <c r="NU36" s="15061" t="s">
        <v>301</v>
      </c>
      <c r="NV36" s="15061"/>
      <c r="NW36" s="15061"/>
      <c r="NX36" s="15061"/>
      <c r="NY36" s="15061"/>
      <c r="NZ36" s="15061"/>
      <c r="OA36" s="15061"/>
      <c r="OB36" s="15061"/>
      <c r="OC36" s="15061"/>
      <c r="OD36" s="15061"/>
      <c r="OE36" s="15061"/>
      <c r="OF36" s="15061" t="s">
        <v>301</v>
      </c>
      <c r="OG36" s="15061"/>
      <c r="OH36" s="15061"/>
      <c r="OI36" s="15061"/>
      <c r="OJ36" s="15061"/>
      <c r="OK36" s="15061"/>
      <c r="OL36" s="15061"/>
      <c r="OM36" s="15061"/>
      <c r="ON36" s="15061"/>
      <c r="OO36" s="15061"/>
      <c r="OP36" s="15061"/>
      <c r="OQ36" s="2254"/>
      <c r="OR36" s="2254"/>
    </row>
    <row customHeight="1" ht="14.25">
      <c r="Q37" s="599"/>
      <c r="R37" s="599"/>
      <c r="S37" s="2407" t="s">
        <v>87</v>
      </c>
      <c r="T37" s="2344" t="s">
        <v>427</v>
      </c>
      <c r="U37" s="524"/>
      <c r="V37" s="2408" t="s">
        <v>428</v>
      </c>
      <c r="W37" s="2430"/>
      <c r="X37" s="2430"/>
      <c r="Y37" s="2430"/>
      <c r="Z37" s="2430"/>
      <c r="AA37" s="2430"/>
      <c r="AB37" s="2430"/>
      <c r="AC37" s="2409"/>
      <c r="AD37" s="2409"/>
      <c r="AE37" s="2410"/>
      <c r="AF37" s="2411" t="s">
        <v>429</v>
      </c>
      <c r="AG37" s="2408" t="s">
        <v>428</v>
      </c>
      <c r="AH37" s="2409"/>
      <c r="AI37" s="2409"/>
      <c r="AJ37" s="2409"/>
      <c r="AK37" s="2409"/>
      <c r="AL37" s="2409"/>
      <c r="AM37" s="2409"/>
      <c r="AN37" s="2409"/>
      <c r="AO37" s="2409"/>
      <c r="AP37" s="2410"/>
      <c r="AQ37" s="2411" t="s">
        <v>430</v>
      </c>
      <c r="AR37" s="6516" t="s">
        <v>428</v>
      </c>
      <c r="AS37" s="6517"/>
      <c r="AT37" s="6517"/>
      <c r="AU37" s="6517"/>
      <c r="AV37" s="6517"/>
      <c r="AW37" s="6517"/>
      <c r="AX37" s="6517"/>
      <c r="AY37" s="6518"/>
      <c r="AZ37" s="6518"/>
      <c r="BA37" s="6519"/>
      <c r="BB37" s="6520" t="s">
        <v>429</v>
      </c>
      <c r="BC37" s="6516" t="s">
        <v>428</v>
      </c>
      <c r="BD37" s="6517"/>
      <c r="BE37" s="6517"/>
      <c r="BF37" s="6517"/>
      <c r="BG37" s="6517"/>
      <c r="BH37" s="6517"/>
      <c r="BI37" s="6517"/>
      <c r="BJ37" s="6518"/>
      <c r="BK37" s="6518"/>
      <c r="BL37" s="6519"/>
      <c r="BM37" s="6520" t="s">
        <v>429</v>
      </c>
      <c r="BN37" s="10137" t="s">
        <v>428</v>
      </c>
      <c r="BO37" s="10138"/>
      <c r="BP37" s="10138"/>
      <c r="BQ37" s="10138"/>
      <c r="BR37" s="10138"/>
      <c r="BS37" s="10138"/>
      <c r="BT37" s="10138"/>
      <c r="BU37" s="10139"/>
      <c r="BV37" s="10139"/>
      <c r="BW37" s="10140"/>
      <c r="BX37" s="10141" t="s">
        <v>429</v>
      </c>
      <c r="BY37" s="10137" t="s">
        <v>428</v>
      </c>
      <c r="BZ37" s="10138"/>
      <c r="CA37" s="10138"/>
      <c r="CB37" s="10138"/>
      <c r="CC37" s="10138"/>
      <c r="CD37" s="10138"/>
      <c r="CE37" s="10138"/>
      <c r="CF37" s="10139"/>
      <c r="CG37" s="10139"/>
      <c r="CH37" s="10140"/>
      <c r="CI37" s="10141" t="s">
        <v>429</v>
      </c>
      <c r="CJ37" s="10137" t="s">
        <v>428</v>
      </c>
      <c r="CK37" s="10138"/>
      <c r="CL37" s="10138"/>
      <c r="CM37" s="10138"/>
      <c r="CN37" s="10138"/>
      <c r="CO37" s="10138"/>
      <c r="CP37" s="10138"/>
      <c r="CQ37" s="10139"/>
      <c r="CR37" s="10139"/>
      <c r="CS37" s="10140"/>
      <c r="CT37" s="10141" t="s">
        <v>429</v>
      </c>
      <c r="CU37" s="10137" t="s">
        <v>428</v>
      </c>
      <c r="CV37" s="10138"/>
      <c r="CW37" s="10138"/>
      <c r="CX37" s="10138"/>
      <c r="CY37" s="10138"/>
      <c r="CZ37" s="10138"/>
      <c r="DA37" s="10138"/>
      <c r="DB37" s="10139"/>
      <c r="DC37" s="10139"/>
      <c r="DD37" s="10140"/>
      <c r="DE37" s="10141" t="s">
        <v>429</v>
      </c>
      <c r="DF37" s="10137" t="s">
        <v>428</v>
      </c>
      <c r="DG37" s="10138"/>
      <c r="DH37" s="10138"/>
      <c r="DI37" s="10138"/>
      <c r="DJ37" s="10138"/>
      <c r="DK37" s="10138"/>
      <c r="DL37" s="10138"/>
      <c r="DM37" s="10139"/>
      <c r="DN37" s="10139"/>
      <c r="DO37" s="10140"/>
      <c r="DP37" s="10141" t="s">
        <v>429</v>
      </c>
      <c r="DQ37" s="10137" t="s">
        <v>428</v>
      </c>
      <c r="DR37" s="10138"/>
      <c r="DS37" s="10138"/>
      <c r="DT37" s="10138"/>
      <c r="DU37" s="10138"/>
      <c r="DV37" s="10138"/>
      <c r="DW37" s="10138"/>
      <c r="DX37" s="10139"/>
      <c r="DY37" s="10139"/>
      <c r="DZ37" s="10140"/>
      <c r="EA37" s="10141" t="s">
        <v>429</v>
      </c>
      <c r="EB37" s="10137" t="s">
        <v>428</v>
      </c>
      <c r="EC37" s="10138"/>
      <c r="ED37" s="10138"/>
      <c r="EE37" s="10138"/>
      <c r="EF37" s="10138"/>
      <c r="EG37" s="10138"/>
      <c r="EH37" s="10138"/>
      <c r="EI37" s="10139"/>
      <c r="EJ37" s="10139"/>
      <c r="EK37" s="10140"/>
      <c r="EL37" s="10141" t="s">
        <v>429</v>
      </c>
      <c r="EM37" s="10137" t="s">
        <v>428</v>
      </c>
      <c r="EN37" s="10138"/>
      <c r="EO37" s="10138"/>
      <c r="EP37" s="10138"/>
      <c r="EQ37" s="10138"/>
      <c r="ER37" s="10138"/>
      <c r="ES37" s="10138"/>
      <c r="ET37" s="10139"/>
      <c r="EU37" s="10139"/>
      <c r="EV37" s="10140"/>
      <c r="EW37" s="10141" t="s">
        <v>429</v>
      </c>
      <c r="EX37" s="10137" t="s">
        <v>428</v>
      </c>
      <c r="EY37" s="10138"/>
      <c r="EZ37" s="10138"/>
      <c r="FA37" s="10138"/>
      <c r="FB37" s="10138"/>
      <c r="FC37" s="10138"/>
      <c r="FD37" s="10138"/>
      <c r="FE37" s="10139"/>
      <c r="FF37" s="10139"/>
      <c r="FG37" s="10140"/>
      <c r="FH37" s="10141" t="s">
        <v>429</v>
      </c>
      <c r="FI37" s="10137" t="s">
        <v>428</v>
      </c>
      <c r="FJ37" s="10138"/>
      <c r="FK37" s="10138"/>
      <c r="FL37" s="10138"/>
      <c r="FM37" s="10138"/>
      <c r="FN37" s="10138"/>
      <c r="FO37" s="10138"/>
      <c r="FP37" s="10139"/>
      <c r="FQ37" s="10139"/>
      <c r="FR37" s="10140"/>
      <c r="FS37" s="10141" t="s">
        <v>429</v>
      </c>
      <c r="FT37" s="10137" t="s">
        <v>428</v>
      </c>
      <c r="FU37" s="10138"/>
      <c r="FV37" s="10138"/>
      <c r="FW37" s="10138"/>
      <c r="FX37" s="10138"/>
      <c r="FY37" s="10138"/>
      <c r="FZ37" s="10138"/>
      <c r="GA37" s="10139"/>
      <c r="GB37" s="10139"/>
      <c r="GC37" s="10140"/>
      <c r="GD37" s="10141" t="s">
        <v>429</v>
      </c>
      <c r="GE37" s="10137" t="s">
        <v>428</v>
      </c>
      <c r="GF37" s="10138"/>
      <c r="GG37" s="10138"/>
      <c r="GH37" s="10138"/>
      <c r="GI37" s="10138"/>
      <c r="GJ37" s="10138"/>
      <c r="GK37" s="10138"/>
      <c r="GL37" s="10139"/>
      <c r="GM37" s="10139"/>
      <c r="GN37" s="10140"/>
      <c r="GO37" s="10141" t="s">
        <v>429</v>
      </c>
      <c r="GP37" s="10137" t="s">
        <v>428</v>
      </c>
      <c r="GQ37" s="10138"/>
      <c r="GR37" s="10138"/>
      <c r="GS37" s="10138"/>
      <c r="GT37" s="10138"/>
      <c r="GU37" s="10138"/>
      <c r="GV37" s="10138"/>
      <c r="GW37" s="10139"/>
      <c r="GX37" s="10139"/>
      <c r="GY37" s="10140"/>
      <c r="GZ37" s="10141" t="s">
        <v>429</v>
      </c>
      <c r="HA37" s="10137" t="s">
        <v>428</v>
      </c>
      <c r="HB37" s="10138"/>
      <c r="HC37" s="10138"/>
      <c r="HD37" s="10138"/>
      <c r="HE37" s="10138"/>
      <c r="HF37" s="10138"/>
      <c r="HG37" s="10138"/>
      <c r="HH37" s="10139"/>
      <c r="HI37" s="10139"/>
      <c r="HJ37" s="10140"/>
      <c r="HK37" s="10141" t="s">
        <v>429</v>
      </c>
      <c r="HL37" s="10137" t="s">
        <v>428</v>
      </c>
      <c r="HM37" s="10138"/>
      <c r="HN37" s="10138"/>
      <c r="HO37" s="10138"/>
      <c r="HP37" s="10138"/>
      <c r="HQ37" s="10138"/>
      <c r="HR37" s="10138"/>
      <c r="HS37" s="10139"/>
      <c r="HT37" s="10139"/>
      <c r="HU37" s="10140"/>
      <c r="HV37" s="10141" t="s">
        <v>429</v>
      </c>
      <c r="HW37" s="10137" t="s">
        <v>428</v>
      </c>
      <c r="HX37" s="10138"/>
      <c r="HY37" s="10138"/>
      <c r="HZ37" s="10138"/>
      <c r="IA37" s="10138"/>
      <c r="IB37" s="10138"/>
      <c r="IC37" s="10138"/>
      <c r="ID37" s="10139"/>
      <c r="IE37" s="10139"/>
      <c r="IF37" s="10140"/>
      <c r="IG37" s="10141" t="s">
        <v>429</v>
      </c>
      <c r="IH37" s="10137" t="s">
        <v>428</v>
      </c>
      <c r="II37" s="10138"/>
      <c r="IJ37" s="10138"/>
      <c r="IK37" s="10138"/>
      <c r="IL37" s="10138"/>
      <c r="IM37" s="10138"/>
      <c r="IN37" s="10138"/>
      <c r="IO37" s="10139"/>
      <c r="IP37" s="10139"/>
      <c r="IQ37" s="10140"/>
      <c r="IR37" s="10141" t="s">
        <v>429</v>
      </c>
      <c r="IS37" s="10137" t="s">
        <v>428</v>
      </c>
      <c r="IT37" s="10138"/>
      <c r="IU37" s="10138"/>
      <c r="IV37" s="10138"/>
      <c r="IW37" s="10138"/>
      <c r="IX37" s="10138"/>
      <c r="IY37" s="10138"/>
      <c r="IZ37" s="10139"/>
      <c r="JA37" s="10139"/>
      <c r="JB37" s="10140"/>
      <c r="JC37" s="10141" t="s">
        <v>429</v>
      </c>
      <c r="JD37" s="10137" t="s">
        <v>428</v>
      </c>
      <c r="JE37" s="10138"/>
      <c r="JF37" s="10138"/>
      <c r="JG37" s="10138"/>
      <c r="JH37" s="10138"/>
      <c r="JI37" s="10138"/>
      <c r="JJ37" s="10138"/>
      <c r="JK37" s="10139"/>
      <c r="JL37" s="10139"/>
      <c r="JM37" s="10140"/>
      <c r="JN37" s="10141" t="s">
        <v>429</v>
      </c>
      <c r="JO37" s="10137" t="s">
        <v>428</v>
      </c>
      <c r="JP37" s="10138"/>
      <c r="JQ37" s="10138"/>
      <c r="JR37" s="10138"/>
      <c r="JS37" s="10138"/>
      <c r="JT37" s="10138"/>
      <c r="JU37" s="10138"/>
      <c r="JV37" s="10139"/>
      <c r="JW37" s="10139"/>
      <c r="JX37" s="10140"/>
      <c r="JY37" s="10141" t="s">
        <v>429</v>
      </c>
      <c r="JZ37" s="10137" t="s">
        <v>428</v>
      </c>
      <c r="KA37" s="10138"/>
      <c r="KB37" s="10138"/>
      <c r="KC37" s="10138"/>
      <c r="KD37" s="10138"/>
      <c r="KE37" s="10138"/>
      <c r="KF37" s="10138"/>
      <c r="KG37" s="10139"/>
      <c r="KH37" s="10139"/>
      <c r="KI37" s="10140"/>
      <c r="KJ37" s="10141" t="s">
        <v>429</v>
      </c>
      <c r="KK37" s="10137" t="s">
        <v>428</v>
      </c>
      <c r="KL37" s="10138"/>
      <c r="KM37" s="10138"/>
      <c r="KN37" s="10138"/>
      <c r="KO37" s="10138"/>
      <c r="KP37" s="10138"/>
      <c r="KQ37" s="10138"/>
      <c r="KR37" s="10139"/>
      <c r="KS37" s="10139"/>
      <c r="KT37" s="10140"/>
      <c r="KU37" s="10141" t="s">
        <v>429</v>
      </c>
      <c r="KV37" s="15072" t="s">
        <v>428</v>
      </c>
      <c r="KW37" s="15073"/>
      <c r="KX37" s="15073"/>
      <c r="KY37" s="15073"/>
      <c r="KZ37" s="15073"/>
      <c r="LA37" s="15073"/>
      <c r="LB37" s="15073"/>
      <c r="LC37" s="15074"/>
      <c r="LD37" s="15074"/>
      <c r="LE37" s="15075"/>
      <c r="LF37" s="15076" t="s">
        <v>429</v>
      </c>
      <c r="LG37" s="15072" t="s">
        <v>428</v>
      </c>
      <c r="LH37" s="15073"/>
      <c r="LI37" s="15073"/>
      <c r="LJ37" s="15073"/>
      <c r="LK37" s="15073"/>
      <c r="LL37" s="15073"/>
      <c r="LM37" s="15073"/>
      <c r="LN37" s="15074"/>
      <c r="LO37" s="15074"/>
      <c r="LP37" s="15075"/>
      <c r="LQ37" s="15076" t="s">
        <v>429</v>
      </c>
      <c r="LR37" s="15072" t="s">
        <v>428</v>
      </c>
      <c r="LS37" s="15073"/>
      <c r="LT37" s="15073"/>
      <c r="LU37" s="15073"/>
      <c r="LV37" s="15073"/>
      <c r="LW37" s="15073"/>
      <c r="LX37" s="15073"/>
      <c r="LY37" s="15074"/>
      <c r="LZ37" s="15074"/>
      <c r="MA37" s="15075"/>
      <c r="MB37" s="15076" t="s">
        <v>429</v>
      </c>
      <c r="MC37" s="15072" t="s">
        <v>428</v>
      </c>
      <c r="MD37" s="15073"/>
      <c r="ME37" s="15073"/>
      <c r="MF37" s="15073"/>
      <c r="MG37" s="15073"/>
      <c r="MH37" s="15073"/>
      <c r="MI37" s="15073"/>
      <c r="MJ37" s="15074"/>
      <c r="MK37" s="15074"/>
      <c r="ML37" s="15075"/>
      <c r="MM37" s="15076" t="s">
        <v>429</v>
      </c>
      <c r="MN37" s="15072" t="s">
        <v>428</v>
      </c>
      <c r="MO37" s="15073"/>
      <c r="MP37" s="15073"/>
      <c r="MQ37" s="15073"/>
      <c r="MR37" s="15073"/>
      <c r="MS37" s="15073"/>
      <c r="MT37" s="15073"/>
      <c r="MU37" s="15074"/>
      <c r="MV37" s="15074"/>
      <c r="MW37" s="15075"/>
      <c r="MX37" s="15076" t="s">
        <v>429</v>
      </c>
      <c r="MY37" s="15072" t="s">
        <v>428</v>
      </c>
      <c r="MZ37" s="15073"/>
      <c r="NA37" s="15073"/>
      <c r="NB37" s="15073"/>
      <c r="NC37" s="15073"/>
      <c r="ND37" s="15073"/>
      <c r="NE37" s="15073"/>
      <c r="NF37" s="15074"/>
      <c r="NG37" s="15074"/>
      <c r="NH37" s="15075"/>
      <c r="NI37" s="15076" t="s">
        <v>429</v>
      </c>
      <c r="NJ37" s="15072" t="s">
        <v>428</v>
      </c>
      <c r="NK37" s="15073"/>
      <c r="NL37" s="15073"/>
      <c r="NM37" s="15073"/>
      <c r="NN37" s="15073"/>
      <c r="NO37" s="15073"/>
      <c r="NP37" s="15073"/>
      <c r="NQ37" s="15074"/>
      <c r="NR37" s="15074"/>
      <c r="NS37" s="15075"/>
      <c r="NT37" s="15076" t="s">
        <v>429</v>
      </c>
      <c r="NU37" s="15072" t="s">
        <v>428</v>
      </c>
      <c r="NV37" s="15073"/>
      <c r="NW37" s="15073"/>
      <c r="NX37" s="15073"/>
      <c r="NY37" s="15073"/>
      <c r="NZ37" s="15073"/>
      <c r="OA37" s="15073"/>
      <c r="OB37" s="15074"/>
      <c r="OC37" s="15074"/>
      <c r="OD37" s="15075"/>
      <c r="OE37" s="15076" t="s">
        <v>429</v>
      </c>
      <c r="OF37" s="15072" t="s">
        <v>428</v>
      </c>
      <c r="OG37" s="15073"/>
      <c r="OH37" s="15073"/>
      <c r="OI37" s="15073"/>
      <c r="OJ37" s="15073"/>
      <c r="OK37" s="15073"/>
      <c r="OL37" s="15073"/>
      <c r="OM37" s="15074"/>
      <c r="ON37" s="15074"/>
      <c r="OO37" s="15075"/>
      <c r="OP37" s="15076" t="s">
        <v>429</v>
      </c>
      <c r="OQ37" s="2414" t="s">
        <v>431</v>
      </c>
      <c r="OR37" s="2254"/>
    </row>
    <row customHeight="1" ht="18.75">
      <c r="Q38" s="599"/>
      <c r="R38" s="599"/>
      <c r="S38" s="2407"/>
      <c r="T38" s="2344"/>
      <c r="U38" s="1255"/>
      <c r="V38" s="2494" t="s">
        <v>532</v>
      </c>
      <c r="W38" s="2493" t="s">
        <v>533</v>
      </c>
      <c r="X38" s="2493"/>
      <c r="Y38" s="2493"/>
      <c r="Z38" s="2493" t="s">
        <v>534</v>
      </c>
      <c r="AA38" s="2493"/>
      <c r="AB38" s="2493"/>
      <c r="AC38" s="2428" t="s">
        <v>435</v>
      </c>
      <c r="AD38" s="2446"/>
      <c r="AE38" s="2447"/>
      <c r="AF38" s="2412"/>
      <c r="AG38" s="2494" t="s">
        <v>532</v>
      </c>
      <c r="AH38" s="2493" t="s">
        <v>533</v>
      </c>
      <c r="AI38" s="2493"/>
      <c r="AJ38" s="2493"/>
      <c r="AK38" s="2493" t="s">
        <v>534</v>
      </c>
      <c r="AL38" s="2493"/>
      <c r="AM38" s="2493"/>
      <c r="AN38" s="2428" t="s">
        <v>435</v>
      </c>
      <c r="AO38" s="2446"/>
      <c r="AP38" s="2447"/>
      <c r="AQ38" s="2412"/>
      <c r="AR38" s="6515" t="s">
        <v>532</v>
      </c>
      <c r="AS38" s="6523" t="s">
        <v>533</v>
      </c>
      <c r="AT38" s="6523"/>
      <c r="AU38" s="6523"/>
      <c r="AV38" s="6523" t="s">
        <v>534</v>
      </c>
      <c r="AW38" s="6523"/>
      <c r="AX38" s="6523"/>
      <c r="AY38" s="6524" t="s">
        <v>435</v>
      </c>
      <c r="AZ38" s="6525"/>
      <c r="BA38" s="6526"/>
      <c r="BB38" s="6527"/>
      <c r="BC38" s="6515" t="s">
        <v>532</v>
      </c>
      <c r="BD38" s="6523" t="s">
        <v>533</v>
      </c>
      <c r="BE38" s="6523"/>
      <c r="BF38" s="6523"/>
      <c r="BG38" s="6523" t="s">
        <v>534</v>
      </c>
      <c r="BH38" s="6523"/>
      <c r="BI38" s="6523"/>
      <c r="BJ38" s="6524" t="s">
        <v>435</v>
      </c>
      <c r="BK38" s="6525"/>
      <c r="BL38" s="6526"/>
      <c r="BM38" s="6527"/>
      <c r="BN38" s="10131" t="s">
        <v>532</v>
      </c>
      <c r="BO38" s="10149" t="s">
        <v>533</v>
      </c>
      <c r="BP38" s="10149"/>
      <c r="BQ38" s="10149"/>
      <c r="BR38" s="10149" t="s">
        <v>534</v>
      </c>
      <c r="BS38" s="10149"/>
      <c r="BT38" s="10149"/>
      <c r="BU38" s="10150" t="s">
        <v>435</v>
      </c>
      <c r="BV38" s="10151"/>
      <c r="BW38" s="10152"/>
      <c r="BX38" s="10153"/>
      <c r="BY38" s="10131" t="s">
        <v>532</v>
      </c>
      <c r="BZ38" s="10149" t="s">
        <v>533</v>
      </c>
      <c r="CA38" s="10149"/>
      <c r="CB38" s="10149"/>
      <c r="CC38" s="10149" t="s">
        <v>534</v>
      </c>
      <c r="CD38" s="10149"/>
      <c r="CE38" s="10149"/>
      <c r="CF38" s="10150" t="s">
        <v>435</v>
      </c>
      <c r="CG38" s="10151"/>
      <c r="CH38" s="10152"/>
      <c r="CI38" s="10153"/>
      <c r="CJ38" s="10131" t="s">
        <v>532</v>
      </c>
      <c r="CK38" s="10149" t="s">
        <v>533</v>
      </c>
      <c r="CL38" s="10149"/>
      <c r="CM38" s="10149"/>
      <c r="CN38" s="10149" t="s">
        <v>534</v>
      </c>
      <c r="CO38" s="10149"/>
      <c r="CP38" s="10149"/>
      <c r="CQ38" s="10150" t="s">
        <v>435</v>
      </c>
      <c r="CR38" s="10151"/>
      <c r="CS38" s="10152"/>
      <c r="CT38" s="10153"/>
      <c r="CU38" s="10131" t="s">
        <v>532</v>
      </c>
      <c r="CV38" s="10149" t="s">
        <v>533</v>
      </c>
      <c r="CW38" s="10149"/>
      <c r="CX38" s="10149"/>
      <c r="CY38" s="10149" t="s">
        <v>534</v>
      </c>
      <c r="CZ38" s="10149"/>
      <c r="DA38" s="10149"/>
      <c r="DB38" s="10150" t="s">
        <v>435</v>
      </c>
      <c r="DC38" s="10151"/>
      <c r="DD38" s="10152"/>
      <c r="DE38" s="10153"/>
      <c r="DF38" s="10131" t="s">
        <v>532</v>
      </c>
      <c r="DG38" s="10149" t="s">
        <v>533</v>
      </c>
      <c r="DH38" s="10149"/>
      <c r="DI38" s="10149"/>
      <c r="DJ38" s="10149" t="s">
        <v>534</v>
      </c>
      <c r="DK38" s="10149"/>
      <c r="DL38" s="10149"/>
      <c r="DM38" s="10150" t="s">
        <v>435</v>
      </c>
      <c r="DN38" s="10151"/>
      <c r="DO38" s="10152"/>
      <c r="DP38" s="10153"/>
      <c r="DQ38" s="10131" t="s">
        <v>532</v>
      </c>
      <c r="DR38" s="10149" t="s">
        <v>533</v>
      </c>
      <c r="DS38" s="10149"/>
      <c r="DT38" s="10149"/>
      <c r="DU38" s="10149" t="s">
        <v>534</v>
      </c>
      <c r="DV38" s="10149"/>
      <c r="DW38" s="10149"/>
      <c r="DX38" s="10150" t="s">
        <v>435</v>
      </c>
      <c r="DY38" s="10151"/>
      <c r="DZ38" s="10152"/>
      <c r="EA38" s="10153"/>
      <c r="EB38" s="10131" t="s">
        <v>532</v>
      </c>
      <c r="EC38" s="10149" t="s">
        <v>533</v>
      </c>
      <c r="ED38" s="10149"/>
      <c r="EE38" s="10149"/>
      <c r="EF38" s="10149" t="s">
        <v>534</v>
      </c>
      <c r="EG38" s="10149"/>
      <c r="EH38" s="10149"/>
      <c r="EI38" s="10150" t="s">
        <v>435</v>
      </c>
      <c r="EJ38" s="10151"/>
      <c r="EK38" s="10152"/>
      <c r="EL38" s="10153"/>
      <c r="EM38" s="10131" t="s">
        <v>532</v>
      </c>
      <c r="EN38" s="10149" t="s">
        <v>533</v>
      </c>
      <c r="EO38" s="10149"/>
      <c r="EP38" s="10149"/>
      <c r="EQ38" s="10149" t="s">
        <v>534</v>
      </c>
      <c r="ER38" s="10149"/>
      <c r="ES38" s="10149"/>
      <c r="ET38" s="10150" t="s">
        <v>435</v>
      </c>
      <c r="EU38" s="10151"/>
      <c r="EV38" s="10152"/>
      <c r="EW38" s="10153"/>
      <c r="EX38" s="10131" t="s">
        <v>532</v>
      </c>
      <c r="EY38" s="10149" t="s">
        <v>533</v>
      </c>
      <c r="EZ38" s="10149"/>
      <c r="FA38" s="10149"/>
      <c r="FB38" s="10149" t="s">
        <v>534</v>
      </c>
      <c r="FC38" s="10149"/>
      <c r="FD38" s="10149"/>
      <c r="FE38" s="10150" t="s">
        <v>435</v>
      </c>
      <c r="FF38" s="10151"/>
      <c r="FG38" s="10152"/>
      <c r="FH38" s="10153"/>
      <c r="FI38" s="10131" t="s">
        <v>532</v>
      </c>
      <c r="FJ38" s="10149" t="s">
        <v>533</v>
      </c>
      <c r="FK38" s="10149"/>
      <c r="FL38" s="10149"/>
      <c r="FM38" s="10149" t="s">
        <v>534</v>
      </c>
      <c r="FN38" s="10149"/>
      <c r="FO38" s="10149"/>
      <c r="FP38" s="10150" t="s">
        <v>435</v>
      </c>
      <c r="FQ38" s="10151"/>
      <c r="FR38" s="10152"/>
      <c r="FS38" s="10153"/>
      <c r="FT38" s="10131" t="s">
        <v>532</v>
      </c>
      <c r="FU38" s="10149" t="s">
        <v>533</v>
      </c>
      <c r="FV38" s="10149"/>
      <c r="FW38" s="10149"/>
      <c r="FX38" s="10149" t="s">
        <v>534</v>
      </c>
      <c r="FY38" s="10149"/>
      <c r="FZ38" s="10149"/>
      <c r="GA38" s="10150" t="s">
        <v>435</v>
      </c>
      <c r="GB38" s="10151"/>
      <c r="GC38" s="10152"/>
      <c r="GD38" s="10153"/>
      <c r="GE38" s="10131" t="s">
        <v>532</v>
      </c>
      <c r="GF38" s="10149" t="s">
        <v>533</v>
      </c>
      <c r="GG38" s="10149"/>
      <c r="GH38" s="10149"/>
      <c r="GI38" s="10149" t="s">
        <v>534</v>
      </c>
      <c r="GJ38" s="10149"/>
      <c r="GK38" s="10149"/>
      <c r="GL38" s="10150" t="s">
        <v>435</v>
      </c>
      <c r="GM38" s="10151"/>
      <c r="GN38" s="10152"/>
      <c r="GO38" s="10153"/>
      <c r="GP38" s="10131" t="s">
        <v>532</v>
      </c>
      <c r="GQ38" s="10149" t="s">
        <v>533</v>
      </c>
      <c r="GR38" s="10149"/>
      <c r="GS38" s="10149"/>
      <c r="GT38" s="10149" t="s">
        <v>534</v>
      </c>
      <c r="GU38" s="10149"/>
      <c r="GV38" s="10149"/>
      <c r="GW38" s="10150" t="s">
        <v>435</v>
      </c>
      <c r="GX38" s="10151"/>
      <c r="GY38" s="10152"/>
      <c r="GZ38" s="10153"/>
      <c r="HA38" s="10131" t="s">
        <v>532</v>
      </c>
      <c r="HB38" s="10149" t="s">
        <v>533</v>
      </c>
      <c r="HC38" s="10149"/>
      <c r="HD38" s="10149"/>
      <c r="HE38" s="10149" t="s">
        <v>534</v>
      </c>
      <c r="HF38" s="10149"/>
      <c r="HG38" s="10149"/>
      <c r="HH38" s="10150" t="s">
        <v>435</v>
      </c>
      <c r="HI38" s="10151"/>
      <c r="HJ38" s="10152"/>
      <c r="HK38" s="10153"/>
      <c r="HL38" s="10131" t="s">
        <v>532</v>
      </c>
      <c r="HM38" s="10149" t="s">
        <v>533</v>
      </c>
      <c r="HN38" s="10149"/>
      <c r="HO38" s="10149"/>
      <c r="HP38" s="10149" t="s">
        <v>534</v>
      </c>
      <c r="HQ38" s="10149"/>
      <c r="HR38" s="10149"/>
      <c r="HS38" s="10150" t="s">
        <v>435</v>
      </c>
      <c r="HT38" s="10151"/>
      <c r="HU38" s="10152"/>
      <c r="HV38" s="10153"/>
      <c r="HW38" s="10131" t="s">
        <v>532</v>
      </c>
      <c r="HX38" s="10149" t="s">
        <v>533</v>
      </c>
      <c r="HY38" s="10149"/>
      <c r="HZ38" s="10149"/>
      <c r="IA38" s="10149" t="s">
        <v>534</v>
      </c>
      <c r="IB38" s="10149"/>
      <c r="IC38" s="10149"/>
      <c r="ID38" s="10150" t="s">
        <v>435</v>
      </c>
      <c r="IE38" s="10151"/>
      <c r="IF38" s="10152"/>
      <c r="IG38" s="10153"/>
      <c r="IH38" s="10131" t="s">
        <v>532</v>
      </c>
      <c r="II38" s="10149" t="s">
        <v>533</v>
      </c>
      <c r="IJ38" s="10149"/>
      <c r="IK38" s="10149"/>
      <c r="IL38" s="10149" t="s">
        <v>534</v>
      </c>
      <c r="IM38" s="10149"/>
      <c r="IN38" s="10149"/>
      <c r="IO38" s="10150" t="s">
        <v>435</v>
      </c>
      <c r="IP38" s="10151"/>
      <c r="IQ38" s="10152"/>
      <c r="IR38" s="10153"/>
      <c r="IS38" s="10131" t="s">
        <v>532</v>
      </c>
      <c r="IT38" s="10149" t="s">
        <v>533</v>
      </c>
      <c r="IU38" s="10149"/>
      <c r="IV38" s="10149"/>
      <c r="IW38" s="10149" t="s">
        <v>534</v>
      </c>
      <c r="IX38" s="10149"/>
      <c r="IY38" s="10149"/>
      <c r="IZ38" s="10150" t="s">
        <v>435</v>
      </c>
      <c r="JA38" s="10151"/>
      <c r="JB38" s="10152"/>
      <c r="JC38" s="10153"/>
      <c r="JD38" s="10131" t="s">
        <v>532</v>
      </c>
      <c r="JE38" s="10149" t="s">
        <v>533</v>
      </c>
      <c r="JF38" s="10149"/>
      <c r="JG38" s="10149"/>
      <c r="JH38" s="10149" t="s">
        <v>534</v>
      </c>
      <c r="JI38" s="10149"/>
      <c r="JJ38" s="10149"/>
      <c r="JK38" s="10150" t="s">
        <v>435</v>
      </c>
      <c r="JL38" s="10151"/>
      <c r="JM38" s="10152"/>
      <c r="JN38" s="10153"/>
      <c r="JO38" s="10131" t="s">
        <v>532</v>
      </c>
      <c r="JP38" s="10149" t="s">
        <v>533</v>
      </c>
      <c r="JQ38" s="10149"/>
      <c r="JR38" s="10149"/>
      <c r="JS38" s="10149" t="s">
        <v>534</v>
      </c>
      <c r="JT38" s="10149"/>
      <c r="JU38" s="10149"/>
      <c r="JV38" s="10150" t="s">
        <v>435</v>
      </c>
      <c r="JW38" s="10151"/>
      <c r="JX38" s="10152"/>
      <c r="JY38" s="10153"/>
      <c r="JZ38" s="10131" t="s">
        <v>532</v>
      </c>
      <c r="KA38" s="10149" t="s">
        <v>533</v>
      </c>
      <c r="KB38" s="10149"/>
      <c r="KC38" s="10149"/>
      <c r="KD38" s="10149" t="s">
        <v>534</v>
      </c>
      <c r="KE38" s="10149"/>
      <c r="KF38" s="10149"/>
      <c r="KG38" s="10150" t="s">
        <v>435</v>
      </c>
      <c r="KH38" s="10151"/>
      <c r="KI38" s="10152"/>
      <c r="KJ38" s="10153"/>
      <c r="KK38" s="10131" t="s">
        <v>532</v>
      </c>
      <c r="KL38" s="10149" t="s">
        <v>533</v>
      </c>
      <c r="KM38" s="10149"/>
      <c r="KN38" s="10149"/>
      <c r="KO38" s="10149" t="s">
        <v>534</v>
      </c>
      <c r="KP38" s="10149"/>
      <c r="KQ38" s="10149"/>
      <c r="KR38" s="10150" t="s">
        <v>435</v>
      </c>
      <c r="KS38" s="10151"/>
      <c r="KT38" s="10152"/>
      <c r="KU38" s="10153"/>
      <c r="KV38" s="15061" t="s">
        <v>532</v>
      </c>
      <c r="KW38" s="15089" t="s">
        <v>533</v>
      </c>
      <c r="KX38" s="15089"/>
      <c r="KY38" s="15089"/>
      <c r="KZ38" s="15089" t="s">
        <v>534</v>
      </c>
      <c r="LA38" s="15089"/>
      <c r="LB38" s="15089"/>
      <c r="LC38" s="15090" t="s">
        <v>435</v>
      </c>
      <c r="LD38" s="15091"/>
      <c r="LE38" s="15092"/>
      <c r="LF38" s="15093"/>
      <c r="LG38" s="15061" t="s">
        <v>532</v>
      </c>
      <c r="LH38" s="15089" t="s">
        <v>533</v>
      </c>
      <c r="LI38" s="15089"/>
      <c r="LJ38" s="15089"/>
      <c r="LK38" s="15089" t="s">
        <v>534</v>
      </c>
      <c r="LL38" s="15089"/>
      <c r="LM38" s="15089"/>
      <c r="LN38" s="15090" t="s">
        <v>435</v>
      </c>
      <c r="LO38" s="15091"/>
      <c r="LP38" s="15092"/>
      <c r="LQ38" s="15093"/>
      <c r="LR38" s="15061" t="s">
        <v>532</v>
      </c>
      <c r="LS38" s="15089" t="s">
        <v>533</v>
      </c>
      <c r="LT38" s="15089"/>
      <c r="LU38" s="15089"/>
      <c r="LV38" s="15089" t="s">
        <v>534</v>
      </c>
      <c r="LW38" s="15089"/>
      <c r="LX38" s="15089"/>
      <c r="LY38" s="15090" t="s">
        <v>435</v>
      </c>
      <c r="LZ38" s="15091"/>
      <c r="MA38" s="15092"/>
      <c r="MB38" s="15093"/>
      <c r="MC38" s="15061" t="s">
        <v>532</v>
      </c>
      <c r="MD38" s="15089" t="s">
        <v>533</v>
      </c>
      <c r="ME38" s="15089"/>
      <c r="MF38" s="15089"/>
      <c r="MG38" s="15089" t="s">
        <v>534</v>
      </c>
      <c r="MH38" s="15089"/>
      <c r="MI38" s="15089"/>
      <c r="MJ38" s="15090" t="s">
        <v>435</v>
      </c>
      <c r="MK38" s="15091"/>
      <c r="ML38" s="15092"/>
      <c r="MM38" s="15093"/>
      <c r="MN38" s="15061" t="s">
        <v>532</v>
      </c>
      <c r="MO38" s="15089" t="s">
        <v>533</v>
      </c>
      <c r="MP38" s="15089"/>
      <c r="MQ38" s="15089"/>
      <c r="MR38" s="15089" t="s">
        <v>534</v>
      </c>
      <c r="MS38" s="15089"/>
      <c r="MT38" s="15089"/>
      <c r="MU38" s="15090" t="s">
        <v>435</v>
      </c>
      <c r="MV38" s="15091"/>
      <c r="MW38" s="15092"/>
      <c r="MX38" s="15093"/>
      <c r="MY38" s="15061" t="s">
        <v>532</v>
      </c>
      <c r="MZ38" s="15089" t="s">
        <v>533</v>
      </c>
      <c r="NA38" s="15089"/>
      <c r="NB38" s="15089"/>
      <c r="NC38" s="15089" t="s">
        <v>534</v>
      </c>
      <c r="ND38" s="15089"/>
      <c r="NE38" s="15089"/>
      <c r="NF38" s="15090" t="s">
        <v>435</v>
      </c>
      <c r="NG38" s="15091"/>
      <c r="NH38" s="15092"/>
      <c r="NI38" s="15093"/>
      <c r="NJ38" s="15061" t="s">
        <v>532</v>
      </c>
      <c r="NK38" s="15089" t="s">
        <v>533</v>
      </c>
      <c r="NL38" s="15089"/>
      <c r="NM38" s="15089"/>
      <c r="NN38" s="15089" t="s">
        <v>534</v>
      </c>
      <c r="NO38" s="15089"/>
      <c r="NP38" s="15089"/>
      <c r="NQ38" s="15090" t="s">
        <v>435</v>
      </c>
      <c r="NR38" s="15091"/>
      <c r="NS38" s="15092"/>
      <c r="NT38" s="15093"/>
      <c r="NU38" s="15061" t="s">
        <v>532</v>
      </c>
      <c r="NV38" s="15089" t="s">
        <v>533</v>
      </c>
      <c r="NW38" s="15089"/>
      <c r="NX38" s="15089"/>
      <c r="NY38" s="15089" t="s">
        <v>534</v>
      </c>
      <c r="NZ38" s="15089"/>
      <c r="OA38" s="15089"/>
      <c r="OB38" s="15090" t="s">
        <v>435</v>
      </c>
      <c r="OC38" s="15091"/>
      <c r="OD38" s="15092"/>
      <c r="OE38" s="15093"/>
      <c r="OF38" s="15061" t="s">
        <v>532</v>
      </c>
      <c r="OG38" s="15089" t="s">
        <v>533</v>
      </c>
      <c r="OH38" s="15089"/>
      <c r="OI38" s="15089"/>
      <c r="OJ38" s="15089" t="s">
        <v>534</v>
      </c>
      <c r="OK38" s="15089"/>
      <c r="OL38" s="15089"/>
      <c r="OM38" s="15090" t="s">
        <v>435</v>
      </c>
      <c r="ON38" s="15091"/>
      <c r="OO38" s="15092"/>
      <c r="OP38" s="15093"/>
      <c r="OQ38" s="2415"/>
      <c r="OR38" s="2254"/>
    </row>
    <row s="13661" customFormat="1" customHeight="1" ht="18.75">
      <c r="A39" s="1594"/>
      <c r="B39" s="1594"/>
      <c r="C39" s="1594"/>
      <c r="D39" s="1594"/>
      <c r="E39" s="1594"/>
      <c r="F39" s="1594"/>
      <c r="G39" s="1594"/>
      <c r="H39" s="1594"/>
      <c r="I39" s="1594"/>
      <c r="J39" s="1594"/>
      <c r="K39" s="1594"/>
      <c r="L39" s="2180"/>
      <c r="M39" s="1590"/>
      <c r="N39" s="1590"/>
      <c r="O39" s="1590"/>
      <c r="P39" s="2194"/>
      <c r="Q39" s="599"/>
      <c r="R39" s="599"/>
      <c r="S39" s="2407"/>
      <c r="T39" s="2344"/>
      <c r="U39" s="1255"/>
      <c r="V39" s="2494"/>
      <c r="W39" s="2493" t="s">
        <v>535</v>
      </c>
      <c r="X39" s="2493" t="s">
        <v>536</v>
      </c>
      <c r="Y39" s="2493"/>
      <c r="Z39" s="2493" t="s">
        <v>537</v>
      </c>
      <c r="AA39" s="2493" t="s">
        <v>536</v>
      </c>
      <c r="AB39" s="2493"/>
      <c r="AC39" s="2429"/>
      <c r="AD39" s="2448"/>
      <c r="AE39" s="2449"/>
      <c r="AF39" s="2412"/>
      <c r="AG39" s="2494"/>
      <c r="AH39" s="2493" t="s">
        <v>535</v>
      </c>
      <c r="AI39" s="2493" t="s">
        <v>536</v>
      </c>
      <c r="AJ39" s="2493"/>
      <c r="AK39" s="2493" t="s">
        <v>537</v>
      </c>
      <c r="AL39" s="2493" t="s">
        <v>536</v>
      </c>
      <c r="AM39" s="2493"/>
      <c r="AN39" s="2429"/>
      <c r="AO39" s="2448"/>
      <c r="AP39" s="2449"/>
      <c r="AQ39" s="2412"/>
      <c r="AR39" s="6515"/>
      <c r="AS39" s="6523" t="s">
        <v>535</v>
      </c>
      <c r="AT39" s="6523" t="s">
        <v>536</v>
      </c>
      <c r="AU39" s="6523"/>
      <c r="AV39" s="6523" t="s">
        <v>537</v>
      </c>
      <c r="AW39" s="6523" t="s">
        <v>536</v>
      </c>
      <c r="AX39" s="6523"/>
      <c r="AY39" s="6529"/>
      <c r="AZ39" s="6530"/>
      <c r="BA39" s="6531"/>
      <c r="BB39" s="6527"/>
      <c r="BC39" s="6515"/>
      <c r="BD39" s="6523" t="s">
        <v>535</v>
      </c>
      <c r="BE39" s="6523" t="s">
        <v>536</v>
      </c>
      <c r="BF39" s="6523"/>
      <c r="BG39" s="6523" t="s">
        <v>537</v>
      </c>
      <c r="BH39" s="6523" t="s">
        <v>536</v>
      </c>
      <c r="BI39" s="6523"/>
      <c r="BJ39" s="6529"/>
      <c r="BK39" s="6530"/>
      <c r="BL39" s="6531"/>
      <c r="BM39" s="6527"/>
      <c r="BN39" s="10131"/>
      <c r="BO39" s="10149" t="s">
        <v>535</v>
      </c>
      <c r="BP39" s="10149" t="s">
        <v>536</v>
      </c>
      <c r="BQ39" s="10149"/>
      <c r="BR39" s="10149" t="s">
        <v>537</v>
      </c>
      <c r="BS39" s="10149" t="s">
        <v>536</v>
      </c>
      <c r="BT39" s="10149"/>
      <c r="BU39" s="10158"/>
      <c r="BV39" s="10159"/>
      <c r="BW39" s="10160"/>
      <c r="BX39" s="10153"/>
      <c r="BY39" s="10131"/>
      <c r="BZ39" s="10149" t="s">
        <v>535</v>
      </c>
      <c r="CA39" s="10149" t="s">
        <v>536</v>
      </c>
      <c r="CB39" s="10149"/>
      <c r="CC39" s="10149" t="s">
        <v>537</v>
      </c>
      <c r="CD39" s="10149" t="s">
        <v>536</v>
      </c>
      <c r="CE39" s="10149"/>
      <c r="CF39" s="10158"/>
      <c r="CG39" s="10159"/>
      <c r="CH39" s="10160"/>
      <c r="CI39" s="10153"/>
      <c r="CJ39" s="10131"/>
      <c r="CK39" s="10149" t="s">
        <v>535</v>
      </c>
      <c r="CL39" s="10149" t="s">
        <v>536</v>
      </c>
      <c r="CM39" s="10149"/>
      <c r="CN39" s="10149" t="s">
        <v>537</v>
      </c>
      <c r="CO39" s="10149" t="s">
        <v>536</v>
      </c>
      <c r="CP39" s="10149"/>
      <c r="CQ39" s="10158"/>
      <c r="CR39" s="10159"/>
      <c r="CS39" s="10160"/>
      <c r="CT39" s="10153"/>
      <c r="CU39" s="10131"/>
      <c r="CV39" s="10149" t="s">
        <v>535</v>
      </c>
      <c r="CW39" s="10149" t="s">
        <v>536</v>
      </c>
      <c r="CX39" s="10149"/>
      <c r="CY39" s="10149" t="s">
        <v>537</v>
      </c>
      <c r="CZ39" s="10149" t="s">
        <v>536</v>
      </c>
      <c r="DA39" s="10149"/>
      <c r="DB39" s="10158"/>
      <c r="DC39" s="10159"/>
      <c r="DD39" s="10160"/>
      <c r="DE39" s="10153"/>
      <c r="DF39" s="10131"/>
      <c r="DG39" s="10149" t="s">
        <v>535</v>
      </c>
      <c r="DH39" s="10149" t="s">
        <v>536</v>
      </c>
      <c r="DI39" s="10149"/>
      <c r="DJ39" s="10149" t="s">
        <v>537</v>
      </c>
      <c r="DK39" s="10149" t="s">
        <v>536</v>
      </c>
      <c r="DL39" s="10149"/>
      <c r="DM39" s="10158"/>
      <c r="DN39" s="10159"/>
      <c r="DO39" s="10160"/>
      <c r="DP39" s="10153"/>
      <c r="DQ39" s="10131"/>
      <c r="DR39" s="10149" t="s">
        <v>535</v>
      </c>
      <c r="DS39" s="10149" t="s">
        <v>536</v>
      </c>
      <c r="DT39" s="10149"/>
      <c r="DU39" s="10149" t="s">
        <v>537</v>
      </c>
      <c r="DV39" s="10149" t="s">
        <v>536</v>
      </c>
      <c r="DW39" s="10149"/>
      <c r="DX39" s="10158"/>
      <c r="DY39" s="10159"/>
      <c r="DZ39" s="10160"/>
      <c r="EA39" s="10153"/>
      <c r="EB39" s="10131"/>
      <c r="EC39" s="10149" t="s">
        <v>535</v>
      </c>
      <c r="ED39" s="10149" t="s">
        <v>536</v>
      </c>
      <c r="EE39" s="10149"/>
      <c r="EF39" s="10149" t="s">
        <v>537</v>
      </c>
      <c r="EG39" s="10149" t="s">
        <v>536</v>
      </c>
      <c r="EH39" s="10149"/>
      <c r="EI39" s="10158"/>
      <c r="EJ39" s="10159"/>
      <c r="EK39" s="10160"/>
      <c r="EL39" s="10153"/>
      <c r="EM39" s="10131"/>
      <c r="EN39" s="10149" t="s">
        <v>535</v>
      </c>
      <c r="EO39" s="10149" t="s">
        <v>536</v>
      </c>
      <c r="EP39" s="10149"/>
      <c r="EQ39" s="10149" t="s">
        <v>537</v>
      </c>
      <c r="ER39" s="10149" t="s">
        <v>536</v>
      </c>
      <c r="ES39" s="10149"/>
      <c r="ET39" s="10158"/>
      <c r="EU39" s="10159"/>
      <c r="EV39" s="10160"/>
      <c r="EW39" s="10153"/>
      <c r="EX39" s="10131"/>
      <c r="EY39" s="10149" t="s">
        <v>535</v>
      </c>
      <c r="EZ39" s="10149" t="s">
        <v>536</v>
      </c>
      <c r="FA39" s="10149"/>
      <c r="FB39" s="10149" t="s">
        <v>537</v>
      </c>
      <c r="FC39" s="10149" t="s">
        <v>536</v>
      </c>
      <c r="FD39" s="10149"/>
      <c r="FE39" s="10158"/>
      <c r="FF39" s="10159"/>
      <c r="FG39" s="10160"/>
      <c r="FH39" s="10153"/>
      <c r="FI39" s="10131"/>
      <c r="FJ39" s="10149" t="s">
        <v>535</v>
      </c>
      <c r="FK39" s="10149" t="s">
        <v>536</v>
      </c>
      <c r="FL39" s="10149"/>
      <c r="FM39" s="10149" t="s">
        <v>537</v>
      </c>
      <c r="FN39" s="10149" t="s">
        <v>536</v>
      </c>
      <c r="FO39" s="10149"/>
      <c r="FP39" s="10158"/>
      <c r="FQ39" s="10159"/>
      <c r="FR39" s="10160"/>
      <c r="FS39" s="10153"/>
      <c r="FT39" s="10131"/>
      <c r="FU39" s="10149" t="s">
        <v>535</v>
      </c>
      <c r="FV39" s="10149" t="s">
        <v>536</v>
      </c>
      <c r="FW39" s="10149"/>
      <c r="FX39" s="10149" t="s">
        <v>537</v>
      </c>
      <c r="FY39" s="10149" t="s">
        <v>536</v>
      </c>
      <c r="FZ39" s="10149"/>
      <c r="GA39" s="10158"/>
      <c r="GB39" s="10159"/>
      <c r="GC39" s="10160"/>
      <c r="GD39" s="10153"/>
      <c r="GE39" s="10131"/>
      <c r="GF39" s="10149" t="s">
        <v>535</v>
      </c>
      <c r="GG39" s="10149" t="s">
        <v>536</v>
      </c>
      <c r="GH39" s="10149"/>
      <c r="GI39" s="10149" t="s">
        <v>537</v>
      </c>
      <c r="GJ39" s="10149" t="s">
        <v>536</v>
      </c>
      <c r="GK39" s="10149"/>
      <c r="GL39" s="10158"/>
      <c r="GM39" s="10159"/>
      <c r="GN39" s="10160"/>
      <c r="GO39" s="10153"/>
      <c r="GP39" s="10131"/>
      <c r="GQ39" s="10149" t="s">
        <v>535</v>
      </c>
      <c r="GR39" s="10149" t="s">
        <v>536</v>
      </c>
      <c r="GS39" s="10149"/>
      <c r="GT39" s="10149" t="s">
        <v>537</v>
      </c>
      <c r="GU39" s="10149" t="s">
        <v>536</v>
      </c>
      <c r="GV39" s="10149"/>
      <c r="GW39" s="10158"/>
      <c r="GX39" s="10159"/>
      <c r="GY39" s="10160"/>
      <c r="GZ39" s="10153"/>
      <c r="HA39" s="10131"/>
      <c r="HB39" s="10149" t="s">
        <v>535</v>
      </c>
      <c r="HC39" s="10149" t="s">
        <v>536</v>
      </c>
      <c r="HD39" s="10149"/>
      <c r="HE39" s="10149" t="s">
        <v>537</v>
      </c>
      <c r="HF39" s="10149" t="s">
        <v>536</v>
      </c>
      <c r="HG39" s="10149"/>
      <c r="HH39" s="10158"/>
      <c r="HI39" s="10159"/>
      <c r="HJ39" s="10160"/>
      <c r="HK39" s="10153"/>
      <c r="HL39" s="10131"/>
      <c r="HM39" s="10149" t="s">
        <v>535</v>
      </c>
      <c r="HN39" s="10149" t="s">
        <v>536</v>
      </c>
      <c r="HO39" s="10149"/>
      <c r="HP39" s="10149" t="s">
        <v>537</v>
      </c>
      <c r="HQ39" s="10149" t="s">
        <v>536</v>
      </c>
      <c r="HR39" s="10149"/>
      <c r="HS39" s="10158"/>
      <c r="HT39" s="10159"/>
      <c r="HU39" s="10160"/>
      <c r="HV39" s="10153"/>
      <c r="HW39" s="10131"/>
      <c r="HX39" s="10149" t="s">
        <v>535</v>
      </c>
      <c r="HY39" s="10149" t="s">
        <v>536</v>
      </c>
      <c r="HZ39" s="10149"/>
      <c r="IA39" s="10149" t="s">
        <v>537</v>
      </c>
      <c r="IB39" s="10149" t="s">
        <v>536</v>
      </c>
      <c r="IC39" s="10149"/>
      <c r="ID39" s="10158"/>
      <c r="IE39" s="10159"/>
      <c r="IF39" s="10160"/>
      <c r="IG39" s="10153"/>
      <c r="IH39" s="10131"/>
      <c r="II39" s="10149" t="s">
        <v>535</v>
      </c>
      <c r="IJ39" s="10149" t="s">
        <v>536</v>
      </c>
      <c r="IK39" s="10149"/>
      <c r="IL39" s="10149" t="s">
        <v>537</v>
      </c>
      <c r="IM39" s="10149" t="s">
        <v>536</v>
      </c>
      <c r="IN39" s="10149"/>
      <c r="IO39" s="10158"/>
      <c r="IP39" s="10159"/>
      <c r="IQ39" s="10160"/>
      <c r="IR39" s="10153"/>
      <c r="IS39" s="10131"/>
      <c r="IT39" s="10149" t="s">
        <v>535</v>
      </c>
      <c r="IU39" s="10149" t="s">
        <v>536</v>
      </c>
      <c r="IV39" s="10149"/>
      <c r="IW39" s="10149" t="s">
        <v>537</v>
      </c>
      <c r="IX39" s="10149" t="s">
        <v>536</v>
      </c>
      <c r="IY39" s="10149"/>
      <c r="IZ39" s="10158"/>
      <c r="JA39" s="10159"/>
      <c r="JB39" s="10160"/>
      <c r="JC39" s="10153"/>
      <c r="JD39" s="10131"/>
      <c r="JE39" s="10149" t="s">
        <v>535</v>
      </c>
      <c r="JF39" s="10149" t="s">
        <v>536</v>
      </c>
      <c r="JG39" s="10149"/>
      <c r="JH39" s="10149" t="s">
        <v>537</v>
      </c>
      <c r="JI39" s="10149" t="s">
        <v>536</v>
      </c>
      <c r="JJ39" s="10149"/>
      <c r="JK39" s="10158"/>
      <c r="JL39" s="10159"/>
      <c r="JM39" s="10160"/>
      <c r="JN39" s="10153"/>
      <c r="JO39" s="10131"/>
      <c r="JP39" s="10149" t="s">
        <v>535</v>
      </c>
      <c r="JQ39" s="10149" t="s">
        <v>536</v>
      </c>
      <c r="JR39" s="10149"/>
      <c r="JS39" s="10149" t="s">
        <v>537</v>
      </c>
      <c r="JT39" s="10149" t="s">
        <v>536</v>
      </c>
      <c r="JU39" s="10149"/>
      <c r="JV39" s="10158"/>
      <c r="JW39" s="10159"/>
      <c r="JX39" s="10160"/>
      <c r="JY39" s="10153"/>
      <c r="JZ39" s="10131"/>
      <c r="KA39" s="10149" t="s">
        <v>535</v>
      </c>
      <c r="KB39" s="10149" t="s">
        <v>536</v>
      </c>
      <c r="KC39" s="10149"/>
      <c r="KD39" s="10149" t="s">
        <v>537</v>
      </c>
      <c r="KE39" s="10149" t="s">
        <v>536</v>
      </c>
      <c r="KF39" s="10149"/>
      <c r="KG39" s="10158"/>
      <c r="KH39" s="10159"/>
      <c r="KI39" s="10160"/>
      <c r="KJ39" s="10153"/>
      <c r="KK39" s="10131"/>
      <c r="KL39" s="10149" t="s">
        <v>535</v>
      </c>
      <c r="KM39" s="10149" t="s">
        <v>536</v>
      </c>
      <c r="KN39" s="10149"/>
      <c r="KO39" s="10149" t="s">
        <v>537</v>
      </c>
      <c r="KP39" s="10149" t="s">
        <v>536</v>
      </c>
      <c r="KQ39" s="10149"/>
      <c r="KR39" s="10158"/>
      <c r="KS39" s="10159"/>
      <c r="KT39" s="10160"/>
      <c r="KU39" s="10153"/>
      <c r="KV39" s="15061"/>
      <c r="KW39" s="15089" t="s">
        <v>535</v>
      </c>
      <c r="KX39" s="15089" t="s">
        <v>536</v>
      </c>
      <c r="KY39" s="15089"/>
      <c r="KZ39" s="15089" t="s">
        <v>537</v>
      </c>
      <c r="LA39" s="15089" t="s">
        <v>536</v>
      </c>
      <c r="LB39" s="15089"/>
      <c r="LC39" s="15101"/>
      <c r="LD39" s="15102"/>
      <c r="LE39" s="15103"/>
      <c r="LF39" s="15093"/>
      <c r="LG39" s="15061"/>
      <c r="LH39" s="15089" t="s">
        <v>535</v>
      </c>
      <c r="LI39" s="15089" t="s">
        <v>536</v>
      </c>
      <c r="LJ39" s="15089"/>
      <c r="LK39" s="15089" t="s">
        <v>537</v>
      </c>
      <c r="LL39" s="15089" t="s">
        <v>536</v>
      </c>
      <c r="LM39" s="15089"/>
      <c r="LN39" s="15101"/>
      <c r="LO39" s="15102"/>
      <c r="LP39" s="15103"/>
      <c r="LQ39" s="15093"/>
      <c r="LR39" s="15061"/>
      <c r="LS39" s="15089" t="s">
        <v>535</v>
      </c>
      <c r="LT39" s="15089" t="s">
        <v>536</v>
      </c>
      <c r="LU39" s="15089"/>
      <c r="LV39" s="15089" t="s">
        <v>537</v>
      </c>
      <c r="LW39" s="15089" t="s">
        <v>536</v>
      </c>
      <c r="LX39" s="15089"/>
      <c r="LY39" s="15101"/>
      <c r="LZ39" s="15102"/>
      <c r="MA39" s="15103"/>
      <c r="MB39" s="15093"/>
      <c r="MC39" s="15061"/>
      <c r="MD39" s="15089" t="s">
        <v>535</v>
      </c>
      <c r="ME39" s="15089" t="s">
        <v>536</v>
      </c>
      <c r="MF39" s="15089"/>
      <c r="MG39" s="15089" t="s">
        <v>537</v>
      </c>
      <c r="MH39" s="15089" t="s">
        <v>536</v>
      </c>
      <c r="MI39" s="15089"/>
      <c r="MJ39" s="15101"/>
      <c r="MK39" s="15102"/>
      <c r="ML39" s="15103"/>
      <c r="MM39" s="15093"/>
      <c r="MN39" s="15061"/>
      <c r="MO39" s="15089" t="s">
        <v>535</v>
      </c>
      <c r="MP39" s="15089" t="s">
        <v>536</v>
      </c>
      <c r="MQ39" s="15089"/>
      <c r="MR39" s="15089" t="s">
        <v>537</v>
      </c>
      <c r="MS39" s="15089" t="s">
        <v>536</v>
      </c>
      <c r="MT39" s="15089"/>
      <c r="MU39" s="15101"/>
      <c r="MV39" s="15102"/>
      <c r="MW39" s="15103"/>
      <c r="MX39" s="15093"/>
      <c r="MY39" s="15061"/>
      <c r="MZ39" s="15089" t="s">
        <v>535</v>
      </c>
      <c r="NA39" s="15089" t="s">
        <v>536</v>
      </c>
      <c r="NB39" s="15089"/>
      <c r="NC39" s="15089" t="s">
        <v>537</v>
      </c>
      <c r="ND39" s="15089" t="s">
        <v>536</v>
      </c>
      <c r="NE39" s="15089"/>
      <c r="NF39" s="15101"/>
      <c r="NG39" s="15102"/>
      <c r="NH39" s="15103"/>
      <c r="NI39" s="15093"/>
      <c r="NJ39" s="15061"/>
      <c r="NK39" s="15089" t="s">
        <v>535</v>
      </c>
      <c r="NL39" s="15089" t="s">
        <v>536</v>
      </c>
      <c r="NM39" s="15089"/>
      <c r="NN39" s="15089" t="s">
        <v>537</v>
      </c>
      <c r="NO39" s="15089" t="s">
        <v>536</v>
      </c>
      <c r="NP39" s="15089"/>
      <c r="NQ39" s="15101"/>
      <c r="NR39" s="15102"/>
      <c r="NS39" s="15103"/>
      <c r="NT39" s="15093"/>
      <c r="NU39" s="15061"/>
      <c r="NV39" s="15089" t="s">
        <v>535</v>
      </c>
      <c r="NW39" s="15089" t="s">
        <v>536</v>
      </c>
      <c r="NX39" s="15089"/>
      <c r="NY39" s="15089" t="s">
        <v>537</v>
      </c>
      <c r="NZ39" s="15089" t="s">
        <v>536</v>
      </c>
      <c r="OA39" s="15089"/>
      <c r="OB39" s="15101"/>
      <c r="OC39" s="15102"/>
      <c r="OD39" s="15103"/>
      <c r="OE39" s="15093"/>
      <c r="OF39" s="15061"/>
      <c r="OG39" s="15089" t="s">
        <v>535</v>
      </c>
      <c r="OH39" s="15089" t="s">
        <v>536</v>
      </c>
      <c r="OI39" s="15089"/>
      <c r="OJ39" s="15089" t="s">
        <v>537</v>
      </c>
      <c r="OK39" s="15089" t="s">
        <v>536</v>
      </c>
      <c r="OL39" s="15089"/>
      <c r="OM39" s="15101"/>
      <c r="ON39" s="15102"/>
      <c r="OO39" s="15103"/>
      <c r="OP39" s="15093"/>
      <c r="OQ39" s="2415"/>
      <c r="OR39" s="2254"/>
      <c r="OS39" s="1864"/>
      <c r="OT39" s="1864"/>
      <c r="OU39" s="1864"/>
      <c r="OV39" s="1864"/>
      <c r="OW39" s="1864"/>
    </row>
    <row customHeight="1" ht="59.25">
      <c r="A40" s="1598"/>
      <c r="B40" s="1598" t="s">
        <v>134</v>
      </c>
      <c r="C40" s="1598" t="s">
        <v>135</v>
      </c>
      <c r="D40" s="1598" t="s">
        <v>136</v>
      </c>
      <c r="E40" s="1592" t="s">
        <v>436</v>
      </c>
      <c r="F40" s="1592" t="s">
        <v>437</v>
      </c>
      <c r="G40" s="1592" t="s">
        <v>438</v>
      </c>
      <c r="H40" s="1592"/>
      <c r="I40" s="1592" t="s">
        <v>489</v>
      </c>
      <c r="J40" s="1592" t="s">
        <v>441</v>
      </c>
      <c r="K40" s="1592" t="s">
        <v>490</v>
      </c>
      <c r="L40" s="1592" t="s">
        <v>417</v>
      </c>
      <c r="Q40" s="599"/>
      <c r="R40" s="599"/>
      <c r="S40" s="2407"/>
      <c r="T40" s="2344"/>
      <c r="U40" s="525"/>
      <c r="V40" s="2494"/>
      <c r="W40" s="2493"/>
      <c r="X40" s="2213" t="s">
        <v>538</v>
      </c>
      <c r="Y40" s="2213" t="s">
        <v>539</v>
      </c>
      <c r="Z40" s="2493"/>
      <c r="AA40" s="2213" t="s">
        <v>540</v>
      </c>
      <c r="AB40" s="2213" t="s">
        <v>541</v>
      </c>
      <c r="AC40" s="1717" t="s">
        <v>445</v>
      </c>
      <c r="AD40" s="2403" t="s">
        <v>446</v>
      </c>
      <c r="AE40" s="2404"/>
      <c r="AF40" s="2413"/>
      <c r="AG40" s="2494"/>
      <c r="AH40" s="2493"/>
      <c r="AI40" s="2213" t="s">
        <v>538</v>
      </c>
      <c r="AJ40" s="2213" t="s">
        <v>539</v>
      </c>
      <c r="AK40" s="2493"/>
      <c r="AL40" s="2213" t="s">
        <v>540</v>
      </c>
      <c r="AM40" s="2213" t="s">
        <v>541</v>
      </c>
      <c r="AN40" s="1717" t="s">
        <v>445</v>
      </c>
      <c r="AO40" s="2403" t="s">
        <v>446</v>
      </c>
      <c r="AP40" s="2404"/>
      <c r="AQ40" s="2413"/>
      <c r="AR40" s="6515"/>
      <c r="AS40" s="6523"/>
      <c r="AT40" s="6523" t="s">
        <v>538</v>
      </c>
      <c r="AU40" s="6523" t="s">
        <v>539</v>
      </c>
      <c r="AV40" s="6523"/>
      <c r="AW40" s="6523" t="s">
        <v>540</v>
      </c>
      <c r="AX40" s="6523" t="s">
        <v>541</v>
      </c>
      <c r="AY40" s="6533" t="s">
        <v>445</v>
      </c>
      <c r="AZ40" s="6534" t="s">
        <v>446</v>
      </c>
      <c r="BA40" s="6535"/>
      <c r="BB40" s="6536"/>
      <c r="BC40" s="6515"/>
      <c r="BD40" s="6523"/>
      <c r="BE40" s="6523" t="s">
        <v>538</v>
      </c>
      <c r="BF40" s="6523" t="s">
        <v>539</v>
      </c>
      <c r="BG40" s="6523"/>
      <c r="BH40" s="6523" t="s">
        <v>540</v>
      </c>
      <c r="BI40" s="6523" t="s">
        <v>541</v>
      </c>
      <c r="BJ40" s="6533" t="s">
        <v>445</v>
      </c>
      <c r="BK40" s="6534" t="s">
        <v>446</v>
      </c>
      <c r="BL40" s="6535"/>
      <c r="BM40" s="6536"/>
      <c r="BN40" s="10131"/>
      <c r="BO40" s="10149"/>
      <c r="BP40" s="10149" t="s">
        <v>538</v>
      </c>
      <c r="BQ40" s="10149" t="s">
        <v>539</v>
      </c>
      <c r="BR40" s="10149"/>
      <c r="BS40" s="10149" t="s">
        <v>540</v>
      </c>
      <c r="BT40" s="10149" t="s">
        <v>541</v>
      </c>
      <c r="BU40" s="10166" t="s">
        <v>445</v>
      </c>
      <c r="BV40" s="10167" t="s">
        <v>446</v>
      </c>
      <c r="BW40" s="10168"/>
      <c r="BX40" s="10169"/>
      <c r="BY40" s="10131"/>
      <c r="BZ40" s="10149"/>
      <c r="CA40" s="10149" t="s">
        <v>538</v>
      </c>
      <c r="CB40" s="10149" t="s">
        <v>539</v>
      </c>
      <c r="CC40" s="10149"/>
      <c r="CD40" s="10149" t="s">
        <v>540</v>
      </c>
      <c r="CE40" s="10149" t="s">
        <v>541</v>
      </c>
      <c r="CF40" s="10166" t="s">
        <v>445</v>
      </c>
      <c r="CG40" s="10167" t="s">
        <v>446</v>
      </c>
      <c r="CH40" s="10168"/>
      <c r="CI40" s="10169"/>
      <c r="CJ40" s="10131"/>
      <c r="CK40" s="10149"/>
      <c r="CL40" s="10149" t="s">
        <v>538</v>
      </c>
      <c r="CM40" s="10149" t="s">
        <v>539</v>
      </c>
      <c r="CN40" s="10149"/>
      <c r="CO40" s="10149" t="s">
        <v>540</v>
      </c>
      <c r="CP40" s="10149" t="s">
        <v>541</v>
      </c>
      <c r="CQ40" s="10166" t="s">
        <v>445</v>
      </c>
      <c r="CR40" s="10167" t="s">
        <v>446</v>
      </c>
      <c r="CS40" s="10168"/>
      <c r="CT40" s="10169"/>
      <c r="CU40" s="10131"/>
      <c r="CV40" s="10149"/>
      <c r="CW40" s="10149" t="s">
        <v>538</v>
      </c>
      <c r="CX40" s="10149" t="s">
        <v>539</v>
      </c>
      <c r="CY40" s="10149"/>
      <c r="CZ40" s="10149" t="s">
        <v>540</v>
      </c>
      <c r="DA40" s="10149" t="s">
        <v>541</v>
      </c>
      <c r="DB40" s="10166" t="s">
        <v>445</v>
      </c>
      <c r="DC40" s="10167" t="s">
        <v>446</v>
      </c>
      <c r="DD40" s="10168"/>
      <c r="DE40" s="10169"/>
      <c r="DF40" s="10131"/>
      <c r="DG40" s="10149"/>
      <c r="DH40" s="10149" t="s">
        <v>538</v>
      </c>
      <c r="DI40" s="10149" t="s">
        <v>539</v>
      </c>
      <c r="DJ40" s="10149"/>
      <c r="DK40" s="10149" t="s">
        <v>540</v>
      </c>
      <c r="DL40" s="10149" t="s">
        <v>541</v>
      </c>
      <c r="DM40" s="10166" t="s">
        <v>445</v>
      </c>
      <c r="DN40" s="10167" t="s">
        <v>446</v>
      </c>
      <c r="DO40" s="10168"/>
      <c r="DP40" s="10169"/>
      <c r="DQ40" s="10131"/>
      <c r="DR40" s="10149"/>
      <c r="DS40" s="10149" t="s">
        <v>538</v>
      </c>
      <c r="DT40" s="10149" t="s">
        <v>539</v>
      </c>
      <c r="DU40" s="10149"/>
      <c r="DV40" s="10149" t="s">
        <v>540</v>
      </c>
      <c r="DW40" s="10149" t="s">
        <v>541</v>
      </c>
      <c r="DX40" s="10166" t="s">
        <v>445</v>
      </c>
      <c r="DY40" s="10167" t="s">
        <v>446</v>
      </c>
      <c r="DZ40" s="10168"/>
      <c r="EA40" s="10169"/>
      <c r="EB40" s="10131"/>
      <c r="EC40" s="10149"/>
      <c r="ED40" s="10149" t="s">
        <v>538</v>
      </c>
      <c r="EE40" s="10149" t="s">
        <v>539</v>
      </c>
      <c r="EF40" s="10149"/>
      <c r="EG40" s="10149" t="s">
        <v>540</v>
      </c>
      <c r="EH40" s="10149" t="s">
        <v>541</v>
      </c>
      <c r="EI40" s="10166" t="s">
        <v>445</v>
      </c>
      <c r="EJ40" s="10167" t="s">
        <v>446</v>
      </c>
      <c r="EK40" s="10168"/>
      <c r="EL40" s="10169"/>
      <c r="EM40" s="10131"/>
      <c r="EN40" s="10149"/>
      <c r="EO40" s="10149" t="s">
        <v>538</v>
      </c>
      <c r="EP40" s="10149" t="s">
        <v>539</v>
      </c>
      <c r="EQ40" s="10149"/>
      <c r="ER40" s="10149" t="s">
        <v>540</v>
      </c>
      <c r="ES40" s="10149" t="s">
        <v>541</v>
      </c>
      <c r="ET40" s="10166" t="s">
        <v>445</v>
      </c>
      <c r="EU40" s="10167" t="s">
        <v>446</v>
      </c>
      <c r="EV40" s="10168"/>
      <c r="EW40" s="10169"/>
      <c r="EX40" s="10131"/>
      <c r="EY40" s="10149"/>
      <c r="EZ40" s="10149" t="s">
        <v>538</v>
      </c>
      <c r="FA40" s="10149" t="s">
        <v>539</v>
      </c>
      <c r="FB40" s="10149"/>
      <c r="FC40" s="10149" t="s">
        <v>540</v>
      </c>
      <c r="FD40" s="10149" t="s">
        <v>541</v>
      </c>
      <c r="FE40" s="10166" t="s">
        <v>445</v>
      </c>
      <c r="FF40" s="10167" t="s">
        <v>446</v>
      </c>
      <c r="FG40" s="10168"/>
      <c r="FH40" s="10169"/>
      <c r="FI40" s="10131"/>
      <c r="FJ40" s="10149"/>
      <c r="FK40" s="10149" t="s">
        <v>538</v>
      </c>
      <c r="FL40" s="10149" t="s">
        <v>539</v>
      </c>
      <c r="FM40" s="10149"/>
      <c r="FN40" s="10149" t="s">
        <v>540</v>
      </c>
      <c r="FO40" s="10149" t="s">
        <v>541</v>
      </c>
      <c r="FP40" s="10166" t="s">
        <v>445</v>
      </c>
      <c r="FQ40" s="10167" t="s">
        <v>446</v>
      </c>
      <c r="FR40" s="10168"/>
      <c r="FS40" s="10169"/>
      <c r="FT40" s="10131"/>
      <c r="FU40" s="10149"/>
      <c r="FV40" s="10149" t="s">
        <v>538</v>
      </c>
      <c r="FW40" s="10149" t="s">
        <v>539</v>
      </c>
      <c r="FX40" s="10149"/>
      <c r="FY40" s="10149" t="s">
        <v>540</v>
      </c>
      <c r="FZ40" s="10149" t="s">
        <v>541</v>
      </c>
      <c r="GA40" s="10166" t="s">
        <v>445</v>
      </c>
      <c r="GB40" s="10167" t="s">
        <v>446</v>
      </c>
      <c r="GC40" s="10168"/>
      <c r="GD40" s="10169"/>
      <c r="GE40" s="10131"/>
      <c r="GF40" s="10149"/>
      <c r="GG40" s="10149" t="s">
        <v>538</v>
      </c>
      <c r="GH40" s="10149" t="s">
        <v>539</v>
      </c>
      <c r="GI40" s="10149"/>
      <c r="GJ40" s="10149" t="s">
        <v>540</v>
      </c>
      <c r="GK40" s="10149" t="s">
        <v>541</v>
      </c>
      <c r="GL40" s="10166" t="s">
        <v>445</v>
      </c>
      <c r="GM40" s="10167" t="s">
        <v>446</v>
      </c>
      <c r="GN40" s="10168"/>
      <c r="GO40" s="10169"/>
      <c r="GP40" s="10131"/>
      <c r="GQ40" s="10149"/>
      <c r="GR40" s="10149" t="s">
        <v>538</v>
      </c>
      <c r="GS40" s="10149" t="s">
        <v>539</v>
      </c>
      <c r="GT40" s="10149"/>
      <c r="GU40" s="10149" t="s">
        <v>540</v>
      </c>
      <c r="GV40" s="10149" t="s">
        <v>541</v>
      </c>
      <c r="GW40" s="10166" t="s">
        <v>445</v>
      </c>
      <c r="GX40" s="10167" t="s">
        <v>446</v>
      </c>
      <c r="GY40" s="10168"/>
      <c r="GZ40" s="10169"/>
      <c r="HA40" s="10131"/>
      <c r="HB40" s="10149"/>
      <c r="HC40" s="10149" t="s">
        <v>538</v>
      </c>
      <c r="HD40" s="10149" t="s">
        <v>539</v>
      </c>
      <c r="HE40" s="10149"/>
      <c r="HF40" s="10149" t="s">
        <v>540</v>
      </c>
      <c r="HG40" s="10149" t="s">
        <v>541</v>
      </c>
      <c r="HH40" s="10166" t="s">
        <v>445</v>
      </c>
      <c r="HI40" s="10167" t="s">
        <v>446</v>
      </c>
      <c r="HJ40" s="10168"/>
      <c r="HK40" s="10169"/>
      <c r="HL40" s="10131"/>
      <c r="HM40" s="10149"/>
      <c r="HN40" s="10149" t="s">
        <v>538</v>
      </c>
      <c r="HO40" s="10149" t="s">
        <v>539</v>
      </c>
      <c r="HP40" s="10149"/>
      <c r="HQ40" s="10149" t="s">
        <v>540</v>
      </c>
      <c r="HR40" s="10149" t="s">
        <v>541</v>
      </c>
      <c r="HS40" s="10166" t="s">
        <v>445</v>
      </c>
      <c r="HT40" s="10167" t="s">
        <v>446</v>
      </c>
      <c r="HU40" s="10168"/>
      <c r="HV40" s="10169"/>
      <c r="HW40" s="10131"/>
      <c r="HX40" s="10149"/>
      <c r="HY40" s="10149" t="s">
        <v>538</v>
      </c>
      <c r="HZ40" s="10149" t="s">
        <v>539</v>
      </c>
      <c r="IA40" s="10149"/>
      <c r="IB40" s="10149" t="s">
        <v>540</v>
      </c>
      <c r="IC40" s="10149" t="s">
        <v>541</v>
      </c>
      <c r="ID40" s="10166" t="s">
        <v>445</v>
      </c>
      <c r="IE40" s="10167" t="s">
        <v>446</v>
      </c>
      <c r="IF40" s="10168"/>
      <c r="IG40" s="10169"/>
      <c r="IH40" s="10131"/>
      <c r="II40" s="10149"/>
      <c r="IJ40" s="10149" t="s">
        <v>538</v>
      </c>
      <c r="IK40" s="10149" t="s">
        <v>539</v>
      </c>
      <c r="IL40" s="10149"/>
      <c r="IM40" s="10149" t="s">
        <v>540</v>
      </c>
      <c r="IN40" s="10149" t="s">
        <v>541</v>
      </c>
      <c r="IO40" s="10166" t="s">
        <v>445</v>
      </c>
      <c r="IP40" s="10167" t="s">
        <v>446</v>
      </c>
      <c r="IQ40" s="10168"/>
      <c r="IR40" s="10169"/>
      <c r="IS40" s="10131"/>
      <c r="IT40" s="10149"/>
      <c r="IU40" s="10149" t="s">
        <v>538</v>
      </c>
      <c r="IV40" s="10149" t="s">
        <v>539</v>
      </c>
      <c r="IW40" s="10149"/>
      <c r="IX40" s="10149" t="s">
        <v>540</v>
      </c>
      <c r="IY40" s="10149" t="s">
        <v>541</v>
      </c>
      <c r="IZ40" s="10166" t="s">
        <v>445</v>
      </c>
      <c r="JA40" s="10167" t="s">
        <v>446</v>
      </c>
      <c r="JB40" s="10168"/>
      <c r="JC40" s="10169"/>
      <c r="JD40" s="10131"/>
      <c r="JE40" s="10149"/>
      <c r="JF40" s="10149" t="s">
        <v>538</v>
      </c>
      <c r="JG40" s="10149" t="s">
        <v>539</v>
      </c>
      <c r="JH40" s="10149"/>
      <c r="JI40" s="10149" t="s">
        <v>540</v>
      </c>
      <c r="JJ40" s="10149" t="s">
        <v>541</v>
      </c>
      <c r="JK40" s="10166" t="s">
        <v>445</v>
      </c>
      <c r="JL40" s="10167" t="s">
        <v>446</v>
      </c>
      <c r="JM40" s="10168"/>
      <c r="JN40" s="10169"/>
      <c r="JO40" s="10131"/>
      <c r="JP40" s="10149"/>
      <c r="JQ40" s="10149" t="s">
        <v>538</v>
      </c>
      <c r="JR40" s="10149" t="s">
        <v>539</v>
      </c>
      <c r="JS40" s="10149"/>
      <c r="JT40" s="10149" t="s">
        <v>540</v>
      </c>
      <c r="JU40" s="10149" t="s">
        <v>541</v>
      </c>
      <c r="JV40" s="10166" t="s">
        <v>445</v>
      </c>
      <c r="JW40" s="10167" t="s">
        <v>446</v>
      </c>
      <c r="JX40" s="10168"/>
      <c r="JY40" s="10169"/>
      <c r="JZ40" s="10131"/>
      <c r="KA40" s="10149"/>
      <c r="KB40" s="10149" t="s">
        <v>538</v>
      </c>
      <c r="KC40" s="10149" t="s">
        <v>539</v>
      </c>
      <c r="KD40" s="10149"/>
      <c r="KE40" s="10149" t="s">
        <v>540</v>
      </c>
      <c r="KF40" s="10149" t="s">
        <v>541</v>
      </c>
      <c r="KG40" s="10166" t="s">
        <v>445</v>
      </c>
      <c r="KH40" s="10167" t="s">
        <v>446</v>
      </c>
      <c r="KI40" s="10168"/>
      <c r="KJ40" s="10169"/>
      <c r="KK40" s="10131"/>
      <c r="KL40" s="10149"/>
      <c r="KM40" s="10149" t="s">
        <v>538</v>
      </c>
      <c r="KN40" s="10149" t="s">
        <v>539</v>
      </c>
      <c r="KO40" s="10149"/>
      <c r="KP40" s="10149" t="s">
        <v>540</v>
      </c>
      <c r="KQ40" s="10149" t="s">
        <v>541</v>
      </c>
      <c r="KR40" s="10166" t="s">
        <v>445</v>
      </c>
      <c r="KS40" s="10167" t="s">
        <v>446</v>
      </c>
      <c r="KT40" s="10168"/>
      <c r="KU40" s="10169"/>
      <c r="KV40" s="15061"/>
      <c r="KW40" s="15089"/>
      <c r="KX40" s="15089" t="s">
        <v>538</v>
      </c>
      <c r="KY40" s="15089" t="s">
        <v>539</v>
      </c>
      <c r="KZ40" s="15089"/>
      <c r="LA40" s="15089" t="s">
        <v>540</v>
      </c>
      <c r="LB40" s="15089" t="s">
        <v>541</v>
      </c>
      <c r="LC40" s="15113" t="s">
        <v>445</v>
      </c>
      <c r="LD40" s="15114" t="s">
        <v>446</v>
      </c>
      <c r="LE40" s="15115"/>
      <c r="LF40" s="15116"/>
      <c r="LG40" s="15061"/>
      <c r="LH40" s="15089"/>
      <c r="LI40" s="15089" t="s">
        <v>538</v>
      </c>
      <c r="LJ40" s="15089" t="s">
        <v>539</v>
      </c>
      <c r="LK40" s="15089"/>
      <c r="LL40" s="15089" t="s">
        <v>540</v>
      </c>
      <c r="LM40" s="15089" t="s">
        <v>541</v>
      </c>
      <c r="LN40" s="15113" t="s">
        <v>445</v>
      </c>
      <c r="LO40" s="15114" t="s">
        <v>446</v>
      </c>
      <c r="LP40" s="15115"/>
      <c r="LQ40" s="15116"/>
      <c r="LR40" s="15061"/>
      <c r="LS40" s="15089"/>
      <c r="LT40" s="15089" t="s">
        <v>538</v>
      </c>
      <c r="LU40" s="15089" t="s">
        <v>539</v>
      </c>
      <c r="LV40" s="15089"/>
      <c r="LW40" s="15089" t="s">
        <v>540</v>
      </c>
      <c r="LX40" s="15089" t="s">
        <v>541</v>
      </c>
      <c r="LY40" s="15113" t="s">
        <v>445</v>
      </c>
      <c r="LZ40" s="15114" t="s">
        <v>446</v>
      </c>
      <c r="MA40" s="15115"/>
      <c r="MB40" s="15116"/>
      <c r="MC40" s="15061"/>
      <c r="MD40" s="15089"/>
      <c r="ME40" s="15089" t="s">
        <v>538</v>
      </c>
      <c r="MF40" s="15089" t="s">
        <v>539</v>
      </c>
      <c r="MG40" s="15089"/>
      <c r="MH40" s="15089" t="s">
        <v>540</v>
      </c>
      <c r="MI40" s="15089" t="s">
        <v>541</v>
      </c>
      <c r="MJ40" s="15113" t="s">
        <v>445</v>
      </c>
      <c r="MK40" s="15114" t="s">
        <v>446</v>
      </c>
      <c r="ML40" s="15115"/>
      <c r="MM40" s="15116"/>
      <c r="MN40" s="15061"/>
      <c r="MO40" s="15089"/>
      <c r="MP40" s="15089" t="s">
        <v>538</v>
      </c>
      <c r="MQ40" s="15089" t="s">
        <v>539</v>
      </c>
      <c r="MR40" s="15089"/>
      <c r="MS40" s="15089" t="s">
        <v>540</v>
      </c>
      <c r="MT40" s="15089" t="s">
        <v>541</v>
      </c>
      <c r="MU40" s="15113" t="s">
        <v>445</v>
      </c>
      <c r="MV40" s="15114" t="s">
        <v>446</v>
      </c>
      <c r="MW40" s="15115"/>
      <c r="MX40" s="15116"/>
      <c r="MY40" s="15061"/>
      <c r="MZ40" s="15089"/>
      <c r="NA40" s="15089" t="s">
        <v>538</v>
      </c>
      <c r="NB40" s="15089" t="s">
        <v>539</v>
      </c>
      <c r="NC40" s="15089"/>
      <c r="ND40" s="15089" t="s">
        <v>540</v>
      </c>
      <c r="NE40" s="15089" t="s">
        <v>541</v>
      </c>
      <c r="NF40" s="15113" t="s">
        <v>445</v>
      </c>
      <c r="NG40" s="15114" t="s">
        <v>446</v>
      </c>
      <c r="NH40" s="15115"/>
      <c r="NI40" s="15116"/>
      <c r="NJ40" s="15061"/>
      <c r="NK40" s="15089"/>
      <c r="NL40" s="15089" t="s">
        <v>538</v>
      </c>
      <c r="NM40" s="15089" t="s">
        <v>539</v>
      </c>
      <c r="NN40" s="15089"/>
      <c r="NO40" s="15089" t="s">
        <v>540</v>
      </c>
      <c r="NP40" s="15089" t="s">
        <v>541</v>
      </c>
      <c r="NQ40" s="15113" t="s">
        <v>445</v>
      </c>
      <c r="NR40" s="15114" t="s">
        <v>446</v>
      </c>
      <c r="NS40" s="15115"/>
      <c r="NT40" s="15116"/>
      <c r="NU40" s="15061"/>
      <c r="NV40" s="15089"/>
      <c r="NW40" s="15089" t="s">
        <v>538</v>
      </c>
      <c r="NX40" s="15089" t="s">
        <v>539</v>
      </c>
      <c r="NY40" s="15089"/>
      <c r="NZ40" s="15089" t="s">
        <v>540</v>
      </c>
      <c r="OA40" s="15089" t="s">
        <v>541</v>
      </c>
      <c r="OB40" s="15113" t="s">
        <v>445</v>
      </c>
      <c r="OC40" s="15114" t="s">
        <v>446</v>
      </c>
      <c r="OD40" s="15115"/>
      <c r="OE40" s="15116"/>
      <c r="OF40" s="15061"/>
      <c r="OG40" s="15089"/>
      <c r="OH40" s="15089" t="s">
        <v>538</v>
      </c>
      <c r="OI40" s="15089" t="s">
        <v>539</v>
      </c>
      <c r="OJ40" s="15089"/>
      <c r="OK40" s="15089" t="s">
        <v>540</v>
      </c>
      <c r="OL40" s="15089" t="s">
        <v>541</v>
      </c>
      <c r="OM40" s="15113" t="s">
        <v>445</v>
      </c>
      <c r="ON40" s="15114" t="s">
        <v>446</v>
      </c>
      <c r="OO40" s="15115"/>
      <c r="OP40" s="15116"/>
      <c r="OQ40" s="2416"/>
      <c r="OR40" s="2254"/>
    </row>
    <row s="13364" customFormat="1" customHeight="1" ht="11.25" hidden="1">
      <c r="A41" s="1598"/>
      <c r="B41" s="1598"/>
      <c r="C41" s="1598"/>
      <c r="D41" s="1598"/>
      <c r="E41" s="1598"/>
      <c r="F41" s="1598"/>
      <c r="G41" s="1598"/>
      <c r="H41" s="1598"/>
      <c r="I41" s="1598"/>
      <c r="J41" s="1598"/>
      <c r="K41" s="1598"/>
      <c r="L41" s="1592"/>
      <c r="M41" s="1590"/>
      <c r="N41" s="1590"/>
      <c r="O41" s="1590"/>
      <c r="P41" s="1473"/>
      <c r="Q41" s="1474"/>
      <c r="R41" s="1481">
        <v>1</v>
      </c>
      <c r="S41" s="1505" t="s">
        <v>108</v>
      </c>
      <c r="T41" s="1482" t="s">
        <v>109</v>
      </c>
      <c r="U41" s="1472" t="str">
        <f>OFFSET(U41,0,-1)</f>
        <v>2</v>
      </c>
      <c r="V41" s="1710">
        <f>OFFSET(V41,0,-1)+1</f>
        <v>3</v>
      </c>
      <c r="W41" s="1569"/>
      <c r="X41" s="1569"/>
      <c r="Y41" s="1569"/>
      <c r="Z41" s="1569"/>
      <c r="AA41" s="1569"/>
      <c r="AB41" s="1569"/>
      <c r="AC41" s="1710">
        <f>OFFSET(AC41,0,-1)+1</f>
        <v>1</v>
      </c>
      <c r="AD41" s="2405">
        <f>OFFSET(AD41,0,-1)+1</f>
        <v>2</v>
      </c>
      <c r="AE41" s="2405"/>
      <c r="AF41" s="1710">
        <f>OFFSET(AF41,0,-2)+1</f>
        <v>3</v>
      </c>
      <c r="AG41" s="1710">
        <f>OFFSET(AG41,0,-1)+1</f>
        <v>4</v>
      </c>
      <c r="AH41" s="2185"/>
      <c r="AI41" s="2185"/>
      <c r="AJ41" s="2185"/>
      <c r="AK41" s="2185"/>
      <c r="AL41" s="2185"/>
      <c r="AM41" s="1710">
        <f>OFFSET(AM41,0,-1)+1</f>
        <v>1</v>
      </c>
      <c r="AN41" s="1710">
        <f>OFFSET(AN41,0,-1)+1</f>
        <v>2</v>
      </c>
      <c r="AO41" s="2405">
        <f>OFFSET(AO41,0,-1)+1</f>
        <v>3</v>
      </c>
      <c r="AP41" s="2405"/>
      <c r="AQ41" s="1710">
        <f>OFFSET(AQ41,0,-2)+1</f>
        <v>4</v>
      </c>
      <c r="AR41" s="6537">
        <f>OFFSET(AR41,0,-1)+1</f>
        <v>3</v>
      </c>
      <c r="AS41" s="6538"/>
      <c r="AT41" s="6538"/>
      <c r="AU41" s="6538"/>
      <c r="AV41" s="6538"/>
      <c r="AW41" s="6538"/>
      <c r="AX41" s="6538"/>
      <c r="AY41" s="6537">
        <f>OFFSET(AY41,0,-1)+1</f>
        <v>1</v>
      </c>
      <c r="AZ41" s="6537">
        <f>OFFSET(AZ41,0,-1)+1</f>
        <v>2</v>
      </c>
      <c r="BA41" s="6537"/>
      <c r="BB41" s="6537">
        <f>OFFSET(BB41,0,-2)+1</f>
        <v>3</v>
      </c>
      <c r="BC41" s="6537">
        <f>OFFSET(BC41,0,-1)+1</f>
        <v>3</v>
      </c>
      <c r="BD41" s="6538"/>
      <c r="BE41" s="6538"/>
      <c r="BF41" s="6538"/>
      <c r="BG41" s="6538"/>
      <c r="BH41" s="6538"/>
      <c r="BI41" s="6538"/>
      <c r="BJ41" s="6537">
        <f>OFFSET(BJ41,0,-1)+1</f>
        <v>1</v>
      </c>
      <c r="BK41" s="6537">
        <f>OFFSET(BK41,0,-1)+1</f>
        <v>2</v>
      </c>
      <c r="BL41" s="6537"/>
      <c r="BM41" s="6537">
        <f>OFFSET(BM41,0,-2)+1</f>
        <v>3</v>
      </c>
      <c r="BN41" s="10172">
        <f>OFFSET(BN41,0,-1)+1</f>
        <v>3</v>
      </c>
      <c r="BO41" s="10173"/>
      <c r="BP41" s="10173"/>
      <c r="BQ41" s="10173"/>
      <c r="BR41" s="10173"/>
      <c r="BS41" s="10173"/>
      <c r="BT41" s="10173"/>
      <c r="BU41" s="10172">
        <f>OFFSET(BU41,0,-1)+1</f>
        <v>1</v>
      </c>
      <c r="BV41" s="10172">
        <f>OFFSET(BV41,0,-1)+1</f>
        <v>2</v>
      </c>
      <c r="BW41" s="10172"/>
      <c r="BX41" s="10172">
        <f>OFFSET(BX41,0,-2)+1</f>
        <v>3</v>
      </c>
      <c r="BY41" s="10172">
        <f>OFFSET(BY41,0,-1)+1</f>
        <v>3</v>
      </c>
      <c r="BZ41" s="10173"/>
      <c r="CA41" s="10173"/>
      <c r="CB41" s="10173"/>
      <c r="CC41" s="10173"/>
      <c r="CD41" s="10173"/>
      <c r="CE41" s="10173"/>
      <c r="CF41" s="10172">
        <f>OFFSET(CF41,0,-1)+1</f>
        <v>1</v>
      </c>
      <c r="CG41" s="10172">
        <f>OFFSET(CG41,0,-1)+1</f>
        <v>2</v>
      </c>
      <c r="CH41" s="10172"/>
      <c r="CI41" s="10172">
        <f>OFFSET(CI41,0,-2)+1</f>
        <v>3</v>
      </c>
      <c r="CJ41" s="10172">
        <f>OFFSET(CJ41,0,-1)+1</f>
        <v>3</v>
      </c>
      <c r="CK41" s="10173"/>
      <c r="CL41" s="10173"/>
      <c r="CM41" s="10173"/>
      <c r="CN41" s="10173"/>
      <c r="CO41" s="10173"/>
      <c r="CP41" s="10173"/>
      <c r="CQ41" s="10172">
        <f>OFFSET(CQ41,0,-1)+1</f>
        <v>1</v>
      </c>
      <c r="CR41" s="10172">
        <f>OFFSET(CR41,0,-1)+1</f>
        <v>2</v>
      </c>
      <c r="CS41" s="10172"/>
      <c r="CT41" s="10172">
        <f>OFFSET(CT41,0,-2)+1</f>
        <v>3</v>
      </c>
      <c r="CU41" s="10172">
        <f>OFFSET(CU41,0,-1)+1</f>
        <v>3</v>
      </c>
      <c r="CV41" s="10173"/>
      <c r="CW41" s="10173"/>
      <c r="CX41" s="10173"/>
      <c r="CY41" s="10173"/>
      <c r="CZ41" s="10173"/>
      <c r="DA41" s="10173"/>
      <c r="DB41" s="10172">
        <f>OFFSET(DB41,0,-1)+1</f>
        <v>1</v>
      </c>
      <c r="DC41" s="10172">
        <f>OFFSET(DC41,0,-1)+1</f>
        <v>2</v>
      </c>
      <c r="DD41" s="10172"/>
      <c r="DE41" s="10172">
        <f>OFFSET(DE41,0,-2)+1</f>
        <v>3</v>
      </c>
      <c r="DF41" s="10172">
        <f>OFFSET(DF41,0,-1)+1</f>
        <v>3</v>
      </c>
      <c r="DG41" s="10173"/>
      <c r="DH41" s="10173"/>
      <c r="DI41" s="10173"/>
      <c r="DJ41" s="10173"/>
      <c r="DK41" s="10173"/>
      <c r="DL41" s="10173"/>
      <c r="DM41" s="10172">
        <f>OFFSET(DM41,0,-1)+1</f>
        <v>1</v>
      </c>
      <c r="DN41" s="10172">
        <f>OFFSET(DN41,0,-1)+1</f>
        <v>2</v>
      </c>
      <c r="DO41" s="10172"/>
      <c r="DP41" s="10172">
        <f>OFFSET(DP41,0,-2)+1</f>
        <v>3</v>
      </c>
      <c r="DQ41" s="10172">
        <f>OFFSET(DQ41,0,-1)+1</f>
        <v>3</v>
      </c>
      <c r="DR41" s="10173"/>
      <c r="DS41" s="10173"/>
      <c r="DT41" s="10173"/>
      <c r="DU41" s="10173"/>
      <c r="DV41" s="10173"/>
      <c r="DW41" s="10173"/>
      <c r="DX41" s="10172">
        <f>OFFSET(DX41,0,-1)+1</f>
        <v>1</v>
      </c>
      <c r="DY41" s="10172">
        <f>OFFSET(DY41,0,-1)+1</f>
        <v>2</v>
      </c>
      <c r="DZ41" s="10172"/>
      <c r="EA41" s="10172">
        <f>OFFSET(EA41,0,-2)+1</f>
        <v>3</v>
      </c>
      <c r="EB41" s="10172">
        <f>OFFSET(EB41,0,-1)+1</f>
        <v>3</v>
      </c>
      <c r="EC41" s="10173"/>
      <c r="ED41" s="10173"/>
      <c r="EE41" s="10173"/>
      <c r="EF41" s="10173"/>
      <c r="EG41" s="10173"/>
      <c r="EH41" s="10173"/>
      <c r="EI41" s="10172">
        <f>OFFSET(EI41,0,-1)+1</f>
        <v>1</v>
      </c>
      <c r="EJ41" s="10172">
        <f>OFFSET(EJ41,0,-1)+1</f>
        <v>2</v>
      </c>
      <c r="EK41" s="10172"/>
      <c r="EL41" s="10172">
        <f>OFFSET(EL41,0,-2)+1</f>
        <v>3</v>
      </c>
      <c r="EM41" s="10172">
        <f>OFFSET(EM41,0,-1)+1</f>
        <v>3</v>
      </c>
      <c r="EN41" s="10173"/>
      <c r="EO41" s="10173"/>
      <c r="EP41" s="10173"/>
      <c r="EQ41" s="10173"/>
      <c r="ER41" s="10173"/>
      <c r="ES41" s="10173"/>
      <c r="ET41" s="10172">
        <f>OFFSET(ET41,0,-1)+1</f>
        <v>1</v>
      </c>
      <c r="EU41" s="10172">
        <f>OFFSET(EU41,0,-1)+1</f>
        <v>2</v>
      </c>
      <c r="EV41" s="10172"/>
      <c r="EW41" s="10172">
        <f>OFFSET(EW41,0,-2)+1</f>
        <v>3</v>
      </c>
      <c r="EX41" s="10172">
        <f>OFFSET(EX41,0,-1)+1</f>
        <v>3</v>
      </c>
      <c r="EY41" s="10173"/>
      <c r="EZ41" s="10173"/>
      <c r="FA41" s="10173"/>
      <c r="FB41" s="10173"/>
      <c r="FC41" s="10173"/>
      <c r="FD41" s="10173"/>
      <c r="FE41" s="10172">
        <f>OFFSET(FE41,0,-1)+1</f>
        <v>1</v>
      </c>
      <c r="FF41" s="10172">
        <f>OFFSET(FF41,0,-1)+1</f>
        <v>2</v>
      </c>
      <c r="FG41" s="10172"/>
      <c r="FH41" s="10172">
        <f>OFFSET(FH41,0,-2)+1</f>
        <v>3</v>
      </c>
      <c r="FI41" s="10172">
        <f>OFFSET(FI41,0,-1)+1</f>
        <v>3</v>
      </c>
      <c r="FJ41" s="10173"/>
      <c r="FK41" s="10173"/>
      <c r="FL41" s="10173"/>
      <c r="FM41" s="10173"/>
      <c r="FN41" s="10173"/>
      <c r="FO41" s="10173"/>
      <c r="FP41" s="10172">
        <f>OFFSET(FP41,0,-1)+1</f>
        <v>1</v>
      </c>
      <c r="FQ41" s="10172">
        <f>OFFSET(FQ41,0,-1)+1</f>
        <v>2</v>
      </c>
      <c r="FR41" s="10172"/>
      <c r="FS41" s="10172">
        <f>OFFSET(FS41,0,-2)+1</f>
        <v>3</v>
      </c>
      <c r="FT41" s="10172">
        <f>OFFSET(FT41,0,-1)+1</f>
        <v>3</v>
      </c>
      <c r="FU41" s="10173"/>
      <c r="FV41" s="10173"/>
      <c r="FW41" s="10173"/>
      <c r="FX41" s="10173"/>
      <c r="FY41" s="10173"/>
      <c r="FZ41" s="10173"/>
      <c r="GA41" s="10172">
        <f>OFFSET(GA41,0,-1)+1</f>
        <v>1</v>
      </c>
      <c r="GB41" s="10172">
        <f>OFFSET(GB41,0,-1)+1</f>
        <v>2</v>
      </c>
      <c r="GC41" s="10172"/>
      <c r="GD41" s="10172">
        <f>OFFSET(GD41,0,-2)+1</f>
        <v>3</v>
      </c>
      <c r="GE41" s="10172">
        <f>OFFSET(GE41,0,-1)+1</f>
        <v>3</v>
      </c>
      <c r="GF41" s="10173"/>
      <c r="GG41" s="10173"/>
      <c r="GH41" s="10173"/>
      <c r="GI41" s="10173"/>
      <c r="GJ41" s="10173"/>
      <c r="GK41" s="10173"/>
      <c r="GL41" s="10172">
        <f>OFFSET(GL41,0,-1)+1</f>
        <v>1</v>
      </c>
      <c r="GM41" s="10172">
        <f>OFFSET(GM41,0,-1)+1</f>
        <v>2</v>
      </c>
      <c r="GN41" s="10172"/>
      <c r="GO41" s="10172">
        <f>OFFSET(GO41,0,-2)+1</f>
        <v>3</v>
      </c>
      <c r="GP41" s="10172">
        <f>OFFSET(GP41,0,-1)+1</f>
        <v>3</v>
      </c>
      <c r="GQ41" s="10173"/>
      <c r="GR41" s="10173"/>
      <c r="GS41" s="10173"/>
      <c r="GT41" s="10173"/>
      <c r="GU41" s="10173"/>
      <c r="GV41" s="10173"/>
      <c r="GW41" s="10172">
        <f>OFFSET(GW41,0,-1)+1</f>
        <v>1</v>
      </c>
      <c r="GX41" s="10172">
        <f>OFFSET(GX41,0,-1)+1</f>
        <v>2</v>
      </c>
      <c r="GY41" s="10172"/>
      <c r="GZ41" s="10172">
        <f>OFFSET(GZ41,0,-2)+1</f>
        <v>3</v>
      </c>
      <c r="HA41" s="10172">
        <f>OFFSET(HA41,0,-1)+1</f>
        <v>3</v>
      </c>
      <c r="HB41" s="10173"/>
      <c r="HC41" s="10173"/>
      <c r="HD41" s="10173"/>
      <c r="HE41" s="10173"/>
      <c r="HF41" s="10173"/>
      <c r="HG41" s="10173"/>
      <c r="HH41" s="10172">
        <f>OFFSET(HH41,0,-1)+1</f>
        <v>1</v>
      </c>
      <c r="HI41" s="10172">
        <f>OFFSET(HI41,0,-1)+1</f>
        <v>2</v>
      </c>
      <c r="HJ41" s="10172"/>
      <c r="HK41" s="10172">
        <f>OFFSET(HK41,0,-2)+1</f>
        <v>3</v>
      </c>
      <c r="HL41" s="10172">
        <f>OFFSET(HL41,0,-1)+1</f>
        <v>3</v>
      </c>
      <c r="HM41" s="10173"/>
      <c r="HN41" s="10173"/>
      <c r="HO41" s="10173"/>
      <c r="HP41" s="10173"/>
      <c r="HQ41" s="10173"/>
      <c r="HR41" s="10173"/>
      <c r="HS41" s="10172">
        <f>OFFSET(HS41,0,-1)+1</f>
        <v>1</v>
      </c>
      <c r="HT41" s="10172">
        <f>OFFSET(HT41,0,-1)+1</f>
        <v>2</v>
      </c>
      <c r="HU41" s="10172"/>
      <c r="HV41" s="10172">
        <f>OFFSET(HV41,0,-2)+1</f>
        <v>3</v>
      </c>
      <c r="HW41" s="10172">
        <f>OFFSET(HW41,0,-1)+1</f>
        <v>3</v>
      </c>
      <c r="HX41" s="10173"/>
      <c r="HY41" s="10173"/>
      <c r="HZ41" s="10173"/>
      <c r="IA41" s="10173"/>
      <c r="IB41" s="10173"/>
      <c r="IC41" s="10173"/>
      <c r="ID41" s="10172">
        <f>OFFSET(ID41,0,-1)+1</f>
        <v>1</v>
      </c>
      <c r="IE41" s="10172">
        <f>OFFSET(IE41,0,-1)+1</f>
        <v>2</v>
      </c>
      <c r="IF41" s="10172"/>
      <c r="IG41" s="10172">
        <f>OFFSET(IG41,0,-2)+1</f>
        <v>3</v>
      </c>
      <c r="IH41" s="10172">
        <f>OFFSET(IH41,0,-1)+1</f>
        <v>3</v>
      </c>
      <c r="II41" s="10173"/>
      <c r="IJ41" s="10173"/>
      <c r="IK41" s="10173"/>
      <c r="IL41" s="10173"/>
      <c r="IM41" s="10173"/>
      <c r="IN41" s="10173"/>
      <c r="IO41" s="10172">
        <f>OFFSET(IO41,0,-1)+1</f>
        <v>1</v>
      </c>
      <c r="IP41" s="10172">
        <f>OFFSET(IP41,0,-1)+1</f>
        <v>2</v>
      </c>
      <c r="IQ41" s="10172"/>
      <c r="IR41" s="10172">
        <f>OFFSET(IR41,0,-2)+1</f>
        <v>3</v>
      </c>
      <c r="IS41" s="10172">
        <f>OFFSET(IS41,0,-1)+1</f>
        <v>3</v>
      </c>
      <c r="IT41" s="10173"/>
      <c r="IU41" s="10173"/>
      <c r="IV41" s="10173"/>
      <c r="IW41" s="10173"/>
      <c r="IX41" s="10173"/>
      <c r="IY41" s="10173"/>
      <c r="IZ41" s="10172">
        <f>OFFSET(IZ41,0,-1)+1</f>
        <v>1</v>
      </c>
      <c r="JA41" s="10172">
        <f>OFFSET(JA41,0,-1)+1</f>
        <v>2</v>
      </c>
      <c r="JB41" s="10172"/>
      <c r="JC41" s="10172">
        <f>OFFSET(JC41,0,-2)+1</f>
        <v>3</v>
      </c>
      <c r="JD41" s="10172">
        <f>OFFSET(JD41,0,-1)+1</f>
        <v>3</v>
      </c>
      <c r="JE41" s="10173"/>
      <c r="JF41" s="10173"/>
      <c r="JG41" s="10173"/>
      <c r="JH41" s="10173"/>
      <c r="JI41" s="10173"/>
      <c r="JJ41" s="10173"/>
      <c r="JK41" s="10172">
        <f>OFFSET(JK41,0,-1)+1</f>
        <v>1</v>
      </c>
      <c r="JL41" s="10172">
        <f>OFFSET(JL41,0,-1)+1</f>
        <v>2</v>
      </c>
      <c r="JM41" s="10172"/>
      <c r="JN41" s="10172">
        <f>OFFSET(JN41,0,-2)+1</f>
        <v>3</v>
      </c>
      <c r="JO41" s="10172">
        <f>OFFSET(JO41,0,-1)+1</f>
        <v>3</v>
      </c>
      <c r="JP41" s="10173"/>
      <c r="JQ41" s="10173"/>
      <c r="JR41" s="10173"/>
      <c r="JS41" s="10173"/>
      <c r="JT41" s="10173"/>
      <c r="JU41" s="10173"/>
      <c r="JV41" s="10172">
        <f>OFFSET(JV41,0,-1)+1</f>
        <v>1</v>
      </c>
      <c r="JW41" s="10172">
        <f>OFFSET(JW41,0,-1)+1</f>
        <v>2</v>
      </c>
      <c r="JX41" s="10172"/>
      <c r="JY41" s="10172">
        <f>OFFSET(JY41,0,-2)+1</f>
        <v>3</v>
      </c>
      <c r="JZ41" s="10172">
        <f>OFFSET(JZ41,0,-1)+1</f>
        <v>3</v>
      </c>
      <c r="KA41" s="10173"/>
      <c r="KB41" s="10173"/>
      <c r="KC41" s="10173"/>
      <c r="KD41" s="10173"/>
      <c r="KE41" s="10173"/>
      <c r="KF41" s="10173"/>
      <c r="KG41" s="10172">
        <f>OFFSET(KG41,0,-1)+1</f>
        <v>1</v>
      </c>
      <c r="KH41" s="10172">
        <f>OFFSET(KH41,0,-1)+1</f>
        <v>2</v>
      </c>
      <c r="KI41" s="10172"/>
      <c r="KJ41" s="10172">
        <f>OFFSET(KJ41,0,-2)+1</f>
        <v>3</v>
      </c>
      <c r="KK41" s="10172">
        <f>OFFSET(KK41,0,-1)+1</f>
        <v>3</v>
      </c>
      <c r="KL41" s="10173"/>
      <c r="KM41" s="10173"/>
      <c r="KN41" s="10173"/>
      <c r="KO41" s="10173"/>
      <c r="KP41" s="10173"/>
      <c r="KQ41" s="10173"/>
      <c r="KR41" s="10172">
        <f>OFFSET(KR41,0,-1)+1</f>
        <v>1</v>
      </c>
      <c r="KS41" s="10172">
        <f>OFFSET(KS41,0,-1)+1</f>
        <v>2</v>
      </c>
      <c r="KT41" s="10172"/>
      <c r="KU41" s="10172">
        <f>OFFSET(KU41,0,-2)+1</f>
        <v>3</v>
      </c>
      <c r="KV41" s="15121">
        <f>OFFSET(KV41,0,-1)+1</f>
        <v>3</v>
      </c>
      <c r="KW41" s="15122"/>
      <c r="KX41" s="15122"/>
      <c r="KY41" s="15122"/>
      <c r="KZ41" s="15122"/>
      <c r="LA41" s="15122"/>
      <c r="LB41" s="15122"/>
      <c r="LC41" s="15121">
        <f>OFFSET(LC41,0,-1)+1</f>
        <v>1</v>
      </c>
      <c r="LD41" s="15121">
        <f>OFFSET(LD41,0,-1)+1</f>
        <v>2</v>
      </c>
      <c r="LE41" s="15121"/>
      <c r="LF41" s="15121">
        <f>OFFSET(LF41,0,-2)+1</f>
        <v>3</v>
      </c>
      <c r="LG41" s="15121">
        <f>OFFSET(LG41,0,-1)+1</f>
        <v>3</v>
      </c>
      <c r="LH41" s="15122"/>
      <c r="LI41" s="15122"/>
      <c r="LJ41" s="15122"/>
      <c r="LK41" s="15122"/>
      <c r="LL41" s="15122"/>
      <c r="LM41" s="15122"/>
      <c r="LN41" s="15121">
        <f>OFFSET(LN41,0,-1)+1</f>
        <v>1</v>
      </c>
      <c r="LO41" s="15121">
        <f>OFFSET(LO41,0,-1)+1</f>
        <v>2</v>
      </c>
      <c r="LP41" s="15121"/>
      <c r="LQ41" s="15121">
        <f>OFFSET(LQ41,0,-2)+1</f>
        <v>3</v>
      </c>
      <c r="LR41" s="15121">
        <f>OFFSET(LR41,0,-1)+1</f>
        <v>3</v>
      </c>
      <c r="LS41" s="15122"/>
      <c r="LT41" s="15122"/>
      <c r="LU41" s="15122"/>
      <c r="LV41" s="15122"/>
      <c r="LW41" s="15122"/>
      <c r="LX41" s="15122"/>
      <c r="LY41" s="15121">
        <f>OFFSET(LY41,0,-1)+1</f>
        <v>1</v>
      </c>
      <c r="LZ41" s="15121">
        <f>OFFSET(LZ41,0,-1)+1</f>
        <v>2</v>
      </c>
      <c r="MA41" s="15121"/>
      <c r="MB41" s="15121">
        <f>OFFSET(MB41,0,-2)+1</f>
        <v>3</v>
      </c>
      <c r="MC41" s="15121">
        <f>OFFSET(MC41,0,-1)+1</f>
        <v>3</v>
      </c>
      <c r="MD41" s="15122"/>
      <c r="ME41" s="15122"/>
      <c r="MF41" s="15122"/>
      <c r="MG41" s="15122"/>
      <c r="MH41" s="15122"/>
      <c r="MI41" s="15122"/>
      <c r="MJ41" s="15121">
        <f>OFFSET(MJ41,0,-1)+1</f>
        <v>1</v>
      </c>
      <c r="MK41" s="15121">
        <f>OFFSET(MK41,0,-1)+1</f>
        <v>2</v>
      </c>
      <c r="ML41" s="15121"/>
      <c r="MM41" s="15121">
        <f>OFFSET(MM41,0,-2)+1</f>
        <v>3</v>
      </c>
      <c r="MN41" s="15121">
        <f>OFFSET(MN41,0,-1)+1</f>
        <v>3</v>
      </c>
      <c r="MO41" s="15122"/>
      <c r="MP41" s="15122"/>
      <c r="MQ41" s="15122"/>
      <c r="MR41" s="15122"/>
      <c r="MS41" s="15122"/>
      <c r="MT41" s="15122"/>
      <c r="MU41" s="15121">
        <f>OFFSET(MU41,0,-1)+1</f>
        <v>1</v>
      </c>
      <c r="MV41" s="15121">
        <f>OFFSET(MV41,0,-1)+1</f>
        <v>2</v>
      </c>
      <c r="MW41" s="15121"/>
      <c r="MX41" s="15121">
        <f>OFFSET(MX41,0,-2)+1</f>
        <v>3</v>
      </c>
      <c r="MY41" s="15121">
        <f>OFFSET(MY41,0,-1)+1</f>
        <v>3</v>
      </c>
      <c r="MZ41" s="15122"/>
      <c r="NA41" s="15122"/>
      <c r="NB41" s="15122"/>
      <c r="NC41" s="15122"/>
      <c r="ND41" s="15122"/>
      <c r="NE41" s="15122"/>
      <c r="NF41" s="15121">
        <f>OFFSET(NF41,0,-1)+1</f>
        <v>1</v>
      </c>
      <c r="NG41" s="15121">
        <f>OFFSET(NG41,0,-1)+1</f>
        <v>2</v>
      </c>
      <c r="NH41" s="15121"/>
      <c r="NI41" s="15121">
        <f>OFFSET(NI41,0,-2)+1</f>
        <v>3</v>
      </c>
      <c r="NJ41" s="15121">
        <f>OFFSET(NJ41,0,-1)+1</f>
        <v>3</v>
      </c>
      <c r="NK41" s="15122"/>
      <c r="NL41" s="15122"/>
      <c r="NM41" s="15122"/>
      <c r="NN41" s="15122"/>
      <c r="NO41" s="15122"/>
      <c r="NP41" s="15122"/>
      <c r="NQ41" s="15121">
        <f>OFFSET(NQ41,0,-1)+1</f>
        <v>1</v>
      </c>
      <c r="NR41" s="15121">
        <f>OFFSET(NR41,0,-1)+1</f>
        <v>2</v>
      </c>
      <c r="NS41" s="15121"/>
      <c r="NT41" s="15121">
        <f>OFFSET(NT41,0,-2)+1</f>
        <v>3</v>
      </c>
      <c r="NU41" s="15121">
        <f>OFFSET(NU41,0,-1)+1</f>
        <v>3</v>
      </c>
      <c r="NV41" s="15122"/>
      <c r="NW41" s="15122"/>
      <c r="NX41" s="15122"/>
      <c r="NY41" s="15122"/>
      <c r="NZ41" s="15122"/>
      <c r="OA41" s="15122"/>
      <c r="OB41" s="15121">
        <f>OFFSET(OB41,0,-1)+1</f>
        <v>1</v>
      </c>
      <c r="OC41" s="15121">
        <f>OFFSET(OC41,0,-1)+1</f>
        <v>2</v>
      </c>
      <c r="OD41" s="15121"/>
      <c r="OE41" s="15121">
        <f>OFFSET(OE41,0,-2)+1</f>
        <v>3</v>
      </c>
      <c r="OF41" s="15121">
        <f>OFFSET(OF41,0,-1)+1</f>
        <v>3</v>
      </c>
      <c r="OG41" s="15122"/>
      <c r="OH41" s="15122"/>
      <c r="OI41" s="15122"/>
      <c r="OJ41" s="15122"/>
      <c r="OK41" s="15122"/>
      <c r="OL41" s="15122"/>
      <c r="OM41" s="15121">
        <f>OFFSET(OM41,0,-1)+1</f>
        <v>1</v>
      </c>
      <c r="ON41" s="15121">
        <f>OFFSET(ON41,0,-1)+1</f>
        <v>2</v>
      </c>
      <c r="OO41" s="15121"/>
      <c r="OP41" s="15121">
        <f>OFFSET(OP41,0,-2)+1</f>
        <v>3</v>
      </c>
      <c r="OQ41" s="1472">
        <f>OFFSET(OQ41,0,-1)</f>
        <v>4</v>
      </c>
      <c r="OR41" s="1710">
        <f>OFFSET(OR41,0,-1)+1</f>
        <v>5</v>
      </c>
      <c r="OS41" s="734"/>
      <c r="OT41" s="734"/>
      <c r="OU41" s="734"/>
      <c r="OV41" s="734"/>
      <c r="OW41" s="734"/>
    </row>
    <row customHeight="1" ht="23.25">
      <c r="A42" s="1591" t="s">
        <v>249</v>
      </c>
      <c r="B42" s="1591"/>
      <c r="C42" s="1591"/>
      <c r="D42" s="1591"/>
      <c r="E42" s="2389">
        <v>1</v>
      </c>
      <c r="F42" s="1591"/>
      <c r="G42" s="1591"/>
      <c r="H42" s="1591"/>
      <c r="I42" s="1591"/>
      <c r="J42" s="1591"/>
      <c r="K42" s="1591"/>
      <c r="L42" s="1592"/>
      <c r="M42" s="1593"/>
      <c r="N42" s="1593"/>
      <c r="O42" s="1593"/>
      <c r="P42" s="584"/>
      <c r="Q42" s="583"/>
      <c r="R42" s="578"/>
      <c r="S42" s="1721">
        <f>INDEX(PT_DIFFERENTIATION_NUM_NTAR,MATCH(A42,PT_DIFFERENTIATION_NTAR_ID,0))</f>
        <v>1</v>
      </c>
      <c r="T42" s="521" t="s">
        <v>122</v>
      </c>
      <c r="U42" s="523"/>
      <c r="V42" s="2383"/>
      <c r="W42" s="2384"/>
      <c r="X42" s="2384"/>
      <c r="Y42" s="2384"/>
      <c r="Z42" s="2384"/>
      <c r="AA42" s="2384"/>
      <c r="AB42" s="2384"/>
      <c r="AC42" s="2384"/>
      <c r="AD42" s="2384"/>
      <c r="AE42" s="2384"/>
      <c r="AF42" s="2385"/>
      <c r="AG42" s="2383" t="str">
        <f>INDEX(PT_DIFFERENTIATION_NTAR,MATCH(A42,PT_DIFFERENTIATION_NTAR_ID,0))</f>
        <v/>
      </c>
      <c r="AH42" s="2384"/>
      <c r="AI42" s="2384"/>
      <c r="AJ42" s="2384"/>
      <c r="AK42" s="2384"/>
      <c r="AL42" s="2384"/>
      <c r="AM42" s="2384"/>
      <c r="AN42" s="2384"/>
      <c r="AO42" s="2384"/>
      <c r="AP42" s="2384"/>
      <c r="AQ42" s="2384"/>
      <c r="AR42" s="6424"/>
      <c r="AS42" s="6425"/>
      <c r="AT42" s="6425"/>
      <c r="AU42" s="6425"/>
      <c r="AV42" s="6425"/>
      <c r="AW42" s="6425"/>
      <c r="AX42" s="6425"/>
      <c r="AY42" s="6425"/>
      <c r="AZ42" s="6425"/>
      <c r="BA42" s="6425"/>
      <c r="BB42" s="6426"/>
      <c r="BC42" s="6424"/>
      <c r="BD42" s="6425"/>
      <c r="BE42" s="6425"/>
      <c r="BF42" s="6425"/>
      <c r="BG42" s="6425"/>
      <c r="BH42" s="6425"/>
      <c r="BI42" s="6425"/>
      <c r="BJ42" s="6425"/>
      <c r="BK42" s="6425"/>
      <c r="BL42" s="6425"/>
      <c r="BM42" s="6426"/>
      <c r="BN42" s="9291"/>
      <c r="BO42" s="9292"/>
      <c r="BP42" s="9292"/>
      <c r="BQ42" s="9292"/>
      <c r="BR42" s="9292"/>
      <c r="BS42" s="9292"/>
      <c r="BT42" s="9292"/>
      <c r="BU42" s="9292"/>
      <c r="BV42" s="9292"/>
      <c r="BW42" s="9292"/>
      <c r="BX42" s="9293"/>
      <c r="BY42" s="9291"/>
      <c r="BZ42" s="9292"/>
      <c r="CA42" s="9292"/>
      <c r="CB42" s="9292"/>
      <c r="CC42" s="9292"/>
      <c r="CD42" s="9292"/>
      <c r="CE42" s="9292"/>
      <c r="CF42" s="9292"/>
      <c r="CG42" s="9292"/>
      <c r="CH42" s="9292"/>
      <c r="CI42" s="9293"/>
      <c r="CJ42" s="9291"/>
      <c r="CK42" s="9292"/>
      <c r="CL42" s="9292"/>
      <c r="CM42" s="9292"/>
      <c r="CN42" s="9292"/>
      <c r="CO42" s="9292"/>
      <c r="CP42" s="9292"/>
      <c r="CQ42" s="9292"/>
      <c r="CR42" s="9292"/>
      <c r="CS42" s="9292"/>
      <c r="CT42" s="9293"/>
      <c r="CU42" s="9291"/>
      <c r="CV42" s="9292"/>
      <c r="CW42" s="9292"/>
      <c r="CX42" s="9292"/>
      <c r="CY42" s="9292"/>
      <c r="CZ42" s="9292"/>
      <c r="DA42" s="9292"/>
      <c r="DB42" s="9292"/>
      <c r="DC42" s="9292"/>
      <c r="DD42" s="9292"/>
      <c r="DE42" s="9293"/>
      <c r="DF42" s="9291"/>
      <c r="DG42" s="9292"/>
      <c r="DH42" s="9292"/>
      <c r="DI42" s="9292"/>
      <c r="DJ42" s="9292"/>
      <c r="DK42" s="9292"/>
      <c r="DL42" s="9292"/>
      <c r="DM42" s="9292"/>
      <c r="DN42" s="9292"/>
      <c r="DO42" s="9292"/>
      <c r="DP42" s="9293"/>
      <c r="DQ42" s="9291"/>
      <c r="DR42" s="9292"/>
      <c r="DS42" s="9292"/>
      <c r="DT42" s="9292"/>
      <c r="DU42" s="9292"/>
      <c r="DV42" s="9292"/>
      <c r="DW42" s="9292"/>
      <c r="DX42" s="9292"/>
      <c r="DY42" s="9292"/>
      <c r="DZ42" s="9292"/>
      <c r="EA42" s="9293"/>
      <c r="EB42" s="9291"/>
      <c r="EC42" s="9292"/>
      <c r="ED42" s="9292"/>
      <c r="EE42" s="9292"/>
      <c r="EF42" s="9292"/>
      <c r="EG42" s="9292"/>
      <c r="EH42" s="9292"/>
      <c r="EI42" s="9292"/>
      <c r="EJ42" s="9292"/>
      <c r="EK42" s="9292"/>
      <c r="EL42" s="9293"/>
      <c r="EM42" s="9291"/>
      <c r="EN42" s="9292"/>
      <c r="EO42" s="9292"/>
      <c r="EP42" s="9292"/>
      <c r="EQ42" s="9292"/>
      <c r="ER42" s="9292"/>
      <c r="ES42" s="9292"/>
      <c r="ET42" s="9292"/>
      <c r="EU42" s="9292"/>
      <c r="EV42" s="9292"/>
      <c r="EW42" s="9293"/>
      <c r="EX42" s="9291"/>
      <c r="EY42" s="9292"/>
      <c r="EZ42" s="9292"/>
      <c r="FA42" s="9292"/>
      <c r="FB42" s="9292"/>
      <c r="FC42" s="9292"/>
      <c r="FD42" s="9292"/>
      <c r="FE42" s="9292"/>
      <c r="FF42" s="9292"/>
      <c r="FG42" s="9292"/>
      <c r="FH42" s="9293"/>
      <c r="FI42" s="9291"/>
      <c r="FJ42" s="9292"/>
      <c r="FK42" s="9292"/>
      <c r="FL42" s="9292"/>
      <c r="FM42" s="9292"/>
      <c r="FN42" s="9292"/>
      <c r="FO42" s="9292"/>
      <c r="FP42" s="9292"/>
      <c r="FQ42" s="9292"/>
      <c r="FR42" s="9292"/>
      <c r="FS42" s="9293"/>
      <c r="FT42" s="9291"/>
      <c r="FU42" s="9292"/>
      <c r="FV42" s="9292"/>
      <c r="FW42" s="9292"/>
      <c r="FX42" s="9292"/>
      <c r="FY42" s="9292"/>
      <c r="FZ42" s="9292"/>
      <c r="GA42" s="9292"/>
      <c r="GB42" s="9292"/>
      <c r="GC42" s="9292"/>
      <c r="GD42" s="9293"/>
      <c r="GE42" s="9291"/>
      <c r="GF42" s="9292"/>
      <c r="GG42" s="9292"/>
      <c r="GH42" s="9292"/>
      <c r="GI42" s="9292"/>
      <c r="GJ42" s="9292"/>
      <c r="GK42" s="9292"/>
      <c r="GL42" s="9292"/>
      <c r="GM42" s="9292"/>
      <c r="GN42" s="9292"/>
      <c r="GO42" s="9293"/>
      <c r="GP42" s="9291"/>
      <c r="GQ42" s="9292"/>
      <c r="GR42" s="9292"/>
      <c r="GS42" s="9292"/>
      <c r="GT42" s="9292"/>
      <c r="GU42" s="9292"/>
      <c r="GV42" s="9292"/>
      <c r="GW42" s="9292"/>
      <c r="GX42" s="9292"/>
      <c r="GY42" s="9292"/>
      <c r="GZ42" s="9293"/>
      <c r="HA42" s="9291"/>
      <c r="HB42" s="9292"/>
      <c r="HC42" s="9292"/>
      <c r="HD42" s="9292"/>
      <c r="HE42" s="9292"/>
      <c r="HF42" s="9292"/>
      <c r="HG42" s="9292"/>
      <c r="HH42" s="9292"/>
      <c r="HI42" s="9292"/>
      <c r="HJ42" s="9292"/>
      <c r="HK42" s="9293"/>
      <c r="HL42" s="9291"/>
      <c r="HM42" s="9292"/>
      <c r="HN42" s="9292"/>
      <c r="HO42" s="9292"/>
      <c r="HP42" s="9292"/>
      <c r="HQ42" s="9292"/>
      <c r="HR42" s="9292"/>
      <c r="HS42" s="9292"/>
      <c r="HT42" s="9292"/>
      <c r="HU42" s="9292"/>
      <c r="HV42" s="9293"/>
      <c r="HW42" s="9291"/>
      <c r="HX42" s="9292"/>
      <c r="HY42" s="9292"/>
      <c r="HZ42" s="9292"/>
      <c r="IA42" s="9292"/>
      <c r="IB42" s="9292"/>
      <c r="IC42" s="9292"/>
      <c r="ID42" s="9292"/>
      <c r="IE42" s="9292"/>
      <c r="IF42" s="9292"/>
      <c r="IG42" s="9293"/>
      <c r="IH42" s="9291"/>
      <c r="II42" s="9292"/>
      <c r="IJ42" s="9292"/>
      <c r="IK42" s="9292"/>
      <c r="IL42" s="9292"/>
      <c r="IM42" s="9292"/>
      <c r="IN42" s="9292"/>
      <c r="IO42" s="9292"/>
      <c r="IP42" s="9292"/>
      <c r="IQ42" s="9292"/>
      <c r="IR42" s="9293"/>
      <c r="IS42" s="9291"/>
      <c r="IT42" s="9292"/>
      <c r="IU42" s="9292"/>
      <c r="IV42" s="9292"/>
      <c r="IW42" s="9292"/>
      <c r="IX42" s="9292"/>
      <c r="IY42" s="9292"/>
      <c r="IZ42" s="9292"/>
      <c r="JA42" s="9292"/>
      <c r="JB42" s="9292"/>
      <c r="JC42" s="9293"/>
      <c r="JD42" s="9291"/>
      <c r="JE42" s="9292"/>
      <c r="JF42" s="9292"/>
      <c r="JG42" s="9292"/>
      <c r="JH42" s="9292"/>
      <c r="JI42" s="9292"/>
      <c r="JJ42" s="9292"/>
      <c r="JK42" s="9292"/>
      <c r="JL42" s="9292"/>
      <c r="JM42" s="9292"/>
      <c r="JN42" s="9293"/>
      <c r="JO42" s="9291"/>
      <c r="JP42" s="9292"/>
      <c r="JQ42" s="9292"/>
      <c r="JR42" s="9292"/>
      <c r="JS42" s="9292"/>
      <c r="JT42" s="9292"/>
      <c r="JU42" s="9292"/>
      <c r="JV42" s="9292"/>
      <c r="JW42" s="9292"/>
      <c r="JX42" s="9292"/>
      <c r="JY42" s="9293"/>
      <c r="JZ42" s="9291"/>
      <c r="KA42" s="9292"/>
      <c r="KB42" s="9292"/>
      <c r="KC42" s="9292"/>
      <c r="KD42" s="9292"/>
      <c r="KE42" s="9292"/>
      <c r="KF42" s="9292"/>
      <c r="KG42" s="9292"/>
      <c r="KH42" s="9292"/>
      <c r="KI42" s="9292"/>
      <c r="KJ42" s="9293"/>
      <c r="KK42" s="9291"/>
      <c r="KL42" s="9292"/>
      <c r="KM42" s="9292"/>
      <c r="KN42" s="9292"/>
      <c r="KO42" s="9292"/>
      <c r="KP42" s="9292"/>
      <c r="KQ42" s="9292"/>
      <c r="KR42" s="9292"/>
      <c r="KS42" s="9292"/>
      <c r="KT42" s="9292"/>
      <c r="KU42" s="9293"/>
      <c r="KV42" s="13901"/>
      <c r="KW42" s="13902"/>
      <c r="KX42" s="13902"/>
      <c r="KY42" s="13902"/>
      <c r="KZ42" s="13902"/>
      <c r="LA42" s="13902"/>
      <c r="LB42" s="13902"/>
      <c r="LC42" s="13902"/>
      <c r="LD42" s="13902"/>
      <c r="LE42" s="13902"/>
      <c r="LF42" s="13903"/>
      <c r="LG42" s="13901"/>
      <c r="LH42" s="13902"/>
      <c r="LI42" s="13902"/>
      <c r="LJ42" s="13902"/>
      <c r="LK42" s="13902"/>
      <c r="LL42" s="13902"/>
      <c r="LM42" s="13902"/>
      <c r="LN42" s="13902"/>
      <c r="LO42" s="13902"/>
      <c r="LP42" s="13902"/>
      <c r="LQ42" s="13903"/>
      <c r="LR42" s="13901"/>
      <c r="LS42" s="13902"/>
      <c r="LT42" s="13902"/>
      <c r="LU42" s="13902"/>
      <c r="LV42" s="13902"/>
      <c r="LW42" s="13902"/>
      <c r="LX42" s="13902"/>
      <c r="LY42" s="13902"/>
      <c r="LZ42" s="13902"/>
      <c r="MA42" s="13902"/>
      <c r="MB42" s="13903"/>
      <c r="MC42" s="13901"/>
      <c r="MD42" s="13902"/>
      <c r="ME42" s="13902"/>
      <c r="MF42" s="13902"/>
      <c r="MG42" s="13902"/>
      <c r="MH42" s="13902"/>
      <c r="MI42" s="13902"/>
      <c r="MJ42" s="13902"/>
      <c r="MK42" s="13902"/>
      <c r="ML42" s="13902"/>
      <c r="MM42" s="13903"/>
      <c r="MN42" s="13901"/>
      <c r="MO42" s="13902"/>
      <c r="MP42" s="13902"/>
      <c r="MQ42" s="13902"/>
      <c r="MR42" s="13902"/>
      <c r="MS42" s="13902"/>
      <c r="MT42" s="13902"/>
      <c r="MU42" s="13902"/>
      <c r="MV42" s="13902"/>
      <c r="MW42" s="13902"/>
      <c r="MX42" s="13903"/>
      <c r="MY42" s="13901"/>
      <c r="MZ42" s="13902"/>
      <c r="NA42" s="13902"/>
      <c r="NB42" s="13902"/>
      <c r="NC42" s="13902"/>
      <c r="ND42" s="13902"/>
      <c r="NE42" s="13902"/>
      <c r="NF42" s="13902"/>
      <c r="NG42" s="13902"/>
      <c r="NH42" s="13902"/>
      <c r="NI42" s="13903"/>
      <c r="NJ42" s="13901"/>
      <c r="NK42" s="13902"/>
      <c r="NL42" s="13902"/>
      <c r="NM42" s="13902"/>
      <c r="NN42" s="13902"/>
      <c r="NO42" s="13902"/>
      <c r="NP42" s="13902"/>
      <c r="NQ42" s="13902"/>
      <c r="NR42" s="13902"/>
      <c r="NS42" s="13902"/>
      <c r="NT42" s="13903"/>
      <c r="NU42" s="13901"/>
      <c r="NV42" s="13902"/>
      <c r="NW42" s="13902"/>
      <c r="NX42" s="13902"/>
      <c r="NY42" s="13902"/>
      <c r="NZ42" s="13902"/>
      <c r="OA42" s="13902"/>
      <c r="OB42" s="13902"/>
      <c r="OC42" s="13902"/>
      <c r="OD42" s="13902"/>
      <c r="OE42" s="13903"/>
      <c r="OF42" s="13901"/>
      <c r="OG42" s="13902"/>
      <c r="OH42" s="13902"/>
      <c r="OI42" s="13902"/>
      <c r="OJ42" s="13902"/>
      <c r="OK42" s="13902"/>
      <c r="OL42" s="13902"/>
      <c r="OM42" s="13902"/>
      <c r="ON42" s="13902"/>
      <c r="OO42" s="13902"/>
      <c r="OP42" s="13903"/>
      <c r="OQ42" s="2385"/>
      <c r="OR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OT42" s="723"/>
      <c r="OU42" s="723" t="str">
        <f>IF(T42="","",T42)</f>
        <v>Наименование тарифа</v>
      </c>
      <c r="OV42" s="723"/>
      <c r="OW42" s="723"/>
    </row>
    <row customHeight="1" ht="23.25">
      <c r="A43" s="1591" t="s">
        <v>249</v>
      </c>
      <c r="B43" s="1591" t="s">
        <v>250</v>
      </c>
      <c r="C43" s="1591"/>
      <c r="D43" s="1591"/>
      <c r="E43" s="2390"/>
      <c r="F43" s="2389">
        <v>1</v>
      </c>
      <c r="G43" s="1591"/>
      <c r="H43" s="1591"/>
      <c r="I43" s="1591"/>
      <c r="J43" s="1591"/>
      <c r="K43" s="1591"/>
      <c r="L43" s="1592"/>
      <c r="M43" s="1593"/>
      <c r="N43" s="1593"/>
      <c r="O43" s="1593"/>
      <c r="P43" s="1715"/>
      <c r="Q43" s="575"/>
      <c r="R43" s="576"/>
      <c r="S43" s="1721" t="str">
        <f>INDEX(PT_DIFFERENTIATION_NUM_TER,MATCH(B43,PT_DIFFERENTIATION_TER_ID,0))</f>
        <v>1.1</v>
      </c>
      <c r="T43" s="531" t="s">
        <v>398</v>
      </c>
      <c r="U43" s="523"/>
      <c r="V43" s="2383"/>
      <c r="W43" s="2384"/>
      <c r="X43" s="2384"/>
      <c r="Y43" s="2384"/>
      <c r="Z43" s="2384"/>
      <c r="AA43" s="2384"/>
      <c r="AB43" s="2384"/>
      <c r="AC43" s="2384"/>
      <c r="AD43" s="2384"/>
      <c r="AE43" s="2384"/>
      <c r="AF43" s="2385"/>
      <c r="AG43" s="2383" t="str">
        <f>INDEX(PT_DIFFERENTIATION_TER,MATCH(B43,PT_DIFFERENTIATION_TER_ID,0))</f>
        <v>Территория 1</v>
      </c>
      <c r="AH43" s="2384"/>
      <c r="AI43" s="2384"/>
      <c r="AJ43" s="2384"/>
      <c r="AK43" s="2384"/>
      <c r="AL43" s="2384"/>
      <c r="AM43" s="2384"/>
      <c r="AN43" s="2384"/>
      <c r="AO43" s="2384"/>
      <c r="AP43" s="2384"/>
      <c r="AQ43" s="2384"/>
      <c r="AR43" s="6424"/>
      <c r="AS43" s="6425"/>
      <c r="AT43" s="6425"/>
      <c r="AU43" s="6425"/>
      <c r="AV43" s="6425"/>
      <c r="AW43" s="6425"/>
      <c r="AX43" s="6425"/>
      <c r="AY43" s="6425"/>
      <c r="AZ43" s="6425"/>
      <c r="BA43" s="6425"/>
      <c r="BB43" s="6426"/>
      <c r="BC43" s="6424"/>
      <c r="BD43" s="6425"/>
      <c r="BE43" s="6425"/>
      <c r="BF43" s="6425"/>
      <c r="BG43" s="6425"/>
      <c r="BH43" s="6425"/>
      <c r="BI43" s="6425"/>
      <c r="BJ43" s="6425"/>
      <c r="BK43" s="6425"/>
      <c r="BL43" s="6425"/>
      <c r="BM43" s="6426"/>
      <c r="BN43" s="9291"/>
      <c r="BO43" s="9292"/>
      <c r="BP43" s="9292"/>
      <c r="BQ43" s="9292"/>
      <c r="BR43" s="9292"/>
      <c r="BS43" s="9292"/>
      <c r="BT43" s="9292"/>
      <c r="BU43" s="9292"/>
      <c r="BV43" s="9292"/>
      <c r="BW43" s="9292"/>
      <c r="BX43" s="9293"/>
      <c r="BY43" s="9291"/>
      <c r="BZ43" s="9292"/>
      <c r="CA43" s="9292"/>
      <c r="CB43" s="9292"/>
      <c r="CC43" s="9292"/>
      <c r="CD43" s="9292"/>
      <c r="CE43" s="9292"/>
      <c r="CF43" s="9292"/>
      <c r="CG43" s="9292"/>
      <c r="CH43" s="9292"/>
      <c r="CI43" s="9293"/>
      <c r="CJ43" s="9291"/>
      <c r="CK43" s="9292"/>
      <c r="CL43" s="9292"/>
      <c r="CM43" s="9292"/>
      <c r="CN43" s="9292"/>
      <c r="CO43" s="9292"/>
      <c r="CP43" s="9292"/>
      <c r="CQ43" s="9292"/>
      <c r="CR43" s="9292"/>
      <c r="CS43" s="9292"/>
      <c r="CT43" s="9293"/>
      <c r="CU43" s="9291"/>
      <c r="CV43" s="9292"/>
      <c r="CW43" s="9292"/>
      <c r="CX43" s="9292"/>
      <c r="CY43" s="9292"/>
      <c r="CZ43" s="9292"/>
      <c r="DA43" s="9292"/>
      <c r="DB43" s="9292"/>
      <c r="DC43" s="9292"/>
      <c r="DD43" s="9292"/>
      <c r="DE43" s="9293"/>
      <c r="DF43" s="9291"/>
      <c r="DG43" s="9292"/>
      <c r="DH43" s="9292"/>
      <c r="DI43" s="9292"/>
      <c r="DJ43" s="9292"/>
      <c r="DK43" s="9292"/>
      <c r="DL43" s="9292"/>
      <c r="DM43" s="9292"/>
      <c r="DN43" s="9292"/>
      <c r="DO43" s="9292"/>
      <c r="DP43" s="9293"/>
      <c r="DQ43" s="9291"/>
      <c r="DR43" s="9292"/>
      <c r="DS43" s="9292"/>
      <c r="DT43" s="9292"/>
      <c r="DU43" s="9292"/>
      <c r="DV43" s="9292"/>
      <c r="DW43" s="9292"/>
      <c r="DX43" s="9292"/>
      <c r="DY43" s="9292"/>
      <c r="DZ43" s="9292"/>
      <c r="EA43" s="9293"/>
      <c r="EB43" s="9291"/>
      <c r="EC43" s="9292"/>
      <c r="ED43" s="9292"/>
      <c r="EE43" s="9292"/>
      <c r="EF43" s="9292"/>
      <c r="EG43" s="9292"/>
      <c r="EH43" s="9292"/>
      <c r="EI43" s="9292"/>
      <c r="EJ43" s="9292"/>
      <c r="EK43" s="9292"/>
      <c r="EL43" s="9293"/>
      <c r="EM43" s="9291"/>
      <c r="EN43" s="9292"/>
      <c r="EO43" s="9292"/>
      <c r="EP43" s="9292"/>
      <c r="EQ43" s="9292"/>
      <c r="ER43" s="9292"/>
      <c r="ES43" s="9292"/>
      <c r="ET43" s="9292"/>
      <c r="EU43" s="9292"/>
      <c r="EV43" s="9292"/>
      <c r="EW43" s="9293"/>
      <c r="EX43" s="9291"/>
      <c r="EY43" s="9292"/>
      <c r="EZ43" s="9292"/>
      <c r="FA43" s="9292"/>
      <c r="FB43" s="9292"/>
      <c r="FC43" s="9292"/>
      <c r="FD43" s="9292"/>
      <c r="FE43" s="9292"/>
      <c r="FF43" s="9292"/>
      <c r="FG43" s="9292"/>
      <c r="FH43" s="9293"/>
      <c r="FI43" s="9291"/>
      <c r="FJ43" s="9292"/>
      <c r="FK43" s="9292"/>
      <c r="FL43" s="9292"/>
      <c r="FM43" s="9292"/>
      <c r="FN43" s="9292"/>
      <c r="FO43" s="9292"/>
      <c r="FP43" s="9292"/>
      <c r="FQ43" s="9292"/>
      <c r="FR43" s="9292"/>
      <c r="FS43" s="9293"/>
      <c r="FT43" s="9291"/>
      <c r="FU43" s="9292"/>
      <c r="FV43" s="9292"/>
      <c r="FW43" s="9292"/>
      <c r="FX43" s="9292"/>
      <c r="FY43" s="9292"/>
      <c r="FZ43" s="9292"/>
      <c r="GA43" s="9292"/>
      <c r="GB43" s="9292"/>
      <c r="GC43" s="9292"/>
      <c r="GD43" s="9293"/>
      <c r="GE43" s="9291"/>
      <c r="GF43" s="9292"/>
      <c r="GG43" s="9292"/>
      <c r="GH43" s="9292"/>
      <c r="GI43" s="9292"/>
      <c r="GJ43" s="9292"/>
      <c r="GK43" s="9292"/>
      <c r="GL43" s="9292"/>
      <c r="GM43" s="9292"/>
      <c r="GN43" s="9292"/>
      <c r="GO43" s="9293"/>
      <c r="GP43" s="9291"/>
      <c r="GQ43" s="9292"/>
      <c r="GR43" s="9292"/>
      <c r="GS43" s="9292"/>
      <c r="GT43" s="9292"/>
      <c r="GU43" s="9292"/>
      <c r="GV43" s="9292"/>
      <c r="GW43" s="9292"/>
      <c r="GX43" s="9292"/>
      <c r="GY43" s="9292"/>
      <c r="GZ43" s="9293"/>
      <c r="HA43" s="9291"/>
      <c r="HB43" s="9292"/>
      <c r="HC43" s="9292"/>
      <c r="HD43" s="9292"/>
      <c r="HE43" s="9292"/>
      <c r="HF43" s="9292"/>
      <c r="HG43" s="9292"/>
      <c r="HH43" s="9292"/>
      <c r="HI43" s="9292"/>
      <c r="HJ43" s="9292"/>
      <c r="HK43" s="9293"/>
      <c r="HL43" s="9291"/>
      <c r="HM43" s="9292"/>
      <c r="HN43" s="9292"/>
      <c r="HO43" s="9292"/>
      <c r="HP43" s="9292"/>
      <c r="HQ43" s="9292"/>
      <c r="HR43" s="9292"/>
      <c r="HS43" s="9292"/>
      <c r="HT43" s="9292"/>
      <c r="HU43" s="9292"/>
      <c r="HV43" s="9293"/>
      <c r="HW43" s="9291"/>
      <c r="HX43" s="9292"/>
      <c r="HY43" s="9292"/>
      <c r="HZ43" s="9292"/>
      <c r="IA43" s="9292"/>
      <c r="IB43" s="9292"/>
      <c r="IC43" s="9292"/>
      <c r="ID43" s="9292"/>
      <c r="IE43" s="9292"/>
      <c r="IF43" s="9292"/>
      <c r="IG43" s="9293"/>
      <c r="IH43" s="9291"/>
      <c r="II43" s="9292"/>
      <c r="IJ43" s="9292"/>
      <c r="IK43" s="9292"/>
      <c r="IL43" s="9292"/>
      <c r="IM43" s="9292"/>
      <c r="IN43" s="9292"/>
      <c r="IO43" s="9292"/>
      <c r="IP43" s="9292"/>
      <c r="IQ43" s="9292"/>
      <c r="IR43" s="9293"/>
      <c r="IS43" s="9291"/>
      <c r="IT43" s="9292"/>
      <c r="IU43" s="9292"/>
      <c r="IV43" s="9292"/>
      <c r="IW43" s="9292"/>
      <c r="IX43" s="9292"/>
      <c r="IY43" s="9292"/>
      <c r="IZ43" s="9292"/>
      <c r="JA43" s="9292"/>
      <c r="JB43" s="9292"/>
      <c r="JC43" s="9293"/>
      <c r="JD43" s="9291"/>
      <c r="JE43" s="9292"/>
      <c r="JF43" s="9292"/>
      <c r="JG43" s="9292"/>
      <c r="JH43" s="9292"/>
      <c r="JI43" s="9292"/>
      <c r="JJ43" s="9292"/>
      <c r="JK43" s="9292"/>
      <c r="JL43" s="9292"/>
      <c r="JM43" s="9292"/>
      <c r="JN43" s="9293"/>
      <c r="JO43" s="9291"/>
      <c r="JP43" s="9292"/>
      <c r="JQ43" s="9292"/>
      <c r="JR43" s="9292"/>
      <c r="JS43" s="9292"/>
      <c r="JT43" s="9292"/>
      <c r="JU43" s="9292"/>
      <c r="JV43" s="9292"/>
      <c r="JW43" s="9292"/>
      <c r="JX43" s="9292"/>
      <c r="JY43" s="9293"/>
      <c r="JZ43" s="9291"/>
      <c r="KA43" s="9292"/>
      <c r="KB43" s="9292"/>
      <c r="KC43" s="9292"/>
      <c r="KD43" s="9292"/>
      <c r="KE43" s="9292"/>
      <c r="KF43" s="9292"/>
      <c r="KG43" s="9292"/>
      <c r="KH43" s="9292"/>
      <c r="KI43" s="9292"/>
      <c r="KJ43" s="9293"/>
      <c r="KK43" s="9291"/>
      <c r="KL43" s="9292"/>
      <c r="KM43" s="9292"/>
      <c r="KN43" s="9292"/>
      <c r="KO43" s="9292"/>
      <c r="KP43" s="9292"/>
      <c r="KQ43" s="9292"/>
      <c r="KR43" s="9292"/>
      <c r="KS43" s="9292"/>
      <c r="KT43" s="9292"/>
      <c r="KU43" s="9293"/>
      <c r="KV43" s="13901"/>
      <c r="KW43" s="13902"/>
      <c r="KX43" s="13902"/>
      <c r="KY43" s="13902"/>
      <c r="KZ43" s="13902"/>
      <c r="LA43" s="13902"/>
      <c r="LB43" s="13902"/>
      <c r="LC43" s="13902"/>
      <c r="LD43" s="13902"/>
      <c r="LE43" s="13902"/>
      <c r="LF43" s="13903"/>
      <c r="LG43" s="13901"/>
      <c r="LH43" s="13902"/>
      <c r="LI43" s="13902"/>
      <c r="LJ43" s="13902"/>
      <c r="LK43" s="13902"/>
      <c r="LL43" s="13902"/>
      <c r="LM43" s="13902"/>
      <c r="LN43" s="13902"/>
      <c r="LO43" s="13902"/>
      <c r="LP43" s="13902"/>
      <c r="LQ43" s="13903"/>
      <c r="LR43" s="13901"/>
      <c r="LS43" s="13902"/>
      <c r="LT43" s="13902"/>
      <c r="LU43" s="13902"/>
      <c r="LV43" s="13902"/>
      <c r="LW43" s="13902"/>
      <c r="LX43" s="13902"/>
      <c r="LY43" s="13902"/>
      <c r="LZ43" s="13902"/>
      <c r="MA43" s="13902"/>
      <c r="MB43" s="13903"/>
      <c r="MC43" s="13901"/>
      <c r="MD43" s="13902"/>
      <c r="ME43" s="13902"/>
      <c r="MF43" s="13902"/>
      <c r="MG43" s="13902"/>
      <c r="MH43" s="13902"/>
      <c r="MI43" s="13902"/>
      <c r="MJ43" s="13902"/>
      <c r="MK43" s="13902"/>
      <c r="ML43" s="13902"/>
      <c r="MM43" s="13903"/>
      <c r="MN43" s="13901"/>
      <c r="MO43" s="13902"/>
      <c r="MP43" s="13902"/>
      <c r="MQ43" s="13902"/>
      <c r="MR43" s="13902"/>
      <c r="MS43" s="13902"/>
      <c r="MT43" s="13902"/>
      <c r="MU43" s="13902"/>
      <c r="MV43" s="13902"/>
      <c r="MW43" s="13902"/>
      <c r="MX43" s="13903"/>
      <c r="MY43" s="13901"/>
      <c r="MZ43" s="13902"/>
      <c r="NA43" s="13902"/>
      <c r="NB43" s="13902"/>
      <c r="NC43" s="13902"/>
      <c r="ND43" s="13902"/>
      <c r="NE43" s="13902"/>
      <c r="NF43" s="13902"/>
      <c r="NG43" s="13902"/>
      <c r="NH43" s="13902"/>
      <c r="NI43" s="13903"/>
      <c r="NJ43" s="13901"/>
      <c r="NK43" s="13902"/>
      <c r="NL43" s="13902"/>
      <c r="NM43" s="13902"/>
      <c r="NN43" s="13902"/>
      <c r="NO43" s="13902"/>
      <c r="NP43" s="13902"/>
      <c r="NQ43" s="13902"/>
      <c r="NR43" s="13902"/>
      <c r="NS43" s="13902"/>
      <c r="NT43" s="13903"/>
      <c r="NU43" s="13901"/>
      <c r="NV43" s="13902"/>
      <c r="NW43" s="13902"/>
      <c r="NX43" s="13902"/>
      <c r="NY43" s="13902"/>
      <c r="NZ43" s="13902"/>
      <c r="OA43" s="13902"/>
      <c r="OB43" s="13902"/>
      <c r="OC43" s="13902"/>
      <c r="OD43" s="13902"/>
      <c r="OE43" s="13903"/>
      <c r="OF43" s="13901"/>
      <c r="OG43" s="13902"/>
      <c r="OH43" s="13902"/>
      <c r="OI43" s="13902"/>
      <c r="OJ43" s="13902"/>
      <c r="OK43" s="13902"/>
      <c r="OL43" s="13902"/>
      <c r="OM43" s="13902"/>
      <c r="ON43" s="13902"/>
      <c r="OO43" s="13902"/>
      <c r="OP43" s="13903"/>
      <c r="OQ43" s="2385"/>
      <c r="OR43" s="1485" t="s">
        <v>399</v>
      </c>
      <c r="OT43" s="723"/>
      <c r="OU43" s="723" t="str">
        <f>IF(T43="","",T43)</f>
        <v>Территория действия тарифа</v>
      </c>
      <c r="OV43" s="723"/>
      <c r="OW43" s="723"/>
    </row>
    <row customHeight="1" ht="23.25">
      <c r="A44" s="1591" t="s">
        <v>249</v>
      </c>
      <c r="B44" s="1591" t="s">
        <v>250</v>
      </c>
      <c r="C44" s="1591" t="s">
        <v>251</v>
      </c>
      <c r="D44" s="1591"/>
      <c r="E44" s="2390"/>
      <c r="F44" s="2390"/>
      <c r="G44" s="2389">
        <v>1</v>
      </c>
      <c r="H44" s="1591"/>
      <c r="I44" s="1591"/>
      <c r="J44" s="1591"/>
      <c r="K44" s="1591"/>
      <c r="L44" s="1592"/>
      <c r="M44" s="1593"/>
      <c r="N44" s="1593"/>
      <c r="O44" s="1593"/>
      <c r="P44" s="577"/>
      <c r="Q44" s="575"/>
      <c r="R44" s="576"/>
      <c r="S44" s="1721" t="str">
        <f>INDEX(PT_DIFFERENTIATION_NUM_CS,MATCH(C44,PT_DIFFERENTIATION_CS_ID,0))</f>
        <v>1.1.1</v>
      </c>
      <c r="T44" s="532" t="s">
        <v>529</v>
      </c>
      <c r="U44" s="523"/>
      <c r="V44" s="2383"/>
      <c r="W44" s="2384"/>
      <c r="X44" s="2384"/>
      <c r="Y44" s="2384"/>
      <c r="Z44" s="2384"/>
      <c r="AA44" s="2384"/>
      <c r="AB44" s="2384"/>
      <c r="AC44" s="2384"/>
      <c r="AD44" s="2384"/>
      <c r="AE44" s="2384"/>
      <c r="AF44" s="2385"/>
      <c r="AG44" s="2383" t="str">
        <f>INDEX(PT_DIFFERENTIATION_CS,MATCH(C44,PT_DIFFERENTIATION_CS_ID,0))</f>
        <v>без дифференциации</v>
      </c>
      <c r="AH44" s="2384"/>
      <c r="AI44" s="2384"/>
      <c r="AJ44" s="2384"/>
      <c r="AK44" s="2384"/>
      <c r="AL44" s="2384"/>
      <c r="AM44" s="2384"/>
      <c r="AN44" s="2384"/>
      <c r="AO44" s="2384"/>
      <c r="AP44" s="2384"/>
      <c r="AQ44" s="2384"/>
      <c r="AR44" s="6424"/>
      <c r="AS44" s="6425"/>
      <c r="AT44" s="6425"/>
      <c r="AU44" s="6425"/>
      <c r="AV44" s="6425"/>
      <c r="AW44" s="6425"/>
      <c r="AX44" s="6425"/>
      <c r="AY44" s="6425"/>
      <c r="AZ44" s="6425"/>
      <c r="BA44" s="6425"/>
      <c r="BB44" s="6426"/>
      <c r="BC44" s="6424"/>
      <c r="BD44" s="6425"/>
      <c r="BE44" s="6425"/>
      <c r="BF44" s="6425"/>
      <c r="BG44" s="6425"/>
      <c r="BH44" s="6425"/>
      <c r="BI44" s="6425"/>
      <c r="BJ44" s="6425"/>
      <c r="BK44" s="6425"/>
      <c r="BL44" s="6425"/>
      <c r="BM44" s="6426"/>
      <c r="BN44" s="9291"/>
      <c r="BO44" s="9292"/>
      <c r="BP44" s="9292"/>
      <c r="BQ44" s="9292"/>
      <c r="BR44" s="9292"/>
      <c r="BS44" s="9292"/>
      <c r="BT44" s="9292"/>
      <c r="BU44" s="9292"/>
      <c r="BV44" s="9292"/>
      <c r="BW44" s="9292"/>
      <c r="BX44" s="9293"/>
      <c r="BY44" s="9291"/>
      <c r="BZ44" s="9292"/>
      <c r="CA44" s="9292"/>
      <c r="CB44" s="9292"/>
      <c r="CC44" s="9292"/>
      <c r="CD44" s="9292"/>
      <c r="CE44" s="9292"/>
      <c r="CF44" s="9292"/>
      <c r="CG44" s="9292"/>
      <c r="CH44" s="9292"/>
      <c r="CI44" s="9293"/>
      <c r="CJ44" s="9291"/>
      <c r="CK44" s="9292"/>
      <c r="CL44" s="9292"/>
      <c r="CM44" s="9292"/>
      <c r="CN44" s="9292"/>
      <c r="CO44" s="9292"/>
      <c r="CP44" s="9292"/>
      <c r="CQ44" s="9292"/>
      <c r="CR44" s="9292"/>
      <c r="CS44" s="9292"/>
      <c r="CT44" s="9293"/>
      <c r="CU44" s="9291"/>
      <c r="CV44" s="9292"/>
      <c r="CW44" s="9292"/>
      <c r="CX44" s="9292"/>
      <c r="CY44" s="9292"/>
      <c r="CZ44" s="9292"/>
      <c r="DA44" s="9292"/>
      <c r="DB44" s="9292"/>
      <c r="DC44" s="9292"/>
      <c r="DD44" s="9292"/>
      <c r="DE44" s="9293"/>
      <c r="DF44" s="9291"/>
      <c r="DG44" s="9292"/>
      <c r="DH44" s="9292"/>
      <c r="DI44" s="9292"/>
      <c r="DJ44" s="9292"/>
      <c r="DK44" s="9292"/>
      <c r="DL44" s="9292"/>
      <c r="DM44" s="9292"/>
      <c r="DN44" s="9292"/>
      <c r="DO44" s="9292"/>
      <c r="DP44" s="9293"/>
      <c r="DQ44" s="9291"/>
      <c r="DR44" s="9292"/>
      <c r="DS44" s="9292"/>
      <c r="DT44" s="9292"/>
      <c r="DU44" s="9292"/>
      <c r="DV44" s="9292"/>
      <c r="DW44" s="9292"/>
      <c r="DX44" s="9292"/>
      <c r="DY44" s="9292"/>
      <c r="DZ44" s="9292"/>
      <c r="EA44" s="9293"/>
      <c r="EB44" s="9291"/>
      <c r="EC44" s="9292"/>
      <c r="ED44" s="9292"/>
      <c r="EE44" s="9292"/>
      <c r="EF44" s="9292"/>
      <c r="EG44" s="9292"/>
      <c r="EH44" s="9292"/>
      <c r="EI44" s="9292"/>
      <c r="EJ44" s="9292"/>
      <c r="EK44" s="9292"/>
      <c r="EL44" s="9293"/>
      <c r="EM44" s="9291"/>
      <c r="EN44" s="9292"/>
      <c r="EO44" s="9292"/>
      <c r="EP44" s="9292"/>
      <c r="EQ44" s="9292"/>
      <c r="ER44" s="9292"/>
      <c r="ES44" s="9292"/>
      <c r="ET44" s="9292"/>
      <c r="EU44" s="9292"/>
      <c r="EV44" s="9292"/>
      <c r="EW44" s="9293"/>
      <c r="EX44" s="9291"/>
      <c r="EY44" s="9292"/>
      <c r="EZ44" s="9292"/>
      <c r="FA44" s="9292"/>
      <c r="FB44" s="9292"/>
      <c r="FC44" s="9292"/>
      <c r="FD44" s="9292"/>
      <c r="FE44" s="9292"/>
      <c r="FF44" s="9292"/>
      <c r="FG44" s="9292"/>
      <c r="FH44" s="9293"/>
      <c r="FI44" s="9291"/>
      <c r="FJ44" s="9292"/>
      <c r="FK44" s="9292"/>
      <c r="FL44" s="9292"/>
      <c r="FM44" s="9292"/>
      <c r="FN44" s="9292"/>
      <c r="FO44" s="9292"/>
      <c r="FP44" s="9292"/>
      <c r="FQ44" s="9292"/>
      <c r="FR44" s="9292"/>
      <c r="FS44" s="9293"/>
      <c r="FT44" s="9291"/>
      <c r="FU44" s="9292"/>
      <c r="FV44" s="9292"/>
      <c r="FW44" s="9292"/>
      <c r="FX44" s="9292"/>
      <c r="FY44" s="9292"/>
      <c r="FZ44" s="9292"/>
      <c r="GA44" s="9292"/>
      <c r="GB44" s="9292"/>
      <c r="GC44" s="9292"/>
      <c r="GD44" s="9293"/>
      <c r="GE44" s="9291"/>
      <c r="GF44" s="9292"/>
      <c r="GG44" s="9292"/>
      <c r="GH44" s="9292"/>
      <c r="GI44" s="9292"/>
      <c r="GJ44" s="9292"/>
      <c r="GK44" s="9292"/>
      <c r="GL44" s="9292"/>
      <c r="GM44" s="9292"/>
      <c r="GN44" s="9292"/>
      <c r="GO44" s="9293"/>
      <c r="GP44" s="9291"/>
      <c r="GQ44" s="9292"/>
      <c r="GR44" s="9292"/>
      <c r="GS44" s="9292"/>
      <c r="GT44" s="9292"/>
      <c r="GU44" s="9292"/>
      <c r="GV44" s="9292"/>
      <c r="GW44" s="9292"/>
      <c r="GX44" s="9292"/>
      <c r="GY44" s="9292"/>
      <c r="GZ44" s="9293"/>
      <c r="HA44" s="9291"/>
      <c r="HB44" s="9292"/>
      <c r="HC44" s="9292"/>
      <c r="HD44" s="9292"/>
      <c r="HE44" s="9292"/>
      <c r="HF44" s="9292"/>
      <c r="HG44" s="9292"/>
      <c r="HH44" s="9292"/>
      <c r="HI44" s="9292"/>
      <c r="HJ44" s="9292"/>
      <c r="HK44" s="9293"/>
      <c r="HL44" s="9291"/>
      <c r="HM44" s="9292"/>
      <c r="HN44" s="9292"/>
      <c r="HO44" s="9292"/>
      <c r="HP44" s="9292"/>
      <c r="HQ44" s="9292"/>
      <c r="HR44" s="9292"/>
      <c r="HS44" s="9292"/>
      <c r="HT44" s="9292"/>
      <c r="HU44" s="9292"/>
      <c r="HV44" s="9293"/>
      <c r="HW44" s="9291"/>
      <c r="HX44" s="9292"/>
      <c r="HY44" s="9292"/>
      <c r="HZ44" s="9292"/>
      <c r="IA44" s="9292"/>
      <c r="IB44" s="9292"/>
      <c r="IC44" s="9292"/>
      <c r="ID44" s="9292"/>
      <c r="IE44" s="9292"/>
      <c r="IF44" s="9292"/>
      <c r="IG44" s="9293"/>
      <c r="IH44" s="9291"/>
      <c r="II44" s="9292"/>
      <c r="IJ44" s="9292"/>
      <c r="IK44" s="9292"/>
      <c r="IL44" s="9292"/>
      <c r="IM44" s="9292"/>
      <c r="IN44" s="9292"/>
      <c r="IO44" s="9292"/>
      <c r="IP44" s="9292"/>
      <c r="IQ44" s="9292"/>
      <c r="IR44" s="9293"/>
      <c r="IS44" s="9291"/>
      <c r="IT44" s="9292"/>
      <c r="IU44" s="9292"/>
      <c r="IV44" s="9292"/>
      <c r="IW44" s="9292"/>
      <c r="IX44" s="9292"/>
      <c r="IY44" s="9292"/>
      <c r="IZ44" s="9292"/>
      <c r="JA44" s="9292"/>
      <c r="JB44" s="9292"/>
      <c r="JC44" s="9293"/>
      <c r="JD44" s="9291"/>
      <c r="JE44" s="9292"/>
      <c r="JF44" s="9292"/>
      <c r="JG44" s="9292"/>
      <c r="JH44" s="9292"/>
      <c r="JI44" s="9292"/>
      <c r="JJ44" s="9292"/>
      <c r="JK44" s="9292"/>
      <c r="JL44" s="9292"/>
      <c r="JM44" s="9292"/>
      <c r="JN44" s="9293"/>
      <c r="JO44" s="9291"/>
      <c r="JP44" s="9292"/>
      <c r="JQ44" s="9292"/>
      <c r="JR44" s="9292"/>
      <c r="JS44" s="9292"/>
      <c r="JT44" s="9292"/>
      <c r="JU44" s="9292"/>
      <c r="JV44" s="9292"/>
      <c r="JW44" s="9292"/>
      <c r="JX44" s="9292"/>
      <c r="JY44" s="9293"/>
      <c r="JZ44" s="9291"/>
      <c r="KA44" s="9292"/>
      <c r="KB44" s="9292"/>
      <c r="KC44" s="9292"/>
      <c r="KD44" s="9292"/>
      <c r="KE44" s="9292"/>
      <c r="KF44" s="9292"/>
      <c r="KG44" s="9292"/>
      <c r="KH44" s="9292"/>
      <c r="KI44" s="9292"/>
      <c r="KJ44" s="9293"/>
      <c r="KK44" s="9291"/>
      <c r="KL44" s="9292"/>
      <c r="KM44" s="9292"/>
      <c r="KN44" s="9292"/>
      <c r="KO44" s="9292"/>
      <c r="KP44" s="9292"/>
      <c r="KQ44" s="9292"/>
      <c r="KR44" s="9292"/>
      <c r="KS44" s="9292"/>
      <c r="KT44" s="9292"/>
      <c r="KU44" s="9293"/>
      <c r="KV44" s="13901"/>
      <c r="KW44" s="13902"/>
      <c r="KX44" s="13902"/>
      <c r="KY44" s="13902"/>
      <c r="KZ44" s="13902"/>
      <c r="LA44" s="13902"/>
      <c r="LB44" s="13902"/>
      <c r="LC44" s="13902"/>
      <c r="LD44" s="13902"/>
      <c r="LE44" s="13902"/>
      <c r="LF44" s="13903"/>
      <c r="LG44" s="13901"/>
      <c r="LH44" s="13902"/>
      <c r="LI44" s="13902"/>
      <c r="LJ44" s="13902"/>
      <c r="LK44" s="13902"/>
      <c r="LL44" s="13902"/>
      <c r="LM44" s="13902"/>
      <c r="LN44" s="13902"/>
      <c r="LO44" s="13902"/>
      <c r="LP44" s="13902"/>
      <c r="LQ44" s="13903"/>
      <c r="LR44" s="13901"/>
      <c r="LS44" s="13902"/>
      <c r="LT44" s="13902"/>
      <c r="LU44" s="13902"/>
      <c r="LV44" s="13902"/>
      <c r="LW44" s="13902"/>
      <c r="LX44" s="13902"/>
      <c r="LY44" s="13902"/>
      <c r="LZ44" s="13902"/>
      <c r="MA44" s="13902"/>
      <c r="MB44" s="13903"/>
      <c r="MC44" s="13901"/>
      <c r="MD44" s="13902"/>
      <c r="ME44" s="13902"/>
      <c r="MF44" s="13902"/>
      <c r="MG44" s="13902"/>
      <c r="MH44" s="13902"/>
      <c r="MI44" s="13902"/>
      <c r="MJ44" s="13902"/>
      <c r="MK44" s="13902"/>
      <c r="ML44" s="13902"/>
      <c r="MM44" s="13903"/>
      <c r="MN44" s="13901"/>
      <c r="MO44" s="13902"/>
      <c r="MP44" s="13902"/>
      <c r="MQ44" s="13902"/>
      <c r="MR44" s="13902"/>
      <c r="MS44" s="13902"/>
      <c r="MT44" s="13902"/>
      <c r="MU44" s="13902"/>
      <c r="MV44" s="13902"/>
      <c r="MW44" s="13902"/>
      <c r="MX44" s="13903"/>
      <c r="MY44" s="13901"/>
      <c r="MZ44" s="13902"/>
      <c r="NA44" s="13902"/>
      <c r="NB44" s="13902"/>
      <c r="NC44" s="13902"/>
      <c r="ND44" s="13902"/>
      <c r="NE44" s="13902"/>
      <c r="NF44" s="13902"/>
      <c r="NG44" s="13902"/>
      <c r="NH44" s="13902"/>
      <c r="NI44" s="13903"/>
      <c r="NJ44" s="13901"/>
      <c r="NK44" s="13902"/>
      <c r="NL44" s="13902"/>
      <c r="NM44" s="13902"/>
      <c r="NN44" s="13902"/>
      <c r="NO44" s="13902"/>
      <c r="NP44" s="13902"/>
      <c r="NQ44" s="13902"/>
      <c r="NR44" s="13902"/>
      <c r="NS44" s="13902"/>
      <c r="NT44" s="13903"/>
      <c r="NU44" s="13901"/>
      <c r="NV44" s="13902"/>
      <c r="NW44" s="13902"/>
      <c r="NX44" s="13902"/>
      <c r="NY44" s="13902"/>
      <c r="NZ44" s="13902"/>
      <c r="OA44" s="13902"/>
      <c r="OB44" s="13902"/>
      <c r="OC44" s="13902"/>
      <c r="OD44" s="13902"/>
      <c r="OE44" s="13903"/>
      <c r="OF44" s="13901"/>
      <c r="OG44" s="13902"/>
      <c r="OH44" s="13902"/>
      <c r="OI44" s="13902"/>
      <c r="OJ44" s="13902"/>
      <c r="OK44" s="13902"/>
      <c r="OL44" s="13902"/>
      <c r="OM44" s="13902"/>
      <c r="ON44" s="13902"/>
      <c r="OO44" s="13902"/>
      <c r="OP44" s="13903"/>
      <c r="OQ44" s="2385"/>
      <c r="OR44" s="1485" t="s">
        <v>530</v>
      </c>
      <c r="OT44" s="723"/>
      <c r="OU44" s="723" t="str">
        <f>IF(T44="","",T44)</f>
        <v>Наименование централизованной системы горячего водоснабжения</v>
      </c>
      <c r="OV44" s="723"/>
      <c r="OW44" s="723"/>
    </row>
    <row customHeight="1" ht="23.25">
      <c r="A45" s="1591" t="s">
        <v>249</v>
      </c>
      <c r="B45" s="1591" t="s">
        <v>250</v>
      </c>
      <c r="C45" s="1591" t="s">
        <v>251</v>
      </c>
      <c r="D45" s="1591" t="s">
        <v>542</v>
      </c>
      <c r="E45" s="2390"/>
      <c r="F45" s="2390"/>
      <c r="G45" s="2390"/>
      <c r="H45" s="2390"/>
      <c r="I45" s="2391" t="str">
        <f>S44&amp;".1"</f>
        <v>1.1.1.1</v>
      </c>
      <c r="J45" s="1591"/>
      <c r="K45" s="1591"/>
      <c r="L45" s="1592"/>
      <c r="P45" s="2393">
        <v>1</v>
      </c>
      <c r="Q45" s="1709"/>
      <c r="R45" s="579"/>
      <c r="S45" s="1721" t="str">
        <f>$I45</f>
        <v>1.1.1.1</v>
      </c>
      <c r="T45" s="508" t="s">
        <v>482</v>
      </c>
      <c r="U45" s="523"/>
      <c r="V45" s="2476"/>
      <c r="W45" s="2477"/>
      <c r="X45" s="2477"/>
      <c r="Y45" s="2477"/>
      <c r="Z45" s="2477"/>
      <c r="AA45" s="2477"/>
      <c r="AB45" s="2477"/>
      <c r="AC45" s="2477"/>
      <c r="AD45" s="2477"/>
      <c r="AE45" s="2477"/>
      <c r="AF45" s="2478"/>
      <c r="AG45" s="2479"/>
      <c r="AH45" s="2480"/>
      <c r="AI45" s="2480"/>
      <c r="AJ45" s="2480"/>
      <c r="AK45" s="2480"/>
      <c r="AL45" s="2480"/>
      <c r="AM45" s="2480"/>
      <c r="AN45" s="2480"/>
      <c r="AO45" s="2480"/>
      <c r="AP45" s="2480"/>
      <c r="AQ45" s="2480"/>
      <c r="AR45" s="6427"/>
      <c r="AS45" s="6428"/>
      <c r="AT45" s="6428"/>
      <c r="AU45" s="6428"/>
      <c r="AV45" s="6428"/>
      <c r="AW45" s="6428"/>
      <c r="AX45" s="6428"/>
      <c r="AY45" s="6428"/>
      <c r="AZ45" s="6428"/>
      <c r="BA45" s="6428"/>
      <c r="BB45" s="6429"/>
      <c r="BC45" s="6427"/>
      <c r="BD45" s="6428"/>
      <c r="BE45" s="6428"/>
      <c r="BF45" s="6428"/>
      <c r="BG45" s="6428"/>
      <c r="BH45" s="6428"/>
      <c r="BI45" s="6428"/>
      <c r="BJ45" s="6428"/>
      <c r="BK45" s="6428"/>
      <c r="BL45" s="6428"/>
      <c r="BM45" s="6429"/>
      <c r="BN45" s="9297"/>
      <c r="BO45" s="9298"/>
      <c r="BP45" s="9298"/>
      <c r="BQ45" s="9298"/>
      <c r="BR45" s="9298"/>
      <c r="BS45" s="9298"/>
      <c r="BT45" s="9298"/>
      <c r="BU45" s="9298"/>
      <c r="BV45" s="9298"/>
      <c r="BW45" s="9298"/>
      <c r="BX45" s="9299"/>
      <c r="BY45" s="9297"/>
      <c r="BZ45" s="9298"/>
      <c r="CA45" s="9298"/>
      <c r="CB45" s="9298"/>
      <c r="CC45" s="9298"/>
      <c r="CD45" s="9298"/>
      <c r="CE45" s="9298"/>
      <c r="CF45" s="9298"/>
      <c r="CG45" s="9298"/>
      <c r="CH45" s="9298"/>
      <c r="CI45" s="9299"/>
      <c r="CJ45" s="9297"/>
      <c r="CK45" s="9298"/>
      <c r="CL45" s="9298"/>
      <c r="CM45" s="9298"/>
      <c r="CN45" s="9298"/>
      <c r="CO45" s="9298"/>
      <c r="CP45" s="9298"/>
      <c r="CQ45" s="9298"/>
      <c r="CR45" s="9298"/>
      <c r="CS45" s="9298"/>
      <c r="CT45" s="9299"/>
      <c r="CU45" s="9297"/>
      <c r="CV45" s="9298"/>
      <c r="CW45" s="9298"/>
      <c r="CX45" s="9298"/>
      <c r="CY45" s="9298"/>
      <c r="CZ45" s="9298"/>
      <c r="DA45" s="9298"/>
      <c r="DB45" s="9298"/>
      <c r="DC45" s="9298"/>
      <c r="DD45" s="9298"/>
      <c r="DE45" s="9299"/>
      <c r="DF45" s="9297"/>
      <c r="DG45" s="9298"/>
      <c r="DH45" s="9298"/>
      <c r="DI45" s="9298"/>
      <c r="DJ45" s="9298"/>
      <c r="DK45" s="9298"/>
      <c r="DL45" s="9298"/>
      <c r="DM45" s="9298"/>
      <c r="DN45" s="9298"/>
      <c r="DO45" s="9298"/>
      <c r="DP45" s="9299"/>
      <c r="DQ45" s="9297"/>
      <c r="DR45" s="9298"/>
      <c r="DS45" s="9298"/>
      <c r="DT45" s="9298"/>
      <c r="DU45" s="9298"/>
      <c r="DV45" s="9298"/>
      <c r="DW45" s="9298"/>
      <c r="DX45" s="9298"/>
      <c r="DY45" s="9298"/>
      <c r="DZ45" s="9298"/>
      <c r="EA45" s="9299"/>
      <c r="EB45" s="9297"/>
      <c r="EC45" s="9298"/>
      <c r="ED45" s="9298"/>
      <c r="EE45" s="9298"/>
      <c r="EF45" s="9298"/>
      <c r="EG45" s="9298"/>
      <c r="EH45" s="9298"/>
      <c r="EI45" s="9298"/>
      <c r="EJ45" s="9298"/>
      <c r="EK45" s="9298"/>
      <c r="EL45" s="9299"/>
      <c r="EM45" s="9297"/>
      <c r="EN45" s="9298"/>
      <c r="EO45" s="9298"/>
      <c r="EP45" s="9298"/>
      <c r="EQ45" s="9298"/>
      <c r="ER45" s="9298"/>
      <c r="ES45" s="9298"/>
      <c r="ET45" s="9298"/>
      <c r="EU45" s="9298"/>
      <c r="EV45" s="9298"/>
      <c r="EW45" s="9299"/>
      <c r="EX45" s="9297"/>
      <c r="EY45" s="9298"/>
      <c r="EZ45" s="9298"/>
      <c r="FA45" s="9298"/>
      <c r="FB45" s="9298"/>
      <c r="FC45" s="9298"/>
      <c r="FD45" s="9298"/>
      <c r="FE45" s="9298"/>
      <c r="FF45" s="9298"/>
      <c r="FG45" s="9298"/>
      <c r="FH45" s="9299"/>
      <c r="FI45" s="9297"/>
      <c r="FJ45" s="9298"/>
      <c r="FK45" s="9298"/>
      <c r="FL45" s="9298"/>
      <c r="FM45" s="9298"/>
      <c r="FN45" s="9298"/>
      <c r="FO45" s="9298"/>
      <c r="FP45" s="9298"/>
      <c r="FQ45" s="9298"/>
      <c r="FR45" s="9298"/>
      <c r="FS45" s="9299"/>
      <c r="FT45" s="9297"/>
      <c r="FU45" s="9298"/>
      <c r="FV45" s="9298"/>
      <c r="FW45" s="9298"/>
      <c r="FX45" s="9298"/>
      <c r="FY45" s="9298"/>
      <c r="FZ45" s="9298"/>
      <c r="GA45" s="9298"/>
      <c r="GB45" s="9298"/>
      <c r="GC45" s="9298"/>
      <c r="GD45" s="9299"/>
      <c r="GE45" s="9297"/>
      <c r="GF45" s="9298"/>
      <c r="GG45" s="9298"/>
      <c r="GH45" s="9298"/>
      <c r="GI45" s="9298"/>
      <c r="GJ45" s="9298"/>
      <c r="GK45" s="9298"/>
      <c r="GL45" s="9298"/>
      <c r="GM45" s="9298"/>
      <c r="GN45" s="9298"/>
      <c r="GO45" s="9299"/>
      <c r="GP45" s="9297"/>
      <c r="GQ45" s="9298"/>
      <c r="GR45" s="9298"/>
      <c r="GS45" s="9298"/>
      <c r="GT45" s="9298"/>
      <c r="GU45" s="9298"/>
      <c r="GV45" s="9298"/>
      <c r="GW45" s="9298"/>
      <c r="GX45" s="9298"/>
      <c r="GY45" s="9298"/>
      <c r="GZ45" s="9299"/>
      <c r="HA45" s="9297"/>
      <c r="HB45" s="9298"/>
      <c r="HC45" s="9298"/>
      <c r="HD45" s="9298"/>
      <c r="HE45" s="9298"/>
      <c r="HF45" s="9298"/>
      <c r="HG45" s="9298"/>
      <c r="HH45" s="9298"/>
      <c r="HI45" s="9298"/>
      <c r="HJ45" s="9298"/>
      <c r="HK45" s="9299"/>
      <c r="HL45" s="9297"/>
      <c r="HM45" s="9298"/>
      <c r="HN45" s="9298"/>
      <c r="HO45" s="9298"/>
      <c r="HP45" s="9298"/>
      <c r="HQ45" s="9298"/>
      <c r="HR45" s="9298"/>
      <c r="HS45" s="9298"/>
      <c r="HT45" s="9298"/>
      <c r="HU45" s="9298"/>
      <c r="HV45" s="9299"/>
      <c r="HW45" s="9297"/>
      <c r="HX45" s="9298"/>
      <c r="HY45" s="9298"/>
      <c r="HZ45" s="9298"/>
      <c r="IA45" s="9298"/>
      <c r="IB45" s="9298"/>
      <c r="IC45" s="9298"/>
      <c r="ID45" s="9298"/>
      <c r="IE45" s="9298"/>
      <c r="IF45" s="9298"/>
      <c r="IG45" s="9299"/>
      <c r="IH45" s="9297"/>
      <c r="II45" s="9298"/>
      <c r="IJ45" s="9298"/>
      <c r="IK45" s="9298"/>
      <c r="IL45" s="9298"/>
      <c r="IM45" s="9298"/>
      <c r="IN45" s="9298"/>
      <c r="IO45" s="9298"/>
      <c r="IP45" s="9298"/>
      <c r="IQ45" s="9298"/>
      <c r="IR45" s="9299"/>
      <c r="IS45" s="9297"/>
      <c r="IT45" s="9298"/>
      <c r="IU45" s="9298"/>
      <c r="IV45" s="9298"/>
      <c r="IW45" s="9298"/>
      <c r="IX45" s="9298"/>
      <c r="IY45" s="9298"/>
      <c r="IZ45" s="9298"/>
      <c r="JA45" s="9298"/>
      <c r="JB45" s="9298"/>
      <c r="JC45" s="9299"/>
      <c r="JD45" s="9297"/>
      <c r="JE45" s="9298"/>
      <c r="JF45" s="9298"/>
      <c r="JG45" s="9298"/>
      <c r="JH45" s="9298"/>
      <c r="JI45" s="9298"/>
      <c r="JJ45" s="9298"/>
      <c r="JK45" s="9298"/>
      <c r="JL45" s="9298"/>
      <c r="JM45" s="9298"/>
      <c r="JN45" s="9299"/>
      <c r="JO45" s="9297"/>
      <c r="JP45" s="9298"/>
      <c r="JQ45" s="9298"/>
      <c r="JR45" s="9298"/>
      <c r="JS45" s="9298"/>
      <c r="JT45" s="9298"/>
      <c r="JU45" s="9298"/>
      <c r="JV45" s="9298"/>
      <c r="JW45" s="9298"/>
      <c r="JX45" s="9298"/>
      <c r="JY45" s="9299"/>
      <c r="JZ45" s="9297"/>
      <c r="KA45" s="9298"/>
      <c r="KB45" s="9298"/>
      <c r="KC45" s="9298"/>
      <c r="KD45" s="9298"/>
      <c r="KE45" s="9298"/>
      <c r="KF45" s="9298"/>
      <c r="KG45" s="9298"/>
      <c r="KH45" s="9298"/>
      <c r="KI45" s="9298"/>
      <c r="KJ45" s="9299"/>
      <c r="KK45" s="9297"/>
      <c r="KL45" s="9298"/>
      <c r="KM45" s="9298"/>
      <c r="KN45" s="9298"/>
      <c r="KO45" s="9298"/>
      <c r="KP45" s="9298"/>
      <c r="KQ45" s="9298"/>
      <c r="KR45" s="9298"/>
      <c r="KS45" s="9298"/>
      <c r="KT45" s="9298"/>
      <c r="KU45" s="9299"/>
      <c r="KV45" s="13910"/>
      <c r="KW45" s="13911"/>
      <c r="KX45" s="13911"/>
      <c r="KY45" s="13911"/>
      <c r="KZ45" s="13911"/>
      <c r="LA45" s="13911"/>
      <c r="LB45" s="13911"/>
      <c r="LC45" s="13911"/>
      <c r="LD45" s="13911"/>
      <c r="LE45" s="13911"/>
      <c r="LF45" s="13912"/>
      <c r="LG45" s="13910"/>
      <c r="LH45" s="13911"/>
      <c r="LI45" s="13911"/>
      <c r="LJ45" s="13911"/>
      <c r="LK45" s="13911"/>
      <c r="LL45" s="13911"/>
      <c r="LM45" s="13911"/>
      <c r="LN45" s="13911"/>
      <c r="LO45" s="13911"/>
      <c r="LP45" s="13911"/>
      <c r="LQ45" s="13912"/>
      <c r="LR45" s="13910"/>
      <c r="LS45" s="13911"/>
      <c r="LT45" s="13911"/>
      <c r="LU45" s="13911"/>
      <c r="LV45" s="13911"/>
      <c r="LW45" s="13911"/>
      <c r="LX45" s="13911"/>
      <c r="LY45" s="13911"/>
      <c r="LZ45" s="13911"/>
      <c r="MA45" s="13911"/>
      <c r="MB45" s="13912"/>
      <c r="MC45" s="13910"/>
      <c r="MD45" s="13911"/>
      <c r="ME45" s="13911"/>
      <c r="MF45" s="13911"/>
      <c r="MG45" s="13911"/>
      <c r="MH45" s="13911"/>
      <c r="MI45" s="13911"/>
      <c r="MJ45" s="13911"/>
      <c r="MK45" s="13911"/>
      <c r="ML45" s="13911"/>
      <c r="MM45" s="13912"/>
      <c r="MN45" s="13910"/>
      <c r="MO45" s="13911"/>
      <c r="MP45" s="13911"/>
      <c r="MQ45" s="13911"/>
      <c r="MR45" s="13911"/>
      <c r="MS45" s="13911"/>
      <c r="MT45" s="13911"/>
      <c r="MU45" s="13911"/>
      <c r="MV45" s="13911"/>
      <c r="MW45" s="13911"/>
      <c r="MX45" s="13912"/>
      <c r="MY45" s="13910"/>
      <c r="MZ45" s="13911"/>
      <c r="NA45" s="13911"/>
      <c r="NB45" s="13911"/>
      <c r="NC45" s="13911"/>
      <c r="ND45" s="13911"/>
      <c r="NE45" s="13911"/>
      <c r="NF45" s="13911"/>
      <c r="NG45" s="13911"/>
      <c r="NH45" s="13911"/>
      <c r="NI45" s="13912"/>
      <c r="NJ45" s="13910"/>
      <c r="NK45" s="13911"/>
      <c r="NL45" s="13911"/>
      <c r="NM45" s="13911"/>
      <c r="NN45" s="13911"/>
      <c r="NO45" s="13911"/>
      <c r="NP45" s="13911"/>
      <c r="NQ45" s="13911"/>
      <c r="NR45" s="13911"/>
      <c r="NS45" s="13911"/>
      <c r="NT45" s="13912"/>
      <c r="NU45" s="13910"/>
      <c r="NV45" s="13911"/>
      <c r="NW45" s="13911"/>
      <c r="NX45" s="13911"/>
      <c r="NY45" s="13911"/>
      <c r="NZ45" s="13911"/>
      <c r="OA45" s="13911"/>
      <c r="OB45" s="13911"/>
      <c r="OC45" s="13911"/>
      <c r="OD45" s="13911"/>
      <c r="OE45" s="13912"/>
      <c r="OF45" s="13910"/>
      <c r="OG45" s="13911"/>
      <c r="OH45" s="13911"/>
      <c r="OI45" s="13911"/>
      <c r="OJ45" s="13911"/>
      <c r="OK45" s="13911"/>
      <c r="OL45" s="13911"/>
      <c r="OM45" s="13911"/>
      <c r="ON45" s="13911"/>
      <c r="OO45" s="13911"/>
      <c r="OP45" s="13912"/>
      <c r="OQ45" s="2481"/>
      <c r="OR45" s="1485" t="s">
        <v>483</v>
      </c>
      <c r="OT45" s="723"/>
      <c r="OU45" s="723" t="str">
        <f>IF(T45="","",T45)</f>
        <v>Наименование признака дифференциации</v>
      </c>
      <c r="OV45" s="723"/>
      <c r="OW45" s="723"/>
    </row>
    <row customHeight="1" ht="23.25">
      <c r="A46" s="1591" t="s">
        <v>249</v>
      </c>
      <c r="B46" s="1591" t="s">
        <v>250</v>
      </c>
      <c r="C46" s="1591" t="s">
        <v>251</v>
      </c>
      <c r="D46" s="1591" t="s">
        <v>542</v>
      </c>
      <c r="E46" s="2390"/>
      <c r="F46" s="2390"/>
      <c r="G46" s="2390"/>
      <c r="H46" s="2390"/>
      <c r="I46" s="2392"/>
      <c r="J46" s="2391" t="str">
        <f>I45&amp;".1"</f>
        <v>1.1.1.1.1</v>
      </c>
      <c r="K46" s="1591"/>
      <c r="L46" s="1592" t="s">
        <v>407</v>
      </c>
      <c r="P46" s="2393"/>
      <c r="Q46" s="2393">
        <v>1</v>
      </c>
      <c r="R46" s="580"/>
      <c r="S46" s="1721" t="str">
        <f>$J46</f>
        <v>1.1.1.1.1</v>
      </c>
      <c r="T46" s="509" t="s">
        <v>408</v>
      </c>
      <c r="U46" s="523"/>
      <c r="V46" s="2377"/>
      <c r="W46" s="2378"/>
      <c r="X46" s="2378"/>
      <c r="Y46" s="2378"/>
      <c r="Z46" s="2378"/>
      <c r="AA46" s="2378"/>
      <c r="AB46" s="2378"/>
      <c r="AC46" s="2378"/>
      <c r="AD46" s="2378"/>
      <c r="AE46" s="2378"/>
      <c r="AF46" s="2379"/>
      <c r="AG46" s="2377" t="s">
        <v>543</v>
      </c>
      <c r="AH46" s="2378"/>
      <c r="AI46" s="2378"/>
      <c r="AJ46" s="2378"/>
      <c r="AK46" s="2378"/>
      <c r="AL46" s="2378"/>
      <c r="AM46" s="2378"/>
      <c r="AN46" s="2378"/>
      <c r="AO46" s="2378"/>
      <c r="AP46" s="2378"/>
      <c r="AQ46" s="2378"/>
      <c r="AR46" s="6430"/>
      <c r="AS46" s="6431"/>
      <c r="AT46" s="6431"/>
      <c r="AU46" s="6431"/>
      <c r="AV46" s="6431"/>
      <c r="AW46" s="6431"/>
      <c r="AX46" s="6431"/>
      <c r="AY46" s="6431"/>
      <c r="AZ46" s="6431"/>
      <c r="BA46" s="6431"/>
      <c r="BB46" s="6432"/>
      <c r="BC46" s="6430"/>
      <c r="BD46" s="6431"/>
      <c r="BE46" s="6431"/>
      <c r="BF46" s="6431"/>
      <c r="BG46" s="6431"/>
      <c r="BH46" s="6431"/>
      <c r="BI46" s="6431"/>
      <c r="BJ46" s="6431"/>
      <c r="BK46" s="6431"/>
      <c r="BL46" s="6431"/>
      <c r="BM46" s="6432"/>
      <c r="BN46" s="9303"/>
      <c r="BO46" s="9304"/>
      <c r="BP46" s="9304"/>
      <c r="BQ46" s="9304"/>
      <c r="BR46" s="9304"/>
      <c r="BS46" s="9304"/>
      <c r="BT46" s="9304"/>
      <c r="BU46" s="9304"/>
      <c r="BV46" s="9304"/>
      <c r="BW46" s="9304"/>
      <c r="BX46" s="9305"/>
      <c r="BY46" s="9303"/>
      <c r="BZ46" s="9304"/>
      <c r="CA46" s="9304"/>
      <c r="CB46" s="9304"/>
      <c r="CC46" s="9304"/>
      <c r="CD46" s="9304"/>
      <c r="CE46" s="9304"/>
      <c r="CF46" s="9304"/>
      <c r="CG46" s="9304"/>
      <c r="CH46" s="9304"/>
      <c r="CI46" s="9305"/>
      <c r="CJ46" s="9303"/>
      <c r="CK46" s="9304"/>
      <c r="CL46" s="9304"/>
      <c r="CM46" s="9304"/>
      <c r="CN46" s="9304"/>
      <c r="CO46" s="9304"/>
      <c r="CP46" s="9304"/>
      <c r="CQ46" s="9304"/>
      <c r="CR46" s="9304"/>
      <c r="CS46" s="9304"/>
      <c r="CT46" s="9305"/>
      <c r="CU46" s="9303"/>
      <c r="CV46" s="9304"/>
      <c r="CW46" s="9304"/>
      <c r="CX46" s="9304"/>
      <c r="CY46" s="9304"/>
      <c r="CZ46" s="9304"/>
      <c r="DA46" s="9304"/>
      <c r="DB46" s="9304"/>
      <c r="DC46" s="9304"/>
      <c r="DD46" s="9304"/>
      <c r="DE46" s="9305"/>
      <c r="DF46" s="9303"/>
      <c r="DG46" s="9304"/>
      <c r="DH46" s="9304"/>
      <c r="DI46" s="9304"/>
      <c r="DJ46" s="9304"/>
      <c r="DK46" s="9304"/>
      <c r="DL46" s="9304"/>
      <c r="DM46" s="9304"/>
      <c r="DN46" s="9304"/>
      <c r="DO46" s="9304"/>
      <c r="DP46" s="9305"/>
      <c r="DQ46" s="9303"/>
      <c r="DR46" s="9304"/>
      <c r="DS46" s="9304"/>
      <c r="DT46" s="9304"/>
      <c r="DU46" s="9304"/>
      <c r="DV46" s="9304"/>
      <c r="DW46" s="9304"/>
      <c r="DX46" s="9304"/>
      <c r="DY46" s="9304"/>
      <c r="DZ46" s="9304"/>
      <c r="EA46" s="9305"/>
      <c r="EB46" s="9303"/>
      <c r="EC46" s="9304"/>
      <c r="ED46" s="9304"/>
      <c r="EE46" s="9304"/>
      <c r="EF46" s="9304"/>
      <c r="EG46" s="9304"/>
      <c r="EH46" s="9304"/>
      <c r="EI46" s="9304"/>
      <c r="EJ46" s="9304"/>
      <c r="EK46" s="9304"/>
      <c r="EL46" s="9305"/>
      <c r="EM46" s="9303"/>
      <c r="EN46" s="9304"/>
      <c r="EO46" s="9304"/>
      <c r="EP46" s="9304"/>
      <c r="EQ46" s="9304"/>
      <c r="ER46" s="9304"/>
      <c r="ES46" s="9304"/>
      <c r="ET46" s="9304"/>
      <c r="EU46" s="9304"/>
      <c r="EV46" s="9304"/>
      <c r="EW46" s="9305"/>
      <c r="EX46" s="9303"/>
      <c r="EY46" s="9304"/>
      <c r="EZ46" s="9304"/>
      <c r="FA46" s="9304"/>
      <c r="FB46" s="9304"/>
      <c r="FC46" s="9304"/>
      <c r="FD46" s="9304"/>
      <c r="FE46" s="9304"/>
      <c r="FF46" s="9304"/>
      <c r="FG46" s="9304"/>
      <c r="FH46" s="9305"/>
      <c r="FI46" s="9303"/>
      <c r="FJ46" s="9304"/>
      <c r="FK46" s="9304"/>
      <c r="FL46" s="9304"/>
      <c r="FM46" s="9304"/>
      <c r="FN46" s="9304"/>
      <c r="FO46" s="9304"/>
      <c r="FP46" s="9304"/>
      <c r="FQ46" s="9304"/>
      <c r="FR46" s="9304"/>
      <c r="FS46" s="9305"/>
      <c r="FT46" s="9303"/>
      <c r="FU46" s="9304"/>
      <c r="FV46" s="9304"/>
      <c r="FW46" s="9304"/>
      <c r="FX46" s="9304"/>
      <c r="FY46" s="9304"/>
      <c r="FZ46" s="9304"/>
      <c r="GA46" s="9304"/>
      <c r="GB46" s="9304"/>
      <c r="GC46" s="9304"/>
      <c r="GD46" s="9305"/>
      <c r="GE46" s="9303"/>
      <c r="GF46" s="9304"/>
      <c r="GG46" s="9304"/>
      <c r="GH46" s="9304"/>
      <c r="GI46" s="9304"/>
      <c r="GJ46" s="9304"/>
      <c r="GK46" s="9304"/>
      <c r="GL46" s="9304"/>
      <c r="GM46" s="9304"/>
      <c r="GN46" s="9304"/>
      <c r="GO46" s="9305"/>
      <c r="GP46" s="9303"/>
      <c r="GQ46" s="9304"/>
      <c r="GR46" s="9304"/>
      <c r="GS46" s="9304"/>
      <c r="GT46" s="9304"/>
      <c r="GU46" s="9304"/>
      <c r="GV46" s="9304"/>
      <c r="GW46" s="9304"/>
      <c r="GX46" s="9304"/>
      <c r="GY46" s="9304"/>
      <c r="GZ46" s="9305"/>
      <c r="HA46" s="9303"/>
      <c r="HB46" s="9304"/>
      <c r="HC46" s="9304"/>
      <c r="HD46" s="9304"/>
      <c r="HE46" s="9304"/>
      <c r="HF46" s="9304"/>
      <c r="HG46" s="9304"/>
      <c r="HH46" s="9304"/>
      <c r="HI46" s="9304"/>
      <c r="HJ46" s="9304"/>
      <c r="HK46" s="9305"/>
      <c r="HL46" s="9303"/>
      <c r="HM46" s="9304"/>
      <c r="HN46" s="9304"/>
      <c r="HO46" s="9304"/>
      <c r="HP46" s="9304"/>
      <c r="HQ46" s="9304"/>
      <c r="HR46" s="9304"/>
      <c r="HS46" s="9304"/>
      <c r="HT46" s="9304"/>
      <c r="HU46" s="9304"/>
      <c r="HV46" s="9305"/>
      <c r="HW46" s="9303"/>
      <c r="HX46" s="9304"/>
      <c r="HY46" s="9304"/>
      <c r="HZ46" s="9304"/>
      <c r="IA46" s="9304"/>
      <c r="IB46" s="9304"/>
      <c r="IC46" s="9304"/>
      <c r="ID46" s="9304"/>
      <c r="IE46" s="9304"/>
      <c r="IF46" s="9304"/>
      <c r="IG46" s="9305"/>
      <c r="IH46" s="9303"/>
      <c r="II46" s="9304"/>
      <c r="IJ46" s="9304"/>
      <c r="IK46" s="9304"/>
      <c r="IL46" s="9304"/>
      <c r="IM46" s="9304"/>
      <c r="IN46" s="9304"/>
      <c r="IO46" s="9304"/>
      <c r="IP46" s="9304"/>
      <c r="IQ46" s="9304"/>
      <c r="IR46" s="9305"/>
      <c r="IS46" s="9303"/>
      <c r="IT46" s="9304"/>
      <c r="IU46" s="9304"/>
      <c r="IV46" s="9304"/>
      <c r="IW46" s="9304"/>
      <c r="IX46" s="9304"/>
      <c r="IY46" s="9304"/>
      <c r="IZ46" s="9304"/>
      <c r="JA46" s="9304"/>
      <c r="JB46" s="9304"/>
      <c r="JC46" s="9305"/>
      <c r="JD46" s="9303"/>
      <c r="JE46" s="9304"/>
      <c r="JF46" s="9304"/>
      <c r="JG46" s="9304"/>
      <c r="JH46" s="9304"/>
      <c r="JI46" s="9304"/>
      <c r="JJ46" s="9304"/>
      <c r="JK46" s="9304"/>
      <c r="JL46" s="9304"/>
      <c r="JM46" s="9304"/>
      <c r="JN46" s="9305"/>
      <c r="JO46" s="9303"/>
      <c r="JP46" s="9304"/>
      <c r="JQ46" s="9304"/>
      <c r="JR46" s="9304"/>
      <c r="JS46" s="9304"/>
      <c r="JT46" s="9304"/>
      <c r="JU46" s="9304"/>
      <c r="JV46" s="9304"/>
      <c r="JW46" s="9304"/>
      <c r="JX46" s="9304"/>
      <c r="JY46" s="9305"/>
      <c r="JZ46" s="9303"/>
      <c r="KA46" s="9304"/>
      <c r="KB46" s="9304"/>
      <c r="KC46" s="9304"/>
      <c r="KD46" s="9304"/>
      <c r="KE46" s="9304"/>
      <c r="KF46" s="9304"/>
      <c r="KG46" s="9304"/>
      <c r="KH46" s="9304"/>
      <c r="KI46" s="9304"/>
      <c r="KJ46" s="9305"/>
      <c r="KK46" s="9303"/>
      <c r="KL46" s="9304"/>
      <c r="KM46" s="9304"/>
      <c r="KN46" s="9304"/>
      <c r="KO46" s="9304"/>
      <c r="KP46" s="9304"/>
      <c r="KQ46" s="9304"/>
      <c r="KR46" s="9304"/>
      <c r="KS46" s="9304"/>
      <c r="KT46" s="9304"/>
      <c r="KU46" s="9305"/>
      <c r="KV46" s="13919"/>
      <c r="KW46" s="13920"/>
      <c r="KX46" s="13920"/>
      <c r="KY46" s="13920"/>
      <c r="KZ46" s="13920"/>
      <c r="LA46" s="13920"/>
      <c r="LB46" s="13920"/>
      <c r="LC46" s="13920"/>
      <c r="LD46" s="13920"/>
      <c r="LE46" s="13920"/>
      <c r="LF46" s="13921"/>
      <c r="LG46" s="13919"/>
      <c r="LH46" s="13920"/>
      <c r="LI46" s="13920"/>
      <c r="LJ46" s="13920"/>
      <c r="LK46" s="13920"/>
      <c r="LL46" s="13920"/>
      <c r="LM46" s="13920"/>
      <c r="LN46" s="13920"/>
      <c r="LO46" s="13920"/>
      <c r="LP46" s="13920"/>
      <c r="LQ46" s="13921"/>
      <c r="LR46" s="13919"/>
      <c r="LS46" s="13920"/>
      <c r="LT46" s="13920"/>
      <c r="LU46" s="13920"/>
      <c r="LV46" s="13920"/>
      <c r="LW46" s="13920"/>
      <c r="LX46" s="13920"/>
      <c r="LY46" s="13920"/>
      <c r="LZ46" s="13920"/>
      <c r="MA46" s="13920"/>
      <c r="MB46" s="13921"/>
      <c r="MC46" s="13919"/>
      <c r="MD46" s="13920"/>
      <c r="ME46" s="13920"/>
      <c r="MF46" s="13920"/>
      <c r="MG46" s="13920"/>
      <c r="MH46" s="13920"/>
      <c r="MI46" s="13920"/>
      <c r="MJ46" s="13920"/>
      <c r="MK46" s="13920"/>
      <c r="ML46" s="13920"/>
      <c r="MM46" s="13921"/>
      <c r="MN46" s="13919"/>
      <c r="MO46" s="13920"/>
      <c r="MP46" s="13920"/>
      <c r="MQ46" s="13920"/>
      <c r="MR46" s="13920"/>
      <c r="MS46" s="13920"/>
      <c r="MT46" s="13920"/>
      <c r="MU46" s="13920"/>
      <c r="MV46" s="13920"/>
      <c r="MW46" s="13920"/>
      <c r="MX46" s="13921"/>
      <c r="MY46" s="13919"/>
      <c r="MZ46" s="13920"/>
      <c r="NA46" s="13920"/>
      <c r="NB46" s="13920"/>
      <c r="NC46" s="13920"/>
      <c r="ND46" s="13920"/>
      <c r="NE46" s="13920"/>
      <c r="NF46" s="13920"/>
      <c r="NG46" s="13920"/>
      <c r="NH46" s="13920"/>
      <c r="NI46" s="13921"/>
      <c r="NJ46" s="13919"/>
      <c r="NK46" s="13920"/>
      <c r="NL46" s="13920"/>
      <c r="NM46" s="13920"/>
      <c r="NN46" s="13920"/>
      <c r="NO46" s="13920"/>
      <c r="NP46" s="13920"/>
      <c r="NQ46" s="13920"/>
      <c r="NR46" s="13920"/>
      <c r="NS46" s="13920"/>
      <c r="NT46" s="13921"/>
      <c r="NU46" s="13919"/>
      <c r="NV46" s="13920"/>
      <c r="NW46" s="13920"/>
      <c r="NX46" s="13920"/>
      <c r="NY46" s="13920"/>
      <c r="NZ46" s="13920"/>
      <c r="OA46" s="13920"/>
      <c r="OB46" s="13920"/>
      <c r="OC46" s="13920"/>
      <c r="OD46" s="13920"/>
      <c r="OE46" s="13921"/>
      <c r="OF46" s="13919"/>
      <c r="OG46" s="13920"/>
      <c r="OH46" s="13920"/>
      <c r="OI46" s="13920"/>
      <c r="OJ46" s="13920"/>
      <c r="OK46" s="13920"/>
      <c r="OL46" s="13920"/>
      <c r="OM46" s="13920"/>
      <c r="ON46" s="13920"/>
      <c r="OO46" s="13920"/>
      <c r="OP46" s="13921"/>
      <c r="OQ46" s="2379"/>
      <c r="OR46" s="1535" t="s">
        <v>484</v>
      </c>
      <c r="OT46" s="723"/>
      <c r="OU46" s="723" t="str">
        <f>IF(T46="","",T46)</f>
        <v>Группа потребителей</v>
      </c>
      <c r="OV46" s="723"/>
      <c r="OW46" s="723"/>
    </row>
    <row customHeight="1" ht="23.25">
      <c r="A47" s="1591" t="s">
        <v>249</v>
      </c>
      <c r="B47" s="1591" t="s">
        <v>250</v>
      </c>
      <c r="C47" s="1591" t="s">
        <v>251</v>
      </c>
      <c r="D47" s="1591" t="s">
        <v>542</v>
      </c>
      <c r="E47" s="2390"/>
      <c r="F47" s="2390"/>
      <c r="G47" s="2390"/>
      <c r="H47" s="2390"/>
      <c r="I47" s="2392"/>
      <c r="J47" s="2392"/>
      <c r="K47" s="2391" t="str">
        <f>J46&amp;".1"</f>
        <v>1.1.1.1.1.1</v>
      </c>
      <c r="L47" s="1592"/>
      <c r="P47" s="2393"/>
      <c r="Q47" s="2393"/>
      <c r="R47" s="580">
        <v>1</v>
      </c>
      <c r="S47" s="1721" t="str">
        <f>$K47</f>
        <v>1.1.1.1.1.1</v>
      </c>
      <c r="T47" s="1665" t="s">
        <v>477</v>
      </c>
      <c r="U47" s="523"/>
      <c r="V47" s="6433"/>
      <c r="W47" s="6433"/>
      <c r="X47" s="6433"/>
      <c r="Y47" s="6433"/>
      <c r="Z47" s="6433"/>
      <c r="AA47" s="6433"/>
      <c r="AB47" s="6433"/>
      <c r="AC47" s="6434"/>
      <c r="AD47" s="6435" t="s">
        <v>66</v>
      </c>
      <c r="AE47" s="6539"/>
      <c r="AF47" s="6435" t="s">
        <v>66</v>
      </c>
      <c r="AG47" s="974">
        <v>195.93</v>
      </c>
      <c r="AH47" s="974"/>
      <c r="AI47" s="974"/>
      <c r="AJ47" s="974"/>
      <c r="AK47" s="974"/>
      <c r="AL47" s="974"/>
      <c r="AM47" s="974"/>
      <c r="AN47" s="6434">
        <v>45275.51765046296</v>
      </c>
      <c r="AO47" s="2264" t="s">
        <v>66</v>
      </c>
      <c r="AP47" s="6539">
        <v>45473.517696759256</v>
      </c>
      <c r="AQ47" s="2264" t="s">
        <v>66</v>
      </c>
      <c r="AR47" s="6433">
        <v>247.24</v>
      </c>
      <c r="AS47" s="6433"/>
      <c r="AT47" s="6433"/>
      <c r="AU47" s="6433"/>
      <c r="AV47" s="6433"/>
      <c r="AW47" s="6433"/>
      <c r="AX47" s="6433"/>
      <c r="AY47" s="6434">
        <v>45474.517847222225</v>
      </c>
      <c r="AZ47" s="6435" t="s">
        <v>66</v>
      </c>
      <c r="BA47" s="6539">
        <v>45657.518055555556</v>
      </c>
      <c r="BB47" s="6435" t="s">
        <v>66</v>
      </c>
      <c r="BC47" s="6433">
        <v>241.82</v>
      </c>
      <c r="BD47" s="6433"/>
      <c r="BE47" s="6433"/>
      <c r="BF47" s="6433"/>
      <c r="BG47" s="6433"/>
      <c r="BH47" s="6433"/>
      <c r="BI47" s="6433"/>
      <c r="BJ47" s="6434">
        <v>45658.542291666665</v>
      </c>
      <c r="BK47" s="6435" t="s">
        <v>66</v>
      </c>
      <c r="BL47" s="6539">
        <v>45838.5425</v>
      </c>
      <c r="BM47" s="6435" t="s">
        <v>66</v>
      </c>
      <c r="BN47" s="9309">
        <v>254.59</v>
      </c>
      <c r="BO47" s="9309"/>
      <c r="BP47" s="9309"/>
      <c r="BQ47" s="9309"/>
      <c r="BR47" s="9309"/>
      <c r="BS47" s="9309"/>
      <c r="BT47" s="9309"/>
      <c r="BU47" s="9310">
        <v>45839.690405092595</v>
      </c>
      <c r="BV47" s="9311" t="s">
        <v>66</v>
      </c>
      <c r="BW47" s="10175">
        <v>46022.69054398148</v>
      </c>
      <c r="BX47" s="9311" t="s">
        <v>66</v>
      </c>
      <c r="BY47" s="9309">
        <v>232.75</v>
      </c>
      <c r="BZ47" s="9309"/>
      <c r="CA47" s="9309"/>
      <c r="CB47" s="9309"/>
      <c r="CC47" s="9309"/>
      <c r="CD47" s="9309"/>
      <c r="CE47" s="9309"/>
      <c r="CF47" s="9310">
        <v>46023.69228009259</v>
      </c>
      <c r="CG47" s="9311" t="s">
        <v>66</v>
      </c>
      <c r="CH47" s="10175">
        <v>46203.69260416667</v>
      </c>
      <c r="CI47" s="9311" t="s">
        <v>66</v>
      </c>
      <c r="CJ47" s="9309">
        <v>245.62</v>
      </c>
      <c r="CK47" s="9309"/>
      <c r="CL47" s="9309"/>
      <c r="CM47" s="9309"/>
      <c r="CN47" s="9309"/>
      <c r="CO47" s="9309"/>
      <c r="CP47" s="9309"/>
      <c r="CQ47" s="9310">
        <v>46204.71461805556</v>
      </c>
      <c r="CR47" s="9311" t="s">
        <v>66</v>
      </c>
      <c r="CS47" s="10175">
        <v>46387.71502314815</v>
      </c>
      <c r="CT47" s="9311" t="s">
        <v>66</v>
      </c>
      <c r="CU47" s="9309">
        <v>245.62</v>
      </c>
      <c r="CV47" s="9309"/>
      <c r="CW47" s="9309"/>
      <c r="CX47" s="9309"/>
      <c r="CY47" s="9309"/>
      <c r="CZ47" s="9309"/>
      <c r="DA47" s="9309"/>
      <c r="DB47" s="9310">
        <v>46388.71571759259</v>
      </c>
      <c r="DC47" s="9311" t="s">
        <v>66</v>
      </c>
      <c r="DD47" s="10175">
        <v>46568.715833333335</v>
      </c>
      <c r="DE47" s="9311" t="s">
        <v>66</v>
      </c>
      <c r="DF47" s="9309">
        <v>258.34</v>
      </c>
      <c r="DG47" s="9309"/>
      <c r="DH47" s="9309"/>
      <c r="DI47" s="9309"/>
      <c r="DJ47" s="9309"/>
      <c r="DK47" s="9309"/>
      <c r="DL47" s="9309"/>
      <c r="DM47" s="9310">
        <v>46569.71668981481</v>
      </c>
      <c r="DN47" s="9311" t="s">
        <v>66</v>
      </c>
      <c r="DO47" s="10175">
        <v>46752.71695601852</v>
      </c>
      <c r="DP47" s="9311" t="s">
        <v>66</v>
      </c>
      <c r="DQ47" s="9309">
        <v>258.34</v>
      </c>
      <c r="DR47" s="9309"/>
      <c r="DS47" s="9309"/>
      <c r="DT47" s="9309"/>
      <c r="DU47" s="9309"/>
      <c r="DV47" s="9309"/>
      <c r="DW47" s="9309"/>
      <c r="DX47" s="9310">
        <v>46753.71864583333</v>
      </c>
      <c r="DY47" s="9311" t="s">
        <v>66</v>
      </c>
      <c r="DZ47" s="10175">
        <v>46934.718935185185</v>
      </c>
      <c r="EA47" s="9311" t="s">
        <v>66</v>
      </c>
      <c r="EB47" s="9309">
        <v>280.36</v>
      </c>
      <c r="EC47" s="9309"/>
      <c r="ED47" s="9309"/>
      <c r="EE47" s="9309"/>
      <c r="EF47" s="9309"/>
      <c r="EG47" s="9309"/>
      <c r="EH47" s="9309"/>
      <c r="EI47" s="9310">
        <v>46935.71959490741</v>
      </c>
      <c r="EJ47" s="9311" t="s">
        <v>66</v>
      </c>
      <c r="EK47" s="10175">
        <v>47118.71991898148</v>
      </c>
      <c r="EL47" s="9311" t="s">
        <v>66</v>
      </c>
      <c r="EM47" s="9309">
        <v>280.36</v>
      </c>
      <c r="EN47" s="9309"/>
      <c r="EO47" s="9309"/>
      <c r="EP47" s="9309"/>
      <c r="EQ47" s="9309"/>
      <c r="ER47" s="9309"/>
      <c r="ES47" s="9309"/>
      <c r="ET47" s="9310">
        <v>47119.72047453704</v>
      </c>
      <c r="EU47" s="9311" t="s">
        <v>66</v>
      </c>
      <c r="EV47" s="10175">
        <v>47299.72081018519</v>
      </c>
      <c r="EW47" s="9311" t="s">
        <v>66</v>
      </c>
      <c r="EX47" s="9309">
        <v>288.42</v>
      </c>
      <c r="EY47" s="9309"/>
      <c r="EZ47" s="9309"/>
      <c r="FA47" s="9309"/>
      <c r="FB47" s="9309"/>
      <c r="FC47" s="9309"/>
      <c r="FD47" s="9309"/>
      <c r="FE47" s="9310">
        <v>47300.72261574074</v>
      </c>
      <c r="FF47" s="9311" t="s">
        <v>66</v>
      </c>
      <c r="FG47" s="10175">
        <v>47483.72292824074</v>
      </c>
      <c r="FH47" s="9311" t="s">
        <v>66</v>
      </c>
      <c r="FI47" s="9309">
        <v>288.42</v>
      </c>
      <c r="FJ47" s="9309"/>
      <c r="FK47" s="9309"/>
      <c r="FL47" s="9309"/>
      <c r="FM47" s="9309"/>
      <c r="FN47" s="9309"/>
      <c r="FO47" s="9309"/>
      <c r="FP47" s="9310">
        <v>47484.724282407406</v>
      </c>
      <c r="FQ47" s="9311" t="s">
        <v>66</v>
      </c>
      <c r="FR47" s="10175">
        <v>47664.72462962963</v>
      </c>
      <c r="FS47" s="9311" t="s">
        <v>66</v>
      </c>
      <c r="FT47" s="9309">
        <v>315.91</v>
      </c>
      <c r="FU47" s="9309"/>
      <c r="FV47" s="9309"/>
      <c r="FW47" s="9309"/>
      <c r="FX47" s="9309"/>
      <c r="FY47" s="9309"/>
      <c r="FZ47" s="9309"/>
      <c r="GA47" s="9310">
        <v>47665.725277777776</v>
      </c>
      <c r="GB47" s="9311" t="s">
        <v>66</v>
      </c>
      <c r="GC47" s="10175">
        <v>47848.72540509259</v>
      </c>
      <c r="GD47" s="9311" t="s">
        <v>66</v>
      </c>
      <c r="GE47" s="9309">
        <v>309.4</v>
      </c>
      <c r="GF47" s="9309"/>
      <c r="GG47" s="9309"/>
      <c r="GH47" s="9309"/>
      <c r="GI47" s="9309"/>
      <c r="GJ47" s="9309"/>
      <c r="GK47" s="9309"/>
      <c r="GL47" s="9310">
        <v>47849.726331018515</v>
      </c>
      <c r="GM47" s="9311" t="s">
        <v>66</v>
      </c>
      <c r="GN47" s="10175">
        <v>48029.72667824074</v>
      </c>
      <c r="GO47" s="9311" t="s">
        <v>66</v>
      </c>
      <c r="GP47" s="9309">
        <v>324.78</v>
      </c>
      <c r="GQ47" s="9309"/>
      <c r="GR47" s="9309"/>
      <c r="GS47" s="9309"/>
      <c r="GT47" s="9309"/>
      <c r="GU47" s="9309"/>
      <c r="GV47" s="9309"/>
      <c r="GW47" s="9310">
        <v>48030.72729166667</v>
      </c>
      <c r="GX47" s="9311" t="s">
        <v>66</v>
      </c>
      <c r="GY47" s="10175">
        <v>48213.72739583333</v>
      </c>
      <c r="GZ47" s="9311" t="s">
        <v>66</v>
      </c>
      <c r="HA47" s="9309">
        <v>327.78</v>
      </c>
      <c r="HB47" s="9309"/>
      <c r="HC47" s="9309"/>
      <c r="HD47" s="9309"/>
      <c r="HE47" s="9309"/>
      <c r="HF47" s="9309"/>
      <c r="HG47" s="9309"/>
      <c r="HH47" s="9310">
        <v>48214.72826388889</v>
      </c>
      <c r="HI47" s="9311" t="s">
        <v>66</v>
      </c>
      <c r="HJ47" s="10175">
        <v>48395.72856481482</v>
      </c>
      <c r="HK47" s="9311" t="s">
        <v>66</v>
      </c>
      <c r="HL47" s="9309">
        <v>334.04</v>
      </c>
      <c r="HM47" s="9309"/>
      <c r="HN47" s="9309"/>
      <c r="HO47" s="9309"/>
      <c r="HP47" s="9309"/>
      <c r="HQ47" s="9309"/>
      <c r="HR47" s="9309"/>
      <c r="HS47" s="9310">
        <v>48396.72935185185</v>
      </c>
      <c r="HT47" s="9311" t="s">
        <v>66</v>
      </c>
      <c r="HU47" s="10175">
        <v>48579.72960648148</v>
      </c>
      <c r="HV47" s="9311" t="s">
        <v>66</v>
      </c>
      <c r="HW47" s="9309">
        <v>334.05</v>
      </c>
      <c r="HX47" s="9309"/>
      <c r="HY47" s="9309"/>
      <c r="HZ47" s="9309"/>
      <c r="IA47" s="9309"/>
      <c r="IB47" s="9309"/>
      <c r="IC47" s="9309"/>
      <c r="ID47" s="9310">
        <v>48580.73903935185</v>
      </c>
      <c r="IE47" s="9311" t="s">
        <v>66</v>
      </c>
      <c r="IF47" s="10175">
        <v>48760.739212962966</v>
      </c>
      <c r="IG47" s="9311" t="s">
        <v>66</v>
      </c>
      <c r="IH47" s="9309">
        <v>345.37</v>
      </c>
      <c r="II47" s="9309"/>
      <c r="IJ47" s="9309"/>
      <c r="IK47" s="9309"/>
      <c r="IL47" s="9309"/>
      <c r="IM47" s="9309"/>
      <c r="IN47" s="9309"/>
      <c r="IO47" s="9310">
        <v>48761.74028935185</v>
      </c>
      <c r="IP47" s="9311" t="s">
        <v>66</v>
      </c>
      <c r="IQ47" s="10175">
        <v>48944.74046296296</v>
      </c>
      <c r="IR47" s="9311" t="s">
        <v>66</v>
      </c>
      <c r="IS47" s="9309">
        <v>345.37</v>
      </c>
      <c r="IT47" s="9309"/>
      <c r="IU47" s="9309"/>
      <c r="IV47" s="9309"/>
      <c r="IW47" s="9309"/>
      <c r="IX47" s="9309"/>
      <c r="IY47" s="9309"/>
      <c r="IZ47" s="9310">
        <v>48945.74181712963</v>
      </c>
      <c r="JA47" s="9311" t="s">
        <v>66</v>
      </c>
      <c r="JB47" s="10175">
        <v>49125.74292824074</v>
      </c>
      <c r="JC47" s="9311" t="s">
        <v>66</v>
      </c>
      <c r="JD47" s="9309">
        <v>345.47</v>
      </c>
      <c r="JE47" s="9309"/>
      <c r="JF47" s="9309"/>
      <c r="JG47" s="9309"/>
      <c r="JH47" s="9309"/>
      <c r="JI47" s="9309"/>
      <c r="JJ47" s="9309"/>
      <c r="JK47" s="9310">
        <v>49126.74431712963</v>
      </c>
      <c r="JL47" s="9311" t="s">
        <v>66</v>
      </c>
      <c r="JM47" s="10175">
        <v>49309.744571759256</v>
      </c>
      <c r="JN47" s="9311" t="s">
        <v>66</v>
      </c>
      <c r="JO47" s="9309">
        <v>344.55</v>
      </c>
      <c r="JP47" s="9309"/>
      <c r="JQ47" s="9309"/>
      <c r="JR47" s="9309"/>
      <c r="JS47" s="9309"/>
      <c r="JT47" s="9309"/>
      <c r="JU47" s="9309"/>
      <c r="JV47" s="9310">
        <v>49310.74559027778</v>
      </c>
      <c r="JW47" s="9311" t="s">
        <v>66</v>
      </c>
      <c r="JX47" s="10175">
        <v>49490.74591435185</v>
      </c>
      <c r="JY47" s="9311" t="s">
        <v>66</v>
      </c>
      <c r="JZ47" s="9309">
        <v>357.99</v>
      </c>
      <c r="KA47" s="9309"/>
      <c r="KB47" s="9309"/>
      <c r="KC47" s="9309"/>
      <c r="KD47" s="9309"/>
      <c r="KE47" s="9309"/>
      <c r="KF47" s="9309"/>
      <c r="KG47" s="9310">
        <v>49491.74658564815</v>
      </c>
      <c r="KH47" s="9311" t="s">
        <v>66</v>
      </c>
      <c r="KI47" s="10175">
        <v>49674.746932870374</v>
      </c>
      <c r="KJ47" s="9311" t="s">
        <v>66</v>
      </c>
      <c r="KK47" s="9309">
        <v>357.99</v>
      </c>
      <c r="KL47" s="9309"/>
      <c r="KM47" s="9309"/>
      <c r="KN47" s="9309"/>
      <c r="KO47" s="9309"/>
      <c r="KP47" s="9309"/>
      <c r="KQ47" s="9309"/>
      <c r="KR47" s="13929">
        <v>49675.74738425926</v>
      </c>
      <c r="KS47" s="9311" t="s">
        <v>66</v>
      </c>
      <c r="KT47" s="15125">
        <v>49856.747824074075</v>
      </c>
      <c r="KU47" s="9311" t="s">
        <v>66</v>
      </c>
      <c r="KV47" s="13928">
        <v>360.32</v>
      </c>
      <c r="KW47" s="13928"/>
      <c r="KX47" s="13928"/>
      <c r="KY47" s="13928"/>
      <c r="KZ47" s="13928"/>
      <c r="LA47" s="13928"/>
      <c r="LB47" s="13928"/>
      <c r="LC47" s="13929">
        <v>49857.40974537037</v>
      </c>
      <c r="LD47" s="13930" t="s">
        <v>66</v>
      </c>
      <c r="LE47" s="15125">
        <v>50040.410092592596</v>
      </c>
      <c r="LF47" s="13930" t="s">
        <v>66</v>
      </c>
      <c r="LG47" s="13928">
        <v>355.56</v>
      </c>
      <c r="LH47" s="13928"/>
      <c r="LI47" s="13928"/>
      <c r="LJ47" s="13928"/>
      <c r="LK47" s="13928"/>
      <c r="LL47" s="13928"/>
      <c r="LM47" s="13928"/>
      <c r="LN47" s="13929">
        <v>50041.44293981481</v>
      </c>
      <c r="LO47" s="13930" t="s">
        <v>66</v>
      </c>
      <c r="LP47" s="15125">
        <v>50221.44331018518</v>
      </c>
      <c r="LQ47" s="13930" t="s">
        <v>66</v>
      </c>
      <c r="LR47" s="13928">
        <v>368.92</v>
      </c>
      <c r="LS47" s="13928"/>
      <c r="LT47" s="13928"/>
      <c r="LU47" s="13928"/>
      <c r="LV47" s="13928"/>
      <c r="LW47" s="13928"/>
      <c r="LX47" s="13928"/>
      <c r="LY47" s="13929">
        <v>50222.443877314814</v>
      </c>
      <c r="LZ47" s="13930" t="s">
        <v>66</v>
      </c>
      <c r="MA47" s="15125">
        <v>50405.44412037037</v>
      </c>
      <c r="MB47" s="13930" t="s">
        <v>66</v>
      </c>
      <c r="MC47" s="13928">
        <v>362.52</v>
      </c>
      <c r="MD47" s="13928"/>
      <c r="ME47" s="13928"/>
      <c r="MF47" s="13928"/>
      <c r="MG47" s="13928"/>
      <c r="MH47" s="13928"/>
      <c r="MI47" s="13928"/>
      <c r="MJ47" s="13929">
        <v>50406.44478009259</v>
      </c>
      <c r="MK47" s="13930" t="s">
        <v>66</v>
      </c>
      <c r="ML47" s="15125">
        <v>50586.44493055555</v>
      </c>
      <c r="MM47" s="13930" t="s">
        <v>66</v>
      </c>
      <c r="MN47" s="13928">
        <v>371.11</v>
      </c>
      <c r="MO47" s="13928"/>
      <c r="MP47" s="13928"/>
      <c r="MQ47" s="13928"/>
      <c r="MR47" s="13928"/>
      <c r="MS47" s="13928"/>
      <c r="MT47" s="13928"/>
      <c r="MU47" s="13929">
        <v>50587.44582175926</v>
      </c>
      <c r="MV47" s="13930" t="s">
        <v>66</v>
      </c>
      <c r="MW47" s="15125">
        <v>50770.44609953704</v>
      </c>
      <c r="MX47" s="13930" t="s">
        <v>66</v>
      </c>
      <c r="MY47" s="13928">
        <v>371.11</v>
      </c>
      <c r="MZ47" s="13928"/>
      <c r="NA47" s="13928"/>
      <c r="NB47" s="13928"/>
      <c r="NC47" s="13928"/>
      <c r="ND47" s="13928"/>
      <c r="NE47" s="13928"/>
      <c r="NF47" s="13929">
        <v>50771.44671296296</v>
      </c>
      <c r="NG47" s="13930" t="s">
        <v>66</v>
      </c>
      <c r="NH47" s="15125">
        <v>50951.44702546296</v>
      </c>
      <c r="NI47" s="13930" t="s">
        <v>66</v>
      </c>
      <c r="NJ47" s="13928">
        <v>374.94</v>
      </c>
      <c r="NK47" s="13928"/>
      <c r="NL47" s="13928"/>
      <c r="NM47" s="13928"/>
      <c r="NN47" s="13928"/>
      <c r="NO47" s="13928"/>
      <c r="NP47" s="13928"/>
      <c r="NQ47" s="13929">
        <v>50952.44775462963</v>
      </c>
      <c r="NR47" s="13930" t="s">
        <v>66</v>
      </c>
      <c r="NS47" s="15125">
        <v>51135.44798611111</v>
      </c>
      <c r="NT47" s="13930" t="s">
        <v>66</v>
      </c>
      <c r="NU47" s="13928">
        <v>374.49</v>
      </c>
      <c r="NV47" s="13928"/>
      <c r="NW47" s="13928"/>
      <c r="NX47" s="13928"/>
      <c r="NY47" s="13928"/>
      <c r="NZ47" s="13928"/>
      <c r="OA47" s="13928"/>
      <c r="OB47" s="13929">
        <v>51136.4487037037</v>
      </c>
      <c r="OC47" s="13930" t="s">
        <v>66</v>
      </c>
      <c r="OD47" s="15125">
        <v>51317.44899305556</v>
      </c>
      <c r="OE47" s="13930" t="s">
        <v>66</v>
      </c>
      <c r="OF47" s="13928">
        <v>386.87</v>
      </c>
      <c r="OG47" s="13928"/>
      <c r="OH47" s="13928"/>
      <c r="OI47" s="13928"/>
      <c r="OJ47" s="13928"/>
      <c r="OK47" s="13928"/>
      <c r="OL47" s="13928"/>
      <c r="OM47" s="13929">
        <v>51318.44965277778</v>
      </c>
      <c r="ON47" s="13930" t="s">
        <v>66</v>
      </c>
      <c r="OO47" s="15125">
        <v>51501.44988425926</v>
      </c>
      <c r="OP47" s="13930" t="s">
        <v>66</v>
      </c>
      <c r="OQ47" s="1666"/>
      <c r="OR4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OS47" s="734">
        <f>STRCHECKDATE(V48:OQ48)</f>
      </c>
      <c r="OT47" s="723"/>
      <c r="OU47" s="723" t="str">
        <f>IF(T47="","",T47)</f>
        <v>с НДС</v>
      </c>
      <c r="OV47" s="723"/>
      <c r="OW47" s="723"/>
    </row>
    <row customHeight="1" ht="0">
      <c r="A48" s="1591" t="s">
        <v>249</v>
      </c>
      <c r="B48" s="1591" t="s">
        <v>250</v>
      </c>
      <c r="C48" s="1591" t="s">
        <v>251</v>
      </c>
      <c r="D48" s="1591" t="s">
        <v>542</v>
      </c>
      <c r="E48" s="2390"/>
      <c r="F48" s="2390"/>
      <c r="G48" s="2390"/>
      <c r="H48" s="2390"/>
      <c r="I48" s="2392"/>
      <c r="J48" s="2392"/>
      <c r="K48" s="2391"/>
      <c r="L48" s="1592"/>
      <c r="P48" s="2393"/>
      <c r="Q48" s="2393"/>
      <c r="R48" s="580"/>
      <c r="S48" s="1718"/>
      <c r="T48" s="523"/>
      <c r="U48" s="523"/>
      <c r="V48" s="6436"/>
      <c r="W48" s="6436"/>
      <c r="X48" s="6436"/>
      <c r="Y48" s="6436"/>
      <c r="Z48" s="6436"/>
      <c r="AA48" s="6436"/>
      <c r="AB48" s="6436"/>
      <c r="AC48" s="6437"/>
      <c r="AD48" s="6435"/>
      <c r="AE48" s="6540"/>
      <c r="AF48" s="6435"/>
      <c r="AG48" s="548"/>
      <c r="AH48" s="548"/>
      <c r="AI48" s="548"/>
      <c r="AJ48" s="548"/>
      <c r="AK48" s="548"/>
      <c r="AL48" s="548"/>
      <c r="AM48" s="548"/>
      <c r="AN48" s="2395"/>
      <c r="AO48" s="2264"/>
      <c r="AP48" s="2397"/>
      <c r="AQ48" s="2264"/>
      <c r="AR48" s="6436"/>
      <c r="AS48" s="6436"/>
      <c r="AT48" s="6436"/>
      <c r="AU48" s="6436"/>
      <c r="AV48" s="6436"/>
      <c r="AW48" s="6436"/>
      <c r="AX48" s="6436"/>
      <c r="AY48" s="6437"/>
      <c r="AZ48" s="6435"/>
      <c r="BA48" s="6540"/>
      <c r="BB48" s="6435"/>
      <c r="BC48" s="6436"/>
      <c r="BD48" s="6436"/>
      <c r="BE48" s="6436"/>
      <c r="BF48" s="6436"/>
      <c r="BG48" s="6436"/>
      <c r="BH48" s="6436"/>
      <c r="BI48" s="6436"/>
      <c r="BJ48" s="6437"/>
      <c r="BK48" s="6435"/>
      <c r="BL48" s="6540"/>
      <c r="BM48" s="6435"/>
      <c r="BN48" s="9314"/>
      <c r="BO48" s="9314"/>
      <c r="BP48" s="9314"/>
      <c r="BQ48" s="9314"/>
      <c r="BR48" s="9314"/>
      <c r="BS48" s="9314"/>
      <c r="BT48" s="9314"/>
      <c r="BU48" s="9315"/>
      <c r="BV48" s="9311"/>
      <c r="BW48" s="10177"/>
      <c r="BX48" s="9311"/>
      <c r="BY48" s="9314"/>
      <c r="BZ48" s="9314"/>
      <c r="CA48" s="9314"/>
      <c r="CB48" s="9314"/>
      <c r="CC48" s="9314"/>
      <c r="CD48" s="9314"/>
      <c r="CE48" s="9314"/>
      <c r="CF48" s="9315"/>
      <c r="CG48" s="9311"/>
      <c r="CH48" s="10177"/>
      <c r="CI48" s="9311"/>
      <c r="CJ48" s="9314"/>
      <c r="CK48" s="9314"/>
      <c r="CL48" s="9314"/>
      <c r="CM48" s="9314"/>
      <c r="CN48" s="9314"/>
      <c r="CO48" s="9314"/>
      <c r="CP48" s="9314"/>
      <c r="CQ48" s="9315"/>
      <c r="CR48" s="9311"/>
      <c r="CS48" s="10177"/>
      <c r="CT48" s="9311"/>
      <c r="CU48" s="9314"/>
      <c r="CV48" s="9314"/>
      <c r="CW48" s="9314"/>
      <c r="CX48" s="9314"/>
      <c r="CY48" s="9314"/>
      <c r="CZ48" s="9314"/>
      <c r="DA48" s="9314"/>
      <c r="DB48" s="9315"/>
      <c r="DC48" s="9311"/>
      <c r="DD48" s="10177"/>
      <c r="DE48" s="9311"/>
      <c r="DF48" s="9314"/>
      <c r="DG48" s="9314"/>
      <c r="DH48" s="9314"/>
      <c r="DI48" s="9314"/>
      <c r="DJ48" s="9314"/>
      <c r="DK48" s="9314"/>
      <c r="DL48" s="9314"/>
      <c r="DM48" s="9315"/>
      <c r="DN48" s="9311"/>
      <c r="DO48" s="10177"/>
      <c r="DP48" s="9311"/>
      <c r="DQ48" s="9314"/>
      <c r="DR48" s="9314"/>
      <c r="DS48" s="9314"/>
      <c r="DT48" s="9314"/>
      <c r="DU48" s="9314"/>
      <c r="DV48" s="9314"/>
      <c r="DW48" s="9314"/>
      <c r="DX48" s="9315"/>
      <c r="DY48" s="9311"/>
      <c r="DZ48" s="10177"/>
      <c r="EA48" s="9311"/>
      <c r="EB48" s="9314"/>
      <c r="EC48" s="9314"/>
      <c r="ED48" s="9314"/>
      <c r="EE48" s="9314"/>
      <c r="EF48" s="9314"/>
      <c r="EG48" s="9314"/>
      <c r="EH48" s="9314"/>
      <c r="EI48" s="9315"/>
      <c r="EJ48" s="9311"/>
      <c r="EK48" s="10177"/>
      <c r="EL48" s="9311"/>
      <c r="EM48" s="9314"/>
      <c r="EN48" s="9314"/>
      <c r="EO48" s="9314"/>
      <c r="EP48" s="9314"/>
      <c r="EQ48" s="9314"/>
      <c r="ER48" s="9314"/>
      <c r="ES48" s="9314"/>
      <c r="ET48" s="9315"/>
      <c r="EU48" s="9311"/>
      <c r="EV48" s="10177"/>
      <c r="EW48" s="9311"/>
      <c r="EX48" s="9314"/>
      <c r="EY48" s="9314"/>
      <c r="EZ48" s="9314"/>
      <c r="FA48" s="9314"/>
      <c r="FB48" s="9314"/>
      <c r="FC48" s="9314"/>
      <c r="FD48" s="9314"/>
      <c r="FE48" s="9315"/>
      <c r="FF48" s="9311"/>
      <c r="FG48" s="10177"/>
      <c r="FH48" s="9311"/>
      <c r="FI48" s="9314"/>
      <c r="FJ48" s="9314"/>
      <c r="FK48" s="9314"/>
      <c r="FL48" s="9314"/>
      <c r="FM48" s="9314"/>
      <c r="FN48" s="9314"/>
      <c r="FO48" s="9314"/>
      <c r="FP48" s="9315"/>
      <c r="FQ48" s="9311"/>
      <c r="FR48" s="10177"/>
      <c r="FS48" s="9311"/>
      <c r="FT48" s="9314"/>
      <c r="FU48" s="9314"/>
      <c r="FV48" s="9314"/>
      <c r="FW48" s="9314"/>
      <c r="FX48" s="9314"/>
      <c r="FY48" s="9314"/>
      <c r="FZ48" s="9314"/>
      <c r="GA48" s="9315"/>
      <c r="GB48" s="9311"/>
      <c r="GC48" s="10177"/>
      <c r="GD48" s="9311"/>
      <c r="GE48" s="9314"/>
      <c r="GF48" s="9314"/>
      <c r="GG48" s="9314"/>
      <c r="GH48" s="9314"/>
      <c r="GI48" s="9314"/>
      <c r="GJ48" s="9314"/>
      <c r="GK48" s="9314"/>
      <c r="GL48" s="9315"/>
      <c r="GM48" s="9311"/>
      <c r="GN48" s="10177"/>
      <c r="GO48" s="9311"/>
      <c r="GP48" s="9314"/>
      <c r="GQ48" s="9314"/>
      <c r="GR48" s="9314"/>
      <c r="GS48" s="9314"/>
      <c r="GT48" s="9314"/>
      <c r="GU48" s="9314"/>
      <c r="GV48" s="9314"/>
      <c r="GW48" s="9315"/>
      <c r="GX48" s="9311"/>
      <c r="GY48" s="10177"/>
      <c r="GZ48" s="9311"/>
      <c r="HA48" s="9314"/>
      <c r="HB48" s="9314"/>
      <c r="HC48" s="9314"/>
      <c r="HD48" s="9314"/>
      <c r="HE48" s="9314"/>
      <c r="HF48" s="9314"/>
      <c r="HG48" s="9314"/>
      <c r="HH48" s="9315"/>
      <c r="HI48" s="9311"/>
      <c r="HJ48" s="10177"/>
      <c r="HK48" s="9311"/>
      <c r="HL48" s="9314"/>
      <c r="HM48" s="9314"/>
      <c r="HN48" s="9314"/>
      <c r="HO48" s="9314"/>
      <c r="HP48" s="9314"/>
      <c r="HQ48" s="9314"/>
      <c r="HR48" s="9314"/>
      <c r="HS48" s="9315"/>
      <c r="HT48" s="9311"/>
      <c r="HU48" s="10177"/>
      <c r="HV48" s="9311"/>
      <c r="HW48" s="9314"/>
      <c r="HX48" s="9314"/>
      <c r="HY48" s="9314"/>
      <c r="HZ48" s="9314"/>
      <c r="IA48" s="9314"/>
      <c r="IB48" s="9314"/>
      <c r="IC48" s="9314"/>
      <c r="ID48" s="9315"/>
      <c r="IE48" s="9311"/>
      <c r="IF48" s="10177"/>
      <c r="IG48" s="9311"/>
      <c r="IH48" s="9314"/>
      <c r="II48" s="9314"/>
      <c r="IJ48" s="9314"/>
      <c r="IK48" s="9314"/>
      <c r="IL48" s="9314"/>
      <c r="IM48" s="9314"/>
      <c r="IN48" s="9314"/>
      <c r="IO48" s="9315"/>
      <c r="IP48" s="9311"/>
      <c r="IQ48" s="10177"/>
      <c r="IR48" s="9311"/>
      <c r="IS48" s="9314"/>
      <c r="IT48" s="9314"/>
      <c r="IU48" s="9314"/>
      <c r="IV48" s="9314"/>
      <c r="IW48" s="9314"/>
      <c r="IX48" s="9314"/>
      <c r="IY48" s="9314"/>
      <c r="IZ48" s="9315"/>
      <c r="JA48" s="9311"/>
      <c r="JB48" s="10177"/>
      <c r="JC48" s="9311"/>
      <c r="JD48" s="9314"/>
      <c r="JE48" s="9314"/>
      <c r="JF48" s="9314"/>
      <c r="JG48" s="9314"/>
      <c r="JH48" s="9314"/>
      <c r="JI48" s="9314"/>
      <c r="JJ48" s="9314"/>
      <c r="JK48" s="9315"/>
      <c r="JL48" s="9311"/>
      <c r="JM48" s="10177"/>
      <c r="JN48" s="9311"/>
      <c r="JO48" s="9314"/>
      <c r="JP48" s="9314"/>
      <c r="JQ48" s="9314"/>
      <c r="JR48" s="9314"/>
      <c r="JS48" s="9314"/>
      <c r="JT48" s="9314"/>
      <c r="JU48" s="9314"/>
      <c r="JV48" s="9315"/>
      <c r="JW48" s="9311"/>
      <c r="JX48" s="10177"/>
      <c r="JY48" s="9311"/>
      <c r="JZ48" s="9314"/>
      <c r="KA48" s="9314"/>
      <c r="KB48" s="9314"/>
      <c r="KC48" s="9314"/>
      <c r="KD48" s="9314"/>
      <c r="KE48" s="9314"/>
      <c r="KF48" s="9314"/>
      <c r="KG48" s="9315"/>
      <c r="KH48" s="9311"/>
      <c r="KI48" s="10177"/>
      <c r="KJ48" s="9311"/>
      <c r="KK48" s="9314"/>
      <c r="KL48" s="9314"/>
      <c r="KM48" s="9314"/>
      <c r="KN48" s="9314"/>
      <c r="KO48" s="9314"/>
      <c r="KP48" s="9314"/>
      <c r="KQ48" s="9314"/>
      <c r="KR48" s="9315"/>
      <c r="KS48" s="9311"/>
      <c r="KT48" s="10177"/>
      <c r="KU48" s="9311"/>
      <c r="KV48" s="13935"/>
      <c r="KW48" s="13935"/>
      <c r="KX48" s="13935"/>
      <c r="KY48" s="13935"/>
      <c r="KZ48" s="13935"/>
      <c r="LA48" s="13935"/>
      <c r="LB48" s="13935"/>
      <c r="LC48" s="13936"/>
      <c r="LD48" s="13930"/>
      <c r="LE48" s="15128"/>
      <c r="LF48" s="13930"/>
      <c r="LG48" s="13935"/>
      <c r="LH48" s="13935"/>
      <c r="LI48" s="13935"/>
      <c r="LJ48" s="13935"/>
      <c r="LK48" s="13935"/>
      <c r="LL48" s="13935"/>
      <c r="LM48" s="13935"/>
      <c r="LN48" s="13936"/>
      <c r="LO48" s="13930"/>
      <c r="LP48" s="15128"/>
      <c r="LQ48" s="13930"/>
      <c r="LR48" s="13935"/>
      <c r="LS48" s="13935"/>
      <c r="LT48" s="13935"/>
      <c r="LU48" s="13935"/>
      <c r="LV48" s="13935"/>
      <c r="LW48" s="13935"/>
      <c r="LX48" s="13935"/>
      <c r="LY48" s="13936"/>
      <c r="LZ48" s="13930"/>
      <c r="MA48" s="15128"/>
      <c r="MB48" s="13930"/>
      <c r="MC48" s="13935"/>
      <c r="MD48" s="13935"/>
      <c r="ME48" s="13935"/>
      <c r="MF48" s="13935"/>
      <c r="MG48" s="13935"/>
      <c r="MH48" s="13935"/>
      <c r="MI48" s="13935"/>
      <c r="MJ48" s="13936"/>
      <c r="MK48" s="13930"/>
      <c r="ML48" s="15128"/>
      <c r="MM48" s="13930"/>
      <c r="MN48" s="13935"/>
      <c r="MO48" s="13935"/>
      <c r="MP48" s="13935"/>
      <c r="MQ48" s="13935"/>
      <c r="MR48" s="13935"/>
      <c r="MS48" s="13935"/>
      <c r="MT48" s="13935"/>
      <c r="MU48" s="13936"/>
      <c r="MV48" s="13930"/>
      <c r="MW48" s="15128"/>
      <c r="MX48" s="13930"/>
      <c r="MY48" s="13935"/>
      <c r="MZ48" s="13935"/>
      <c r="NA48" s="13935"/>
      <c r="NB48" s="13935"/>
      <c r="NC48" s="13935"/>
      <c r="ND48" s="13935"/>
      <c r="NE48" s="13935"/>
      <c r="NF48" s="13936"/>
      <c r="NG48" s="13930"/>
      <c r="NH48" s="15128"/>
      <c r="NI48" s="13930"/>
      <c r="NJ48" s="13935"/>
      <c r="NK48" s="13935"/>
      <c r="NL48" s="13935"/>
      <c r="NM48" s="13935"/>
      <c r="NN48" s="13935"/>
      <c r="NO48" s="13935"/>
      <c r="NP48" s="13935"/>
      <c r="NQ48" s="13936"/>
      <c r="NR48" s="13930"/>
      <c r="NS48" s="15128"/>
      <c r="NT48" s="13930"/>
      <c r="NU48" s="13935"/>
      <c r="NV48" s="13935"/>
      <c r="NW48" s="13935"/>
      <c r="NX48" s="13935"/>
      <c r="NY48" s="13935"/>
      <c r="NZ48" s="13935"/>
      <c r="OA48" s="13935"/>
      <c r="OB48" s="13936"/>
      <c r="OC48" s="13930"/>
      <c r="OD48" s="15128"/>
      <c r="OE48" s="13930"/>
      <c r="OF48" s="13935"/>
      <c r="OG48" s="13935"/>
      <c r="OH48" s="13935"/>
      <c r="OI48" s="13935"/>
      <c r="OJ48" s="13935"/>
      <c r="OK48" s="13935"/>
      <c r="OL48" s="13935"/>
      <c r="OM48" s="13936"/>
      <c r="ON48" s="13930"/>
      <c r="OO48" s="15128"/>
      <c r="OP48" s="13930"/>
      <c r="OQ48" s="1667"/>
      <c r="OR48" s="2482"/>
      <c r="OT48" s="723"/>
      <c r="OU48" s="723" t="str">
        <f>IF(T48="","",T48)</f>
        <v/>
      </c>
      <c r="OV48" s="723"/>
      <c r="OW48" s="723"/>
    </row>
    <row customHeight="1" ht="21">
      <c r="A49" s="1591" t="s">
        <v>249</v>
      </c>
      <c r="B49" s="1591" t="s">
        <v>250</v>
      </c>
      <c r="C49" s="1591" t="s">
        <v>251</v>
      </c>
      <c r="D49" s="1591" t="s">
        <v>542</v>
      </c>
      <c r="E49" s="2390"/>
      <c r="F49" s="2390"/>
      <c r="G49" s="2390"/>
      <c r="H49" s="2390"/>
      <c r="I49" s="2392"/>
      <c r="J49" s="2391"/>
      <c r="K49" s="1591"/>
      <c r="L49" s="1592"/>
      <c r="P49" s="2393"/>
      <c r="Q49" s="2393"/>
      <c r="R49" s="579"/>
      <c r="S49" s="1506"/>
      <c r="T49" s="510" t="s">
        <v>485</v>
      </c>
      <c r="U49" s="590"/>
      <c r="V49" s="590"/>
      <c r="W49" s="823"/>
      <c r="X49" s="823"/>
      <c r="Y49" s="823"/>
      <c r="Z49" s="823"/>
      <c r="AA49" s="823"/>
      <c r="AB49" s="823"/>
      <c r="AC49" s="590"/>
      <c r="AD49" s="590"/>
      <c r="AE49" s="590"/>
      <c r="AF49" s="590"/>
      <c r="AG49" s="590"/>
      <c r="AH49" s="823"/>
      <c r="AI49" s="823"/>
      <c r="AJ49" s="823"/>
      <c r="AK49" s="823"/>
      <c r="AL49" s="823"/>
      <c r="AM49" s="590"/>
      <c r="AN49" s="590"/>
      <c r="AO49" s="590"/>
      <c r="AP49" s="590"/>
      <c r="AQ49" s="590"/>
      <c r="AR49" s="6541"/>
      <c r="AS49" s="6542"/>
      <c r="AT49" s="6543"/>
      <c r="AU49" s="6544"/>
      <c r="AV49" s="6545"/>
      <c r="AW49" s="6546"/>
      <c r="AX49" s="6547"/>
      <c r="AY49" s="6548"/>
      <c r="AZ49" s="6549"/>
      <c r="BA49" s="6550"/>
      <c r="BB49" s="6551"/>
      <c r="BC49" s="6552"/>
      <c r="BD49" s="6553"/>
      <c r="BE49" s="6554"/>
      <c r="BF49" s="6555"/>
      <c r="BG49" s="6556"/>
      <c r="BH49" s="6557"/>
      <c r="BI49" s="6558"/>
      <c r="BJ49" s="6559"/>
      <c r="BK49" s="6560"/>
      <c r="BL49" s="6561"/>
      <c r="BM49" s="6562"/>
      <c r="BN49" s="10200"/>
      <c r="BO49" s="10201"/>
      <c r="BP49" s="10202"/>
      <c r="BQ49" s="10203"/>
      <c r="BR49" s="10204"/>
      <c r="BS49" s="10205"/>
      <c r="BT49" s="10206"/>
      <c r="BU49" s="10207"/>
      <c r="BV49" s="10208"/>
      <c r="BW49" s="10209"/>
      <c r="BX49" s="10210"/>
      <c r="BY49" s="10211"/>
      <c r="BZ49" s="10212"/>
      <c r="CA49" s="10213"/>
      <c r="CB49" s="10214"/>
      <c r="CC49" s="10215"/>
      <c r="CD49" s="10216"/>
      <c r="CE49" s="10217"/>
      <c r="CF49" s="10218"/>
      <c r="CG49" s="10219"/>
      <c r="CH49" s="10220"/>
      <c r="CI49" s="10221"/>
      <c r="CJ49" s="10222"/>
      <c r="CK49" s="10223"/>
      <c r="CL49" s="10224"/>
      <c r="CM49" s="10225"/>
      <c r="CN49" s="10226"/>
      <c r="CO49" s="10227"/>
      <c r="CP49" s="10228"/>
      <c r="CQ49" s="10229"/>
      <c r="CR49" s="10230"/>
      <c r="CS49" s="10231"/>
      <c r="CT49" s="10232"/>
      <c r="CU49" s="10233"/>
      <c r="CV49" s="10234"/>
      <c r="CW49" s="10235"/>
      <c r="CX49" s="10236"/>
      <c r="CY49" s="10237"/>
      <c r="CZ49" s="10238"/>
      <c r="DA49" s="10239"/>
      <c r="DB49" s="10240"/>
      <c r="DC49" s="10241"/>
      <c r="DD49" s="10242"/>
      <c r="DE49" s="10243"/>
      <c r="DF49" s="10244"/>
      <c r="DG49" s="10245"/>
      <c r="DH49" s="10246"/>
      <c r="DI49" s="10247"/>
      <c r="DJ49" s="10248"/>
      <c r="DK49" s="10249"/>
      <c r="DL49" s="10250"/>
      <c r="DM49" s="10251"/>
      <c r="DN49" s="10252"/>
      <c r="DO49" s="10253"/>
      <c r="DP49" s="10254"/>
      <c r="DQ49" s="10255"/>
      <c r="DR49" s="10256"/>
      <c r="DS49" s="10257"/>
      <c r="DT49" s="10258"/>
      <c r="DU49" s="10259"/>
      <c r="DV49" s="10260"/>
      <c r="DW49" s="10261"/>
      <c r="DX49" s="10262"/>
      <c r="DY49" s="10263"/>
      <c r="DZ49" s="10264"/>
      <c r="EA49" s="10265"/>
      <c r="EB49" s="10266"/>
      <c r="EC49" s="10267"/>
      <c r="ED49" s="10268"/>
      <c r="EE49" s="10269"/>
      <c r="EF49" s="10270"/>
      <c r="EG49" s="10271"/>
      <c r="EH49" s="10272"/>
      <c r="EI49" s="10273"/>
      <c r="EJ49" s="10274"/>
      <c r="EK49" s="10275"/>
      <c r="EL49" s="10276"/>
      <c r="EM49" s="10277"/>
      <c r="EN49" s="10278"/>
      <c r="EO49" s="10279"/>
      <c r="EP49" s="10280"/>
      <c r="EQ49" s="10281"/>
      <c r="ER49" s="10282"/>
      <c r="ES49" s="10283"/>
      <c r="ET49" s="10284"/>
      <c r="EU49" s="10285"/>
      <c r="EV49" s="10286"/>
      <c r="EW49" s="10287"/>
      <c r="EX49" s="10288"/>
      <c r="EY49" s="10289"/>
      <c r="EZ49" s="10290"/>
      <c r="FA49" s="10291"/>
      <c r="FB49" s="10292"/>
      <c r="FC49" s="10293"/>
      <c r="FD49" s="10294"/>
      <c r="FE49" s="10295"/>
      <c r="FF49" s="10296"/>
      <c r="FG49" s="10297"/>
      <c r="FH49" s="10298"/>
      <c r="FI49" s="10299"/>
      <c r="FJ49" s="10300"/>
      <c r="FK49" s="10301"/>
      <c r="FL49" s="10302"/>
      <c r="FM49" s="10303"/>
      <c r="FN49" s="10304"/>
      <c r="FO49" s="10305"/>
      <c r="FP49" s="10306"/>
      <c r="FQ49" s="10307"/>
      <c r="FR49" s="10308"/>
      <c r="FS49" s="10309"/>
      <c r="FT49" s="10310"/>
      <c r="FU49" s="10311"/>
      <c r="FV49" s="10312"/>
      <c r="FW49" s="10313"/>
      <c r="FX49" s="10314"/>
      <c r="FY49" s="10315"/>
      <c r="FZ49" s="10316"/>
      <c r="GA49" s="10317"/>
      <c r="GB49" s="10318"/>
      <c r="GC49" s="10319"/>
      <c r="GD49" s="10320"/>
      <c r="GE49" s="10321"/>
      <c r="GF49" s="10322"/>
      <c r="GG49" s="10323"/>
      <c r="GH49" s="10324"/>
      <c r="GI49" s="10325"/>
      <c r="GJ49" s="10326"/>
      <c r="GK49" s="10327"/>
      <c r="GL49" s="10328"/>
      <c r="GM49" s="10329"/>
      <c r="GN49" s="10330"/>
      <c r="GO49" s="10331"/>
      <c r="GP49" s="10332"/>
      <c r="GQ49" s="10333"/>
      <c r="GR49" s="10334"/>
      <c r="GS49" s="10335"/>
      <c r="GT49" s="10336"/>
      <c r="GU49" s="10337"/>
      <c r="GV49" s="10338"/>
      <c r="GW49" s="10339"/>
      <c r="GX49" s="10340"/>
      <c r="GY49" s="10341"/>
      <c r="GZ49" s="10342"/>
      <c r="HA49" s="10343"/>
      <c r="HB49" s="10344"/>
      <c r="HC49" s="10345"/>
      <c r="HD49" s="10346"/>
      <c r="HE49" s="10347"/>
      <c r="HF49" s="10348"/>
      <c r="HG49" s="10349"/>
      <c r="HH49" s="10350"/>
      <c r="HI49" s="10351"/>
      <c r="HJ49" s="10352"/>
      <c r="HK49" s="10353"/>
      <c r="HL49" s="10354"/>
      <c r="HM49" s="10355"/>
      <c r="HN49" s="10356"/>
      <c r="HO49" s="10357"/>
      <c r="HP49" s="10358"/>
      <c r="HQ49" s="10359"/>
      <c r="HR49" s="10360"/>
      <c r="HS49" s="10361"/>
      <c r="HT49" s="10362"/>
      <c r="HU49" s="10363"/>
      <c r="HV49" s="10364"/>
      <c r="HW49" s="10365"/>
      <c r="HX49" s="10366"/>
      <c r="HY49" s="10367"/>
      <c r="HZ49" s="10368"/>
      <c r="IA49" s="10369"/>
      <c r="IB49" s="10370"/>
      <c r="IC49" s="10371"/>
      <c r="ID49" s="10372"/>
      <c r="IE49" s="10373"/>
      <c r="IF49" s="10374"/>
      <c r="IG49" s="10375"/>
      <c r="IH49" s="10376"/>
      <c r="II49" s="10377"/>
      <c r="IJ49" s="10378"/>
      <c r="IK49" s="10379"/>
      <c r="IL49" s="10380"/>
      <c r="IM49" s="10381"/>
      <c r="IN49" s="10382"/>
      <c r="IO49" s="10383"/>
      <c r="IP49" s="10384"/>
      <c r="IQ49" s="10385"/>
      <c r="IR49" s="10386"/>
      <c r="IS49" s="10387"/>
      <c r="IT49" s="10388"/>
      <c r="IU49" s="10389"/>
      <c r="IV49" s="10390"/>
      <c r="IW49" s="10391"/>
      <c r="IX49" s="10392"/>
      <c r="IY49" s="10393"/>
      <c r="IZ49" s="10394"/>
      <c r="JA49" s="10395"/>
      <c r="JB49" s="10396"/>
      <c r="JC49" s="10397"/>
      <c r="JD49" s="10398"/>
      <c r="JE49" s="10399"/>
      <c r="JF49" s="10400"/>
      <c r="JG49" s="10401"/>
      <c r="JH49" s="10402"/>
      <c r="JI49" s="10403"/>
      <c r="JJ49" s="10404"/>
      <c r="JK49" s="10405"/>
      <c r="JL49" s="10406"/>
      <c r="JM49" s="10407"/>
      <c r="JN49" s="10408"/>
      <c r="JO49" s="10409"/>
      <c r="JP49" s="10410"/>
      <c r="JQ49" s="10411"/>
      <c r="JR49" s="10412"/>
      <c r="JS49" s="10413"/>
      <c r="JT49" s="10414"/>
      <c r="JU49" s="10415"/>
      <c r="JV49" s="10416"/>
      <c r="JW49" s="10417"/>
      <c r="JX49" s="10418"/>
      <c r="JY49" s="10419"/>
      <c r="JZ49" s="10420"/>
      <c r="KA49" s="10421"/>
      <c r="KB49" s="10422"/>
      <c r="KC49" s="10423"/>
      <c r="KD49" s="10424"/>
      <c r="KE49" s="10425"/>
      <c r="KF49" s="10426"/>
      <c r="KG49" s="10427"/>
      <c r="KH49" s="10428"/>
      <c r="KI49" s="10429"/>
      <c r="KJ49" s="10430"/>
      <c r="KK49" s="10431"/>
      <c r="KL49" s="10432"/>
      <c r="KM49" s="10433"/>
      <c r="KN49" s="10434"/>
      <c r="KO49" s="10435"/>
      <c r="KP49" s="10436"/>
      <c r="KQ49" s="10437"/>
      <c r="KR49" s="10438"/>
      <c r="KS49" s="10439"/>
      <c r="KT49" s="10440"/>
      <c r="KU49" s="10441"/>
      <c r="KV49" s="15393"/>
      <c r="KW49" s="15394"/>
      <c r="KX49" s="15395"/>
      <c r="KY49" s="15396"/>
      <c r="KZ49" s="15397"/>
      <c r="LA49" s="15398"/>
      <c r="LB49" s="15399"/>
      <c r="LC49" s="15400"/>
      <c r="LD49" s="15401"/>
      <c r="LE49" s="15402"/>
      <c r="LF49" s="15403"/>
      <c r="LG49" s="15404"/>
      <c r="LH49" s="15405"/>
      <c r="LI49" s="15406"/>
      <c r="LJ49" s="15407"/>
      <c r="LK49" s="15408"/>
      <c r="LL49" s="15409"/>
      <c r="LM49" s="15410"/>
      <c r="LN49" s="15411"/>
      <c r="LO49" s="15412"/>
      <c r="LP49" s="15413"/>
      <c r="LQ49" s="15414"/>
      <c r="LR49" s="15415"/>
      <c r="LS49" s="15416"/>
      <c r="LT49" s="15417"/>
      <c r="LU49" s="15418"/>
      <c r="LV49" s="15419"/>
      <c r="LW49" s="15420"/>
      <c r="LX49" s="15421"/>
      <c r="LY49" s="15422"/>
      <c r="LZ49" s="15423"/>
      <c r="MA49" s="15424"/>
      <c r="MB49" s="15425"/>
      <c r="MC49" s="15426"/>
      <c r="MD49" s="15427"/>
      <c r="ME49" s="15428"/>
      <c r="MF49" s="15429"/>
      <c r="MG49" s="15430"/>
      <c r="MH49" s="15431"/>
      <c r="MI49" s="15432"/>
      <c r="MJ49" s="15433"/>
      <c r="MK49" s="15434"/>
      <c r="ML49" s="15435"/>
      <c r="MM49" s="15436"/>
      <c r="MN49" s="15437"/>
      <c r="MO49" s="15438"/>
      <c r="MP49" s="15439"/>
      <c r="MQ49" s="15440"/>
      <c r="MR49" s="15441"/>
      <c r="MS49" s="15442"/>
      <c r="MT49" s="15443"/>
      <c r="MU49" s="15444"/>
      <c r="MV49" s="15445"/>
      <c r="MW49" s="15446"/>
      <c r="MX49" s="15447"/>
      <c r="MY49" s="15448"/>
      <c r="MZ49" s="15449"/>
      <c r="NA49" s="15450"/>
      <c r="NB49" s="15451"/>
      <c r="NC49" s="15452"/>
      <c r="ND49" s="15453"/>
      <c r="NE49" s="15454"/>
      <c r="NF49" s="15455"/>
      <c r="NG49" s="15456"/>
      <c r="NH49" s="15457"/>
      <c r="NI49" s="15458"/>
      <c r="NJ49" s="15459"/>
      <c r="NK49" s="15460"/>
      <c r="NL49" s="15461"/>
      <c r="NM49" s="15462"/>
      <c r="NN49" s="15463"/>
      <c r="NO49" s="15464"/>
      <c r="NP49" s="15465"/>
      <c r="NQ49" s="15466"/>
      <c r="NR49" s="15467"/>
      <c r="NS49" s="15468"/>
      <c r="NT49" s="15469"/>
      <c r="NU49" s="15470"/>
      <c r="NV49" s="15471"/>
      <c r="NW49" s="15472"/>
      <c r="NX49" s="15473"/>
      <c r="NY49" s="15474"/>
      <c r="NZ49" s="15475"/>
      <c r="OA49" s="15476"/>
      <c r="OB49" s="15477"/>
      <c r="OC49" s="15478"/>
      <c r="OD49" s="15479"/>
      <c r="OE49" s="15480"/>
      <c r="OF49" s="15481"/>
      <c r="OG49" s="15482"/>
      <c r="OH49" s="15483"/>
      <c r="OI49" s="15484"/>
      <c r="OJ49" s="15485"/>
      <c r="OK49" s="15486"/>
      <c r="OL49" s="15487"/>
      <c r="OM49" s="15488"/>
      <c r="ON49" s="15489"/>
      <c r="OO49" s="15490"/>
      <c r="OP49" s="15491"/>
      <c r="OQ49" s="590"/>
      <c r="OR49" s="1485" t="s">
        <v>486</v>
      </c>
      <c r="OT49" s="723"/>
      <c r="OU49" s="723" t="str">
        <f>IF(T49="","",T49)</f>
        <v>Добавить значение признака дифференциации</v>
      </c>
      <c r="OV49" s="723"/>
      <c r="OW49" s="723"/>
    </row>
    <row s="15492" customFormat="1" customHeight="1" ht="23.25">
      <c r="A50" s="6564"/>
      <c r="B50" s="6564"/>
      <c r="C50" s="6564"/>
      <c r="D50" s="6564"/>
      <c r="E50" s="6565"/>
      <c r="F50" s="6565"/>
      <c r="G50" s="6565"/>
      <c r="H50" s="6565"/>
      <c r="I50" s="6566"/>
      <c r="J50" s="6567" t="str">
        <f>I45&amp;".2"</f>
        <v>1.1.1.1.2</v>
      </c>
      <c r="K50" s="6564"/>
      <c r="L50" s="6568" t="s">
        <v>407</v>
      </c>
      <c r="M50" s="6569"/>
      <c r="N50" s="6569"/>
      <c r="O50" s="6569"/>
      <c r="P50" s="6570"/>
      <c r="Q50" s="6571" t="s">
        <v>531</v>
      </c>
      <c r="R50" s="6572"/>
      <c r="S50" s="6573" t="str">
        <f>$J50</f>
        <v>1.1.1.1.2</v>
      </c>
      <c r="T50" s="6574" t="s">
        <v>408</v>
      </c>
      <c r="U50" s="6575"/>
      <c r="V50" s="6430"/>
      <c r="W50" s="6431"/>
      <c r="X50" s="6431"/>
      <c r="Y50" s="6431"/>
      <c r="Z50" s="6431"/>
      <c r="AA50" s="6431"/>
      <c r="AB50" s="6431"/>
      <c r="AC50" s="6431"/>
      <c r="AD50" s="6431"/>
      <c r="AE50" s="6431"/>
      <c r="AF50" s="6432"/>
      <c r="AG50" s="6430" t="s">
        <v>544</v>
      </c>
      <c r="AH50" s="6431"/>
      <c r="AI50" s="6431"/>
      <c r="AJ50" s="6431"/>
      <c r="AK50" s="6431"/>
      <c r="AL50" s="6431"/>
      <c r="AM50" s="6431"/>
      <c r="AN50" s="6431"/>
      <c r="AO50" s="6431"/>
      <c r="AP50" s="6431"/>
      <c r="AQ50" s="6431"/>
      <c r="AR50" s="6430"/>
      <c r="AS50" s="6431"/>
      <c r="AT50" s="6431"/>
      <c r="AU50" s="6431"/>
      <c r="AV50" s="6431"/>
      <c r="AW50" s="6431"/>
      <c r="AX50" s="6431"/>
      <c r="AY50" s="6431"/>
      <c r="AZ50" s="6431"/>
      <c r="BA50" s="6431"/>
      <c r="BB50" s="6432"/>
      <c r="BC50" s="6430"/>
      <c r="BD50" s="6431"/>
      <c r="BE50" s="6431"/>
      <c r="BF50" s="6431"/>
      <c r="BG50" s="6431"/>
      <c r="BH50" s="6431"/>
      <c r="BI50" s="6431"/>
      <c r="BJ50" s="6431"/>
      <c r="BK50" s="6431"/>
      <c r="BL50" s="6431"/>
      <c r="BM50" s="6432"/>
      <c r="BN50" s="9303"/>
      <c r="BO50" s="9304"/>
      <c r="BP50" s="9304"/>
      <c r="BQ50" s="9304"/>
      <c r="BR50" s="9304"/>
      <c r="BS50" s="9304"/>
      <c r="BT50" s="9304"/>
      <c r="BU50" s="9304"/>
      <c r="BV50" s="9304"/>
      <c r="BW50" s="9304"/>
      <c r="BX50" s="9305"/>
      <c r="BY50" s="9303"/>
      <c r="BZ50" s="9304"/>
      <c r="CA50" s="9304"/>
      <c r="CB50" s="9304"/>
      <c r="CC50" s="9304"/>
      <c r="CD50" s="9304"/>
      <c r="CE50" s="9304"/>
      <c r="CF50" s="9304"/>
      <c r="CG50" s="9304"/>
      <c r="CH50" s="9304"/>
      <c r="CI50" s="9305"/>
      <c r="CJ50" s="9303"/>
      <c r="CK50" s="9304"/>
      <c r="CL50" s="9304"/>
      <c r="CM50" s="9304"/>
      <c r="CN50" s="9304"/>
      <c r="CO50" s="9304"/>
      <c r="CP50" s="9304"/>
      <c r="CQ50" s="9304"/>
      <c r="CR50" s="9304"/>
      <c r="CS50" s="9304"/>
      <c r="CT50" s="9305"/>
      <c r="CU50" s="9303"/>
      <c r="CV50" s="9304"/>
      <c r="CW50" s="9304"/>
      <c r="CX50" s="9304"/>
      <c r="CY50" s="9304"/>
      <c r="CZ50" s="9304"/>
      <c r="DA50" s="9304"/>
      <c r="DB50" s="9304"/>
      <c r="DC50" s="9304"/>
      <c r="DD50" s="9304"/>
      <c r="DE50" s="9305"/>
      <c r="DF50" s="9303"/>
      <c r="DG50" s="9304"/>
      <c r="DH50" s="9304"/>
      <c r="DI50" s="9304"/>
      <c r="DJ50" s="9304"/>
      <c r="DK50" s="9304"/>
      <c r="DL50" s="9304"/>
      <c r="DM50" s="9304"/>
      <c r="DN50" s="9304"/>
      <c r="DO50" s="9304"/>
      <c r="DP50" s="9305"/>
      <c r="DQ50" s="9303"/>
      <c r="DR50" s="9304"/>
      <c r="DS50" s="9304"/>
      <c r="DT50" s="9304"/>
      <c r="DU50" s="9304"/>
      <c r="DV50" s="9304"/>
      <c r="DW50" s="9304"/>
      <c r="DX50" s="9304"/>
      <c r="DY50" s="9304"/>
      <c r="DZ50" s="9304"/>
      <c r="EA50" s="9305"/>
      <c r="EB50" s="9303"/>
      <c r="EC50" s="9304"/>
      <c r="ED50" s="9304"/>
      <c r="EE50" s="9304"/>
      <c r="EF50" s="9304"/>
      <c r="EG50" s="9304"/>
      <c r="EH50" s="9304"/>
      <c r="EI50" s="9304"/>
      <c r="EJ50" s="9304"/>
      <c r="EK50" s="9304"/>
      <c r="EL50" s="9305"/>
      <c r="EM50" s="9303"/>
      <c r="EN50" s="9304"/>
      <c r="EO50" s="9304"/>
      <c r="EP50" s="9304"/>
      <c r="EQ50" s="9304"/>
      <c r="ER50" s="9304"/>
      <c r="ES50" s="9304"/>
      <c r="ET50" s="9304"/>
      <c r="EU50" s="9304"/>
      <c r="EV50" s="9304"/>
      <c r="EW50" s="9305"/>
      <c r="EX50" s="9303"/>
      <c r="EY50" s="9304"/>
      <c r="EZ50" s="9304"/>
      <c r="FA50" s="9304"/>
      <c r="FB50" s="9304"/>
      <c r="FC50" s="9304"/>
      <c r="FD50" s="9304"/>
      <c r="FE50" s="9304"/>
      <c r="FF50" s="9304"/>
      <c r="FG50" s="9304"/>
      <c r="FH50" s="9305"/>
      <c r="FI50" s="9303"/>
      <c r="FJ50" s="9304"/>
      <c r="FK50" s="9304"/>
      <c r="FL50" s="9304"/>
      <c r="FM50" s="9304"/>
      <c r="FN50" s="9304"/>
      <c r="FO50" s="9304"/>
      <c r="FP50" s="9304"/>
      <c r="FQ50" s="9304"/>
      <c r="FR50" s="9304"/>
      <c r="FS50" s="9305"/>
      <c r="FT50" s="9303"/>
      <c r="FU50" s="9304"/>
      <c r="FV50" s="9304"/>
      <c r="FW50" s="9304"/>
      <c r="FX50" s="9304"/>
      <c r="FY50" s="9304"/>
      <c r="FZ50" s="9304"/>
      <c r="GA50" s="9304"/>
      <c r="GB50" s="9304"/>
      <c r="GC50" s="9304"/>
      <c r="GD50" s="9305"/>
      <c r="GE50" s="9303"/>
      <c r="GF50" s="9304"/>
      <c r="GG50" s="9304"/>
      <c r="GH50" s="9304"/>
      <c r="GI50" s="9304"/>
      <c r="GJ50" s="9304"/>
      <c r="GK50" s="9304"/>
      <c r="GL50" s="9304"/>
      <c r="GM50" s="9304"/>
      <c r="GN50" s="9304"/>
      <c r="GO50" s="9305"/>
      <c r="GP50" s="9303"/>
      <c r="GQ50" s="9304"/>
      <c r="GR50" s="9304"/>
      <c r="GS50" s="9304"/>
      <c r="GT50" s="9304"/>
      <c r="GU50" s="9304"/>
      <c r="GV50" s="9304"/>
      <c r="GW50" s="9304"/>
      <c r="GX50" s="9304"/>
      <c r="GY50" s="9304"/>
      <c r="GZ50" s="9305"/>
      <c r="HA50" s="9303"/>
      <c r="HB50" s="9304"/>
      <c r="HC50" s="9304"/>
      <c r="HD50" s="9304"/>
      <c r="HE50" s="9304"/>
      <c r="HF50" s="9304"/>
      <c r="HG50" s="9304"/>
      <c r="HH50" s="9304"/>
      <c r="HI50" s="9304"/>
      <c r="HJ50" s="9304"/>
      <c r="HK50" s="9305"/>
      <c r="HL50" s="9303"/>
      <c r="HM50" s="9304"/>
      <c r="HN50" s="9304"/>
      <c r="HO50" s="9304"/>
      <c r="HP50" s="9304"/>
      <c r="HQ50" s="9304"/>
      <c r="HR50" s="9304"/>
      <c r="HS50" s="9304"/>
      <c r="HT50" s="9304"/>
      <c r="HU50" s="9304"/>
      <c r="HV50" s="9305"/>
      <c r="HW50" s="9303"/>
      <c r="HX50" s="9304"/>
      <c r="HY50" s="9304"/>
      <c r="HZ50" s="9304"/>
      <c r="IA50" s="9304"/>
      <c r="IB50" s="9304"/>
      <c r="IC50" s="9304"/>
      <c r="ID50" s="9304"/>
      <c r="IE50" s="9304"/>
      <c r="IF50" s="9304"/>
      <c r="IG50" s="9305"/>
      <c r="IH50" s="9303"/>
      <c r="II50" s="9304"/>
      <c r="IJ50" s="9304"/>
      <c r="IK50" s="9304"/>
      <c r="IL50" s="9304"/>
      <c r="IM50" s="9304"/>
      <c r="IN50" s="9304"/>
      <c r="IO50" s="9304"/>
      <c r="IP50" s="9304"/>
      <c r="IQ50" s="9304"/>
      <c r="IR50" s="9305"/>
      <c r="IS50" s="9303"/>
      <c r="IT50" s="9304"/>
      <c r="IU50" s="9304"/>
      <c r="IV50" s="9304"/>
      <c r="IW50" s="9304"/>
      <c r="IX50" s="9304"/>
      <c r="IY50" s="9304"/>
      <c r="IZ50" s="9304"/>
      <c r="JA50" s="9304"/>
      <c r="JB50" s="9304"/>
      <c r="JC50" s="9305"/>
      <c r="JD50" s="9303"/>
      <c r="JE50" s="9304"/>
      <c r="JF50" s="9304"/>
      <c r="JG50" s="9304"/>
      <c r="JH50" s="9304"/>
      <c r="JI50" s="9304"/>
      <c r="JJ50" s="9304"/>
      <c r="JK50" s="9304"/>
      <c r="JL50" s="9304"/>
      <c r="JM50" s="9304"/>
      <c r="JN50" s="9305"/>
      <c r="JO50" s="9303"/>
      <c r="JP50" s="9304"/>
      <c r="JQ50" s="9304"/>
      <c r="JR50" s="9304"/>
      <c r="JS50" s="9304"/>
      <c r="JT50" s="9304"/>
      <c r="JU50" s="9304"/>
      <c r="JV50" s="9304"/>
      <c r="JW50" s="9304"/>
      <c r="JX50" s="9304"/>
      <c r="JY50" s="9305"/>
      <c r="JZ50" s="9303"/>
      <c r="KA50" s="9304"/>
      <c r="KB50" s="9304"/>
      <c r="KC50" s="9304"/>
      <c r="KD50" s="9304"/>
      <c r="KE50" s="9304"/>
      <c r="KF50" s="9304"/>
      <c r="KG50" s="9304"/>
      <c r="KH50" s="9304"/>
      <c r="KI50" s="9304"/>
      <c r="KJ50" s="9305"/>
      <c r="KK50" s="9303"/>
      <c r="KL50" s="9304"/>
      <c r="KM50" s="9304"/>
      <c r="KN50" s="9304"/>
      <c r="KO50" s="9304"/>
      <c r="KP50" s="9304"/>
      <c r="KQ50" s="9304"/>
      <c r="KR50" s="9304"/>
      <c r="KS50" s="9304"/>
      <c r="KT50" s="9304"/>
      <c r="KU50" s="9305"/>
      <c r="KV50" s="13919"/>
      <c r="KW50" s="13920"/>
      <c r="KX50" s="13920"/>
      <c r="KY50" s="13920"/>
      <c r="KZ50" s="13920"/>
      <c r="LA50" s="13920"/>
      <c r="LB50" s="13920"/>
      <c r="LC50" s="13920"/>
      <c r="LD50" s="13920"/>
      <c r="LE50" s="13920"/>
      <c r="LF50" s="13921"/>
      <c r="LG50" s="13919"/>
      <c r="LH50" s="13920"/>
      <c r="LI50" s="13920"/>
      <c r="LJ50" s="13920"/>
      <c r="LK50" s="13920"/>
      <c r="LL50" s="13920"/>
      <c r="LM50" s="13920"/>
      <c r="LN50" s="13920"/>
      <c r="LO50" s="13920"/>
      <c r="LP50" s="13920"/>
      <c r="LQ50" s="13921"/>
      <c r="LR50" s="13919"/>
      <c r="LS50" s="13920"/>
      <c r="LT50" s="13920"/>
      <c r="LU50" s="13920"/>
      <c r="LV50" s="13920"/>
      <c r="LW50" s="13920"/>
      <c r="LX50" s="13920"/>
      <c r="LY50" s="13920"/>
      <c r="LZ50" s="13920"/>
      <c r="MA50" s="13920"/>
      <c r="MB50" s="13921"/>
      <c r="MC50" s="13919"/>
      <c r="MD50" s="13920"/>
      <c r="ME50" s="13920"/>
      <c r="MF50" s="13920"/>
      <c r="MG50" s="13920"/>
      <c r="MH50" s="13920"/>
      <c r="MI50" s="13920"/>
      <c r="MJ50" s="13920"/>
      <c r="MK50" s="13920"/>
      <c r="ML50" s="13920"/>
      <c r="MM50" s="13921"/>
      <c r="MN50" s="13919"/>
      <c r="MO50" s="13920"/>
      <c r="MP50" s="13920"/>
      <c r="MQ50" s="13920"/>
      <c r="MR50" s="13920"/>
      <c r="MS50" s="13920"/>
      <c r="MT50" s="13920"/>
      <c r="MU50" s="13920"/>
      <c r="MV50" s="13920"/>
      <c r="MW50" s="13920"/>
      <c r="MX50" s="13921"/>
      <c r="MY50" s="13919"/>
      <c r="MZ50" s="13920"/>
      <c r="NA50" s="13920"/>
      <c r="NB50" s="13920"/>
      <c r="NC50" s="13920"/>
      <c r="ND50" s="13920"/>
      <c r="NE50" s="13920"/>
      <c r="NF50" s="13920"/>
      <c r="NG50" s="13920"/>
      <c r="NH50" s="13920"/>
      <c r="NI50" s="13921"/>
      <c r="NJ50" s="13919"/>
      <c r="NK50" s="13920"/>
      <c r="NL50" s="13920"/>
      <c r="NM50" s="13920"/>
      <c r="NN50" s="13920"/>
      <c r="NO50" s="13920"/>
      <c r="NP50" s="13920"/>
      <c r="NQ50" s="13920"/>
      <c r="NR50" s="13920"/>
      <c r="NS50" s="13920"/>
      <c r="NT50" s="13921"/>
      <c r="NU50" s="13919"/>
      <c r="NV50" s="13920"/>
      <c r="NW50" s="13920"/>
      <c r="NX50" s="13920"/>
      <c r="NY50" s="13920"/>
      <c r="NZ50" s="13920"/>
      <c r="OA50" s="13920"/>
      <c r="OB50" s="13920"/>
      <c r="OC50" s="13920"/>
      <c r="OD50" s="13920"/>
      <c r="OE50" s="13921"/>
      <c r="OF50" s="13919"/>
      <c r="OG50" s="13920"/>
      <c r="OH50" s="13920"/>
      <c r="OI50" s="13920"/>
      <c r="OJ50" s="13920"/>
      <c r="OK50" s="13920"/>
      <c r="OL50" s="13920"/>
      <c r="OM50" s="13920"/>
      <c r="ON50" s="13920"/>
      <c r="OO50" s="13920"/>
      <c r="OP50" s="13921"/>
      <c r="OQ50" s="6432"/>
      <c r="OR50" s="6576" t="s">
        <v>484</v>
      </c>
      <c r="OS50" s="6513"/>
      <c r="OT50" s="6577"/>
      <c r="OU50" s="6577" t="str">
        <f>IF(T50="","",T50)</f>
        <v>Группа потребителей</v>
      </c>
      <c r="OV50" s="6577"/>
      <c r="OW50" s="6577"/>
    </row>
    <row s="15507" customFormat="1" customHeight="1" ht="23.25">
      <c r="A51" s="6564"/>
      <c r="B51" s="6564"/>
      <c r="C51" s="6564"/>
      <c r="D51" s="6564"/>
      <c r="E51" s="6565"/>
      <c r="F51" s="6565"/>
      <c r="G51" s="6565"/>
      <c r="H51" s="6565"/>
      <c r="I51" s="6566"/>
      <c r="J51" s="6566" t="str">
        <f>I45&amp;".1"</f>
        <v>1.1.1.1.1</v>
      </c>
      <c r="K51" s="6567" t="str">
        <f>J50&amp;".1"</f>
        <v>1.1.1.1.2.1</v>
      </c>
      <c r="L51" s="6568"/>
      <c r="M51" s="6569"/>
      <c r="N51" s="6569"/>
      <c r="O51" s="6569"/>
      <c r="P51" s="6570"/>
      <c r="Q51" s="6570"/>
      <c r="R51" s="6572">
        <v>1</v>
      </c>
      <c r="S51" s="6573" t="str">
        <f>$K51</f>
        <v>1.1.1.1.2.1</v>
      </c>
      <c r="T51" s="6579" t="s">
        <v>545</v>
      </c>
      <c r="U51" s="6575"/>
      <c r="V51" s="6433"/>
      <c r="W51" s="6433"/>
      <c r="X51" s="6433"/>
      <c r="Y51" s="6433"/>
      <c r="Z51" s="6433"/>
      <c r="AA51" s="6433"/>
      <c r="AB51" s="6433"/>
      <c r="AC51" s="6434"/>
      <c r="AD51" s="6435" t="s">
        <v>66</v>
      </c>
      <c r="AE51" s="6434"/>
      <c r="AF51" s="6435" t="s">
        <v>66</v>
      </c>
      <c r="AG51" s="6433">
        <v>159.02</v>
      </c>
      <c r="AH51" s="6433"/>
      <c r="AI51" s="6433"/>
      <c r="AJ51" s="6433"/>
      <c r="AK51" s="6433"/>
      <c r="AL51" s="6433"/>
      <c r="AM51" s="6433"/>
      <c r="AN51" s="6434">
        <v>45275</v>
      </c>
      <c r="AO51" s="6435" t="s">
        <v>66</v>
      </c>
      <c r="AP51" s="6539">
        <v>45473</v>
      </c>
      <c r="AQ51" s="6435" t="s">
        <v>66</v>
      </c>
      <c r="AR51" s="6433">
        <v>191.09</v>
      </c>
      <c r="AS51" s="6433"/>
      <c r="AT51" s="6433"/>
      <c r="AU51" s="6433"/>
      <c r="AV51" s="6433"/>
      <c r="AW51" s="6433"/>
      <c r="AX51" s="6433"/>
      <c r="AY51" s="6434">
        <v>45474</v>
      </c>
      <c r="AZ51" s="6435" t="s">
        <v>66</v>
      </c>
      <c r="BA51" s="6434">
        <v>45657</v>
      </c>
      <c r="BB51" s="6435" t="s">
        <v>66</v>
      </c>
      <c r="BC51" s="6433">
        <v>191.09</v>
      </c>
      <c r="BD51" s="6433"/>
      <c r="BE51" s="6433"/>
      <c r="BF51" s="6433"/>
      <c r="BG51" s="6433"/>
      <c r="BH51" s="6433"/>
      <c r="BI51" s="6433"/>
      <c r="BJ51" s="6434">
        <v>45658.542291666665</v>
      </c>
      <c r="BK51" s="6435" t="s">
        <v>66</v>
      </c>
      <c r="BL51" s="6434">
        <v>45838</v>
      </c>
      <c r="BM51" s="6435" t="s">
        <v>66</v>
      </c>
      <c r="BN51" s="9309">
        <v>197.95</v>
      </c>
      <c r="BO51" s="9309"/>
      <c r="BP51" s="9309"/>
      <c r="BQ51" s="9309"/>
      <c r="BR51" s="9309"/>
      <c r="BS51" s="9309"/>
      <c r="BT51" s="9309"/>
      <c r="BU51" s="9310">
        <v>45839.69065972222</v>
      </c>
      <c r="BV51" s="9311" t="s">
        <v>66</v>
      </c>
      <c r="BW51" s="9310">
        <v>46022.69101851852</v>
      </c>
      <c r="BX51" s="9311" t="s">
        <v>66</v>
      </c>
      <c r="BY51" s="9309">
        <v>197.95</v>
      </c>
      <c r="BZ51" s="9309"/>
      <c r="CA51" s="9309"/>
      <c r="CB51" s="9309"/>
      <c r="CC51" s="9309"/>
      <c r="CD51" s="9309"/>
      <c r="CE51" s="9309"/>
      <c r="CF51" s="9310">
        <v>46023.69298611111</v>
      </c>
      <c r="CG51" s="9311" t="s">
        <v>66</v>
      </c>
      <c r="CH51" s="9310">
        <v>46203.69314814815</v>
      </c>
      <c r="CI51" s="9311" t="s">
        <v>66</v>
      </c>
      <c r="CJ51" s="9309">
        <v>205.86</v>
      </c>
      <c r="CK51" s="9309"/>
      <c r="CL51" s="9309"/>
      <c r="CM51" s="9309"/>
      <c r="CN51" s="9309"/>
      <c r="CO51" s="9309"/>
      <c r="CP51" s="9309"/>
      <c r="CQ51" s="9310">
        <v>46204.714895833335</v>
      </c>
      <c r="CR51" s="9311" t="s">
        <v>66</v>
      </c>
      <c r="CS51" s="9310">
        <v>46387.71518518519</v>
      </c>
      <c r="CT51" s="9311" t="s">
        <v>66</v>
      </c>
      <c r="CU51" s="9309">
        <v>205.86</v>
      </c>
      <c r="CV51" s="9309"/>
      <c r="CW51" s="9309"/>
      <c r="CX51" s="9309"/>
      <c r="CY51" s="9309"/>
      <c r="CZ51" s="9309"/>
      <c r="DA51" s="9309"/>
      <c r="DB51" s="9310">
        <v>46388.7159375</v>
      </c>
      <c r="DC51" s="9311" t="s">
        <v>66</v>
      </c>
      <c r="DD51" s="9310">
        <v>46568.71608796297</v>
      </c>
      <c r="DE51" s="9311" t="s">
        <v>66</v>
      </c>
      <c r="DF51" s="9309">
        <v>214.1</v>
      </c>
      <c r="DG51" s="9309"/>
      <c r="DH51" s="9309"/>
      <c r="DI51" s="9309"/>
      <c r="DJ51" s="9309"/>
      <c r="DK51" s="9309"/>
      <c r="DL51" s="9309"/>
      <c r="DM51" s="9310">
        <v>46569.716840277775</v>
      </c>
      <c r="DN51" s="9311" t="s">
        <v>66</v>
      </c>
      <c r="DO51" s="9310">
        <v>46752.71704861111</v>
      </c>
      <c r="DP51" s="9311" t="s">
        <v>66</v>
      </c>
      <c r="DQ51" s="9309">
        <v>214.1</v>
      </c>
      <c r="DR51" s="9309"/>
      <c r="DS51" s="9309"/>
      <c r="DT51" s="9309"/>
      <c r="DU51" s="9309"/>
      <c r="DV51" s="9309"/>
      <c r="DW51" s="9309"/>
      <c r="DX51" s="9310">
        <v>46753.71880787037</v>
      </c>
      <c r="DY51" s="9311" t="s">
        <v>66</v>
      </c>
      <c r="DZ51" s="9310">
        <v>46934.7190625</v>
      </c>
      <c r="EA51" s="9311" t="s">
        <v>66</v>
      </c>
      <c r="EB51" s="9309">
        <v>226.66</v>
      </c>
      <c r="EC51" s="9309"/>
      <c r="ED51" s="9309"/>
      <c r="EE51" s="9309"/>
      <c r="EF51" s="9309"/>
      <c r="EG51" s="9309"/>
      <c r="EH51" s="9309"/>
      <c r="EI51" s="9310">
        <v>46935.71976851852</v>
      </c>
      <c r="EJ51" s="9311" t="s">
        <v>66</v>
      </c>
      <c r="EK51" s="9310">
        <v>47118.72005787037</v>
      </c>
      <c r="EL51" s="9311" t="s">
        <v>66</v>
      </c>
      <c r="EM51" s="9309">
        <v>226.66</v>
      </c>
      <c r="EN51" s="9309"/>
      <c r="EO51" s="9309"/>
      <c r="EP51" s="9309"/>
      <c r="EQ51" s="9309"/>
      <c r="ER51" s="9309"/>
      <c r="ES51" s="9309"/>
      <c r="ET51" s="9310">
        <v>47119.720625</v>
      </c>
      <c r="EU51" s="9311" t="s">
        <v>66</v>
      </c>
      <c r="EV51" s="9310">
        <v>47299.720925925925</v>
      </c>
      <c r="EW51" s="9311" t="s">
        <v>66</v>
      </c>
      <c r="EX51" s="9309">
        <v>231.57</v>
      </c>
      <c r="EY51" s="9309"/>
      <c r="EZ51" s="9309"/>
      <c r="FA51" s="9309"/>
      <c r="FB51" s="9309"/>
      <c r="FC51" s="9309"/>
      <c r="FD51" s="9309"/>
      <c r="FE51" s="9310">
        <v>47300.722766203704</v>
      </c>
      <c r="FF51" s="9311" t="s">
        <v>66</v>
      </c>
      <c r="FG51" s="9310">
        <v>47483.723078703704</v>
      </c>
      <c r="FH51" s="9311" t="s">
        <v>66</v>
      </c>
      <c r="FI51" s="9309">
        <v>231.57</v>
      </c>
      <c r="FJ51" s="9309"/>
      <c r="FK51" s="9309"/>
      <c r="FL51" s="9309"/>
      <c r="FM51" s="9309"/>
      <c r="FN51" s="9309"/>
      <c r="FO51" s="9309"/>
      <c r="FP51" s="9310">
        <v>47484.72445601852</v>
      </c>
      <c r="FQ51" s="9311" t="s">
        <v>66</v>
      </c>
      <c r="FR51" s="9310">
        <v>47664.72478009259</v>
      </c>
      <c r="FS51" s="9311" t="s">
        <v>66</v>
      </c>
      <c r="FT51" s="9309">
        <v>240.83</v>
      </c>
      <c r="FU51" s="9309"/>
      <c r="FV51" s="9309"/>
      <c r="FW51" s="9309"/>
      <c r="FX51" s="9309"/>
      <c r="FY51" s="9309"/>
      <c r="FZ51" s="9309"/>
      <c r="GA51" s="9310">
        <v>47665.725590277776</v>
      </c>
      <c r="GB51" s="9311" t="s">
        <v>66</v>
      </c>
      <c r="GC51" s="9310">
        <v>47848.72576388889</v>
      </c>
      <c r="GD51" s="9311" t="s">
        <v>66</v>
      </c>
      <c r="GE51" s="9309">
        <v>240.83</v>
      </c>
      <c r="GF51" s="9309"/>
      <c r="GG51" s="9309"/>
      <c r="GH51" s="9309"/>
      <c r="GI51" s="9309"/>
      <c r="GJ51" s="9309"/>
      <c r="GK51" s="9309"/>
      <c r="GL51" s="9310">
        <v>47849.7265625</v>
      </c>
      <c r="GM51" s="9311" t="s">
        <v>66</v>
      </c>
      <c r="GN51" s="9310">
        <v>48029.726793981485</v>
      </c>
      <c r="GO51" s="9311" t="s">
        <v>66</v>
      </c>
      <c r="GP51" s="9309">
        <v>250.47</v>
      </c>
      <c r="GQ51" s="9309"/>
      <c r="GR51" s="9309"/>
      <c r="GS51" s="9309"/>
      <c r="GT51" s="9309"/>
      <c r="GU51" s="9309"/>
      <c r="GV51" s="9309"/>
      <c r="GW51" s="9310">
        <v>48030.727534722224</v>
      </c>
      <c r="GX51" s="9311" t="s">
        <v>66</v>
      </c>
      <c r="GY51" s="9310">
        <v>48213.727789351855</v>
      </c>
      <c r="GZ51" s="9311" t="s">
        <v>66</v>
      </c>
      <c r="HA51" s="9309">
        <v>250.47</v>
      </c>
      <c r="HB51" s="9309"/>
      <c r="HC51" s="9309"/>
      <c r="HD51" s="9309"/>
      <c r="HE51" s="9309"/>
      <c r="HF51" s="9309"/>
      <c r="HG51" s="9309"/>
      <c r="HH51" s="9310">
        <v>48214.72840277778</v>
      </c>
      <c r="HI51" s="9311" t="s">
        <v>66</v>
      </c>
      <c r="HJ51" s="9310">
        <v>48395.728842592594</v>
      </c>
      <c r="HK51" s="9311" t="s">
        <v>66</v>
      </c>
      <c r="HL51" s="9309">
        <v>260.48</v>
      </c>
      <c r="HM51" s="9309"/>
      <c r="HN51" s="9309"/>
      <c r="HO51" s="9309"/>
      <c r="HP51" s="9309"/>
      <c r="HQ51" s="9309"/>
      <c r="HR51" s="9309"/>
      <c r="HS51" s="9310">
        <v>48396.729479166665</v>
      </c>
      <c r="HT51" s="9311" t="s">
        <v>66</v>
      </c>
      <c r="HU51" s="9310">
        <v>48579.729733796295</v>
      </c>
      <c r="HV51" s="9311" t="s">
        <v>66</v>
      </c>
      <c r="HW51" s="9309">
        <v>260.48</v>
      </c>
      <c r="HX51" s="9309"/>
      <c r="HY51" s="9309"/>
      <c r="HZ51" s="9309"/>
      <c r="IA51" s="9309"/>
      <c r="IB51" s="9309"/>
      <c r="IC51" s="9309"/>
      <c r="ID51" s="9310">
        <v>48580.73954861111</v>
      </c>
      <c r="IE51" s="9311" t="s">
        <v>66</v>
      </c>
      <c r="IF51" s="9310">
        <v>48760.73972222222</v>
      </c>
      <c r="IG51" s="9311" t="s">
        <v>66</v>
      </c>
      <c r="IH51" s="9309">
        <v>270.9</v>
      </c>
      <c r="II51" s="9309"/>
      <c r="IJ51" s="9309"/>
      <c r="IK51" s="9309"/>
      <c r="IL51" s="9309"/>
      <c r="IM51" s="9309"/>
      <c r="IN51" s="9309"/>
      <c r="IO51" s="9310">
        <v>48761.740752314814</v>
      </c>
      <c r="IP51" s="9311" t="s">
        <v>66</v>
      </c>
      <c r="IQ51" s="9310">
        <v>48944.74091435185</v>
      </c>
      <c r="IR51" s="9311" t="s">
        <v>66</v>
      </c>
      <c r="IS51" s="9309">
        <v>270.9</v>
      </c>
      <c r="IT51" s="9309"/>
      <c r="IU51" s="9309"/>
      <c r="IV51" s="9309"/>
      <c r="IW51" s="9309"/>
      <c r="IX51" s="9309"/>
      <c r="IY51" s="9309"/>
      <c r="IZ51" s="9310">
        <v>48945.7421875</v>
      </c>
      <c r="JA51" s="9311" t="s">
        <v>66</v>
      </c>
      <c r="JB51" s="9310">
        <v>49125.74355324074</v>
      </c>
      <c r="JC51" s="9311" t="s">
        <v>66</v>
      </c>
      <c r="JD51" s="9309">
        <v>281.74</v>
      </c>
      <c r="JE51" s="9309"/>
      <c r="JF51" s="9309"/>
      <c r="JG51" s="9309"/>
      <c r="JH51" s="9309"/>
      <c r="JI51" s="9309"/>
      <c r="JJ51" s="9309"/>
      <c r="JK51" s="9310">
        <v>49126.74482638889</v>
      </c>
      <c r="JL51" s="9311" t="s">
        <v>66</v>
      </c>
      <c r="JM51" s="9310">
        <v>49309.745046296295</v>
      </c>
      <c r="JN51" s="9311" t="s">
        <v>66</v>
      </c>
      <c r="JO51" s="9309">
        <v>281.74</v>
      </c>
      <c r="JP51" s="9309"/>
      <c r="JQ51" s="9309"/>
      <c r="JR51" s="9309"/>
      <c r="JS51" s="9309"/>
      <c r="JT51" s="9309"/>
      <c r="JU51" s="9309"/>
      <c r="JV51" s="9310">
        <v>49310.74575231481</v>
      </c>
      <c r="JW51" s="9311" t="s">
        <v>66</v>
      </c>
      <c r="JX51" s="9310">
        <v>49490.746099537035</v>
      </c>
      <c r="JY51" s="9311" t="s">
        <v>66</v>
      </c>
      <c r="JZ51" s="9309">
        <v>293.01</v>
      </c>
      <c r="KA51" s="9309"/>
      <c r="KB51" s="9309"/>
      <c r="KC51" s="9309"/>
      <c r="KD51" s="9309"/>
      <c r="KE51" s="9309"/>
      <c r="KF51" s="9309"/>
      <c r="KG51" s="9310">
        <v>49491.74679398148</v>
      </c>
      <c r="KH51" s="9311" t="s">
        <v>66</v>
      </c>
      <c r="KI51" s="9310">
        <v>49674.74707175926</v>
      </c>
      <c r="KJ51" s="9311" t="s">
        <v>66</v>
      </c>
      <c r="KK51" s="9309">
        <v>293.01</v>
      </c>
      <c r="KL51" s="9309"/>
      <c r="KM51" s="9309"/>
      <c r="KN51" s="9309"/>
      <c r="KO51" s="9309"/>
      <c r="KP51" s="9309"/>
      <c r="KQ51" s="9309"/>
      <c r="KR51" s="9310">
        <v>49675.74758101852</v>
      </c>
      <c r="KS51" s="9311" t="s">
        <v>66</v>
      </c>
      <c r="KT51" s="9310">
        <v>49856.74795138889</v>
      </c>
      <c r="KU51" s="9311" t="s">
        <v>66</v>
      </c>
      <c r="KV51" s="13928">
        <v>304.73</v>
      </c>
      <c r="KW51" s="13928"/>
      <c r="KX51" s="13928"/>
      <c r="KY51" s="13928"/>
      <c r="KZ51" s="13928"/>
      <c r="LA51" s="13928"/>
      <c r="LB51" s="13928"/>
      <c r="LC51" s="13929">
        <v>49857.40996527778</v>
      </c>
      <c r="LD51" s="13930" t="s">
        <v>66</v>
      </c>
      <c r="LE51" s="13929">
        <v>50040.410219907404</v>
      </c>
      <c r="LF51" s="13930" t="s">
        <v>66</v>
      </c>
      <c r="LG51" s="13928">
        <v>304.73</v>
      </c>
      <c r="LH51" s="13928"/>
      <c r="LI51" s="13928"/>
      <c r="LJ51" s="13928"/>
      <c r="LK51" s="13928"/>
      <c r="LL51" s="13928"/>
      <c r="LM51" s="13928"/>
      <c r="LN51" s="13929">
        <v>50041.443125</v>
      </c>
      <c r="LO51" s="13930" t="s">
        <v>66</v>
      </c>
      <c r="LP51" s="13929">
        <v>50221.44347222222</v>
      </c>
      <c r="LQ51" s="13930" t="s">
        <v>66</v>
      </c>
      <c r="LR51" s="13928">
        <v>316.92</v>
      </c>
      <c r="LS51" s="13928"/>
      <c r="LT51" s="13928"/>
      <c r="LU51" s="13928"/>
      <c r="LV51" s="13928"/>
      <c r="LW51" s="13928"/>
      <c r="LX51" s="13928"/>
      <c r="LY51" s="13929">
        <v>50222.44398148148</v>
      </c>
      <c r="LZ51" s="13930" t="s">
        <v>66</v>
      </c>
      <c r="MA51" s="13929">
        <v>50405.44427083333</v>
      </c>
      <c r="MB51" s="13930" t="s">
        <v>66</v>
      </c>
      <c r="MC51" s="13928">
        <v>3156.92</v>
      </c>
      <c r="MD51" s="13928"/>
      <c r="ME51" s="13928"/>
      <c r="MF51" s="13928"/>
      <c r="MG51" s="13928"/>
      <c r="MH51" s="13928"/>
      <c r="MI51" s="13928"/>
      <c r="MJ51" s="13929">
        <v>50406.44505787037</v>
      </c>
      <c r="MK51" s="13930" t="s">
        <v>66</v>
      </c>
      <c r="ML51" s="13929">
        <v>50586.44520833333</v>
      </c>
      <c r="MM51" s="13930" t="s">
        <v>66</v>
      </c>
      <c r="MN51" s="13928">
        <v>329.6</v>
      </c>
      <c r="MO51" s="13928"/>
      <c r="MP51" s="13928"/>
      <c r="MQ51" s="13928"/>
      <c r="MR51" s="13928"/>
      <c r="MS51" s="13928"/>
      <c r="MT51" s="13928"/>
      <c r="MU51" s="13929">
        <v>50587.44598379629</v>
      </c>
      <c r="MV51" s="13930" t="s">
        <v>66</v>
      </c>
      <c r="MW51" s="13929">
        <v>50770.446238425924</v>
      </c>
      <c r="MX51" s="13930" t="s">
        <v>66</v>
      </c>
      <c r="MY51" s="13928">
        <v>329.6</v>
      </c>
      <c r="MZ51" s="13928"/>
      <c r="NA51" s="13928"/>
      <c r="NB51" s="13928"/>
      <c r="NC51" s="13928"/>
      <c r="ND51" s="13928"/>
      <c r="NE51" s="13928"/>
      <c r="NF51" s="13929">
        <v>50771.44684027778</v>
      </c>
      <c r="NG51" s="13930" t="s">
        <v>66</v>
      </c>
      <c r="NH51" s="13929">
        <v>50951.44715277778</v>
      </c>
      <c r="NI51" s="13930" t="s">
        <v>66</v>
      </c>
      <c r="NJ51" s="13928">
        <v>342.78</v>
      </c>
      <c r="NK51" s="13928"/>
      <c r="NL51" s="13928"/>
      <c r="NM51" s="13928"/>
      <c r="NN51" s="13928"/>
      <c r="NO51" s="13928"/>
      <c r="NP51" s="13928"/>
      <c r="NQ51" s="13929">
        <v>50952.44788194444</v>
      </c>
      <c r="NR51" s="13930" t="s">
        <v>66</v>
      </c>
      <c r="NS51" s="13929">
        <v>51135.448125</v>
      </c>
      <c r="NT51" s="13930" t="s">
        <v>66</v>
      </c>
      <c r="NU51" s="13928">
        <v>342.78</v>
      </c>
      <c r="NV51" s="13928"/>
      <c r="NW51" s="13928"/>
      <c r="NX51" s="13928"/>
      <c r="NY51" s="13928"/>
      <c r="NZ51" s="13928"/>
      <c r="OA51" s="13928"/>
      <c r="OB51" s="13929">
        <v>45292.448912037034</v>
      </c>
      <c r="OC51" s="13930" t="s">
        <v>66</v>
      </c>
      <c r="OD51" s="13929">
        <v>51317.449108796296</v>
      </c>
      <c r="OE51" s="13930" t="s">
        <v>66</v>
      </c>
      <c r="OF51" s="13928">
        <v>356.49</v>
      </c>
      <c r="OG51" s="13928"/>
      <c r="OH51" s="13928"/>
      <c r="OI51" s="13928"/>
      <c r="OJ51" s="13928"/>
      <c r="OK51" s="13928"/>
      <c r="OL51" s="13928"/>
      <c r="OM51" s="13929">
        <v>51318.44978009259</v>
      </c>
      <c r="ON51" s="13930" t="s">
        <v>66</v>
      </c>
      <c r="OO51" s="13929">
        <v>51501.45008101852</v>
      </c>
      <c r="OP51" s="13930" t="s">
        <v>66</v>
      </c>
      <c r="OQ51" s="6580"/>
      <c r="OR51" s="65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OS51" s="6513">
        <f>STRCHECKDATE(V52:OQ52)</f>
      </c>
      <c r="OT51" s="6577"/>
      <c r="OU51" s="6577" t="str">
        <f>IF(T51="","",T51)</f>
        <v>Без НДС</v>
      </c>
      <c r="OV51" s="6577"/>
      <c r="OW51" s="6577"/>
    </row>
    <row s="15511" customFormat="1" customHeight="1" ht="14.25">
      <c r="A52" s="6564"/>
      <c r="B52" s="6564"/>
      <c r="C52" s="6564"/>
      <c r="D52" s="6564"/>
      <c r="E52" s="6565"/>
      <c r="F52" s="6565"/>
      <c r="G52" s="6565"/>
      <c r="H52" s="6565"/>
      <c r="I52" s="6566"/>
      <c r="J52" s="6566" t="str">
        <f>I45&amp;".1"</f>
        <v>1.1.1.1.1</v>
      </c>
      <c r="K52" s="6567"/>
      <c r="L52" s="6568"/>
      <c r="M52" s="6569"/>
      <c r="N52" s="6569"/>
      <c r="O52" s="6569"/>
      <c r="P52" s="6570"/>
      <c r="Q52" s="6570"/>
      <c r="R52" s="6572"/>
      <c r="S52" s="6583"/>
      <c r="T52" s="6575"/>
      <c r="U52" s="6575"/>
      <c r="V52" s="6436"/>
      <c r="W52" s="6436"/>
      <c r="X52" s="6436"/>
      <c r="Y52" s="6436"/>
      <c r="Z52" s="6436"/>
      <c r="AA52" s="6436"/>
      <c r="AB52" s="6436"/>
      <c r="AC52" s="6437"/>
      <c r="AD52" s="6435"/>
      <c r="AE52" s="6437"/>
      <c r="AF52" s="6435"/>
      <c r="AG52" s="6436"/>
      <c r="AH52" s="6436"/>
      <c r="AI52" s="6436"/>
      <c r="AJ52" s="6436"/>
      <c r="AK52" s="6436"/>
      <c r="AL52" s="6436"/>
      <c r="AM52" s="6436"/>
      <c r="AN52" s="6437"/>
      <c r="AO52" s="6435"/>
      <c r="AP52" s="6540"/>
      <c r="AQ52" s="6435"/>
      <c r="AR52" s="6436"/>
      <c r="AS52" s="6436"/>
      <c r="AT52" s="6436"/>
      <c r="AU52" s="6436"/>
      <c r="AV52" s="6436"/>
      <c r="AW52" s="6436"/>
      <c r="AX52" s="6436"/>
      <c r="AY52" s="6437"/>
      <c r="AZ52" s="6435"/>
      <c r="BA52" s="6437"/>
      <c r="BB52" s="6435"/>
      <c r="BC52" s="6436"/>
      <c r="BD52" s="6436"/>
      <c r="BE52" s="6436"/>
      <c r="BF52" s="6436"/>
      <c r="BG52" s="6436"/>
      <c r="BH52" s="6436"/>
      <c r="BI52" s="6436"/>
      <c r="BJ52" s="6437"/>
      <c r="BK52" s="6435"/>
      <c r="BL52" s="6437"/>
      <c r="BM52" s="6435"/>
      <c r="BN52" s="9314"/>
      <c r="BO52" s="9314"/>
      <c r="BP52" s="9314"/>
      <c r="BQ52" s="9314"/>
      <c r="BR52" s="9314"/>
      <c r="BS52" s="9314"/>
      <c r="BT52" s="9314"/>
      <c r="BU52" s="9315"/>
      <c r="BV52" s="9311"/>
      <c r="BW52" s="9315"/>
      <c r="BX52" s="9311"/>
      <c r="BY52" s="9314"/>
      <c r="BZ52" s="9314"/>
      <c r="CA52" s="9314"/>
      <c r="CB52" s="9314"/>
      <c r="CC52" s="9314"/>
      <c r="CD52" s="9314"/>
      <c r="CE52" s="9314"/>
      <c r="CF52" s="9315"/>
      <c r="CG52" s="9311"/>
      <c r="CH52" s="9315"/>
      <c r="CI52" s="9311"/>
      <c r="CJ52" s="9314"/>
      <c r="CK52" s="9314"/>
      <c r="CL52" s="9314"/>
      <c r="CM52" s="9314"/>
      <c r="CN52" s="9314"/>
      <c r="CO52" s="9314"/>
      <c r="CP52" s="9314"/>
      <c r="CQ52" s="9315"/>
      <c r="CR52" s="9311"/>
      <c r="CS52" s="9315"/>
      <c r="CT52" s="9311"/>
      <c r="CU52" s="9314"/>
      <c r="CV52" s="9314"/>
      <c r="CW52" s="9314"/>
      <c r="CX52" s="9314"/>
      <c r="CY52" s="9314"/>
      <c r="CZ52" s="9314"/>
      <c r="DA52" s="9314"/>
      <c r="DB52" s="9315"/>
      <c r="DC52" s="9311"/>
      <c r="DD52" s="9315"/>
      <c r="DE52" s="9311"/>
      <c r="DF52" s="9314"/>
      <c r="DG52" s="9314"/>
      <c r="DH52" s="9314"/>
      <c r="DI52" s="9314"/>
      <c r="DJ52" s="9314"/>
      <c r="DK52" s="9314"/>
      <c r="DL52" s="9314"/>
      <c r="DM52" s="9315"/>
      <c r="DN52" s="9311"/>
      <c r="DO52" s="9315"/>
      <c r="DP52" s="9311"/>
      <c r="DQ52" s="9314"/>
      <c r="DR52" s="9314"/>
      <c r="DS52" s="9314"/>
      <c r="DT52" s="9314"/>
      <c r="DU52" s="9314"/>
      <c r="DV52" s="9314"/>
      <c r="DW52" s="9314"/>
      <c r="DX52" s="9315"/>
      <c r="DY52" s="9311"/>
      <c r="DZ52" s="9315"/>
      <c r="EA52" s="9311"/>
      <c r="EB52" s="9314"/>
      <c r="EC52" s="9314"/>
      <c r="ED52" s="9314"/>
      <c r="EE52" s="9314"/>
      <c r="EF52" s="9314"/>
      <c r="EG52" s="9314"/>
      <c r="EH52" s="9314"/>
      <c r="EI52" s="9315"/>
      <c r="EJ52" s="9311"/>
      <c r="EK52" s="9315"/>
      <c r="EL52" s="9311"/>
      <c r="EM52" s="9314"/>
      <c r="EN52" s="9314"/>
      <c r="EO52" s="9314"/>
      <c r="EP52" s="9314"/>
      <c r="EQ52" s="9314"/>
      <c r="ER52" s="9314"/>
      <c r="ES52" s="9314"/>
      <c r="ET52" s="9315"/>
      <c r="EU52" s="9311"/>
      <c r="EV52" s="9315"/>
      <c r="EW52" s="9311"/>
      <c r="EX52" s="9314"/>
      <c r="EY52" s="9314"/>
      <c r="EZ52" s="9314"/>
      <c r="FA52" s="9314"/>
      <c r="FB52" s="9314"/>
      <c r="FC52" s="9314"/>
      <c r="FD52" s="9314"/>
      <c r="FE52" s="9315"/>
      <c r="FF52" s="9311"/>
      <c r="FG52" s="9315"/>
      <c r="FH52" s="9311"/>
      <c r="FI52" s="9314"/>
      <c r="FJ52" s="9314"/>
      <c r="FK52" s="9314"/>
      <c r="FL52" s="9314"/>
      <c r="FM52" s="9314"/>
      <c r="FN52" s="9314"/>
      <c r="FO52" s="9314"/>
      <c r="FP52" s="9315"/>
      <c r="FQ52" s="9311"/>
      <c r="FR52" s="9315"/>
      <c r="FS52" s="9311"/>
      <c r="FT52" s="9314"/>
      <c r="FU52" s="9314"/>
      <c r="FV52" s="9314"/>
      <c r="FW52" s="9314"/>
      <c r="FX52" s="9314"/>
      <c r="FY52" s="9314"/>
      <c r="FZ52" s="9314"/>
      <c r="GA52" s="9315"/>
      <c r="GB52" s="9311"/>
      <c r="GC52" s="9315"/>
      <c r="GD52" s="9311"/>
      <c r="GE52" s="9314"/>
      <c r="GF52" s="9314"/>
      <c r="GG52" s="9314"/>
      <c r="GH52" s="9314"/>
      <c r="GI52" s="9314"/>
      <c r="GJ52" s="9314"/>
      <c r="GK52" s="9314"/>
      <c r="GL52" s="9315"/>
      <c r="GM52" s="9311"/>
      <c r="GN52" s="9315"/>
      <c r="GO52" s="9311"/>
      <c r="GP52" s="9314"/>
      <c r="GQ52" s="9314"/>
      <c r="GR52" s="9314"/>
      <c r="GS52" s="9314"/>
      <c r="GT52" s="9314"/>
      <c r="GU52" s="9314"/>
      <c r="GV52" s="9314"/>
      <c r="GW52" s="9315"/>
      <c r="GX52" s="9311"/>
      <c r="GY52" s="9315"/>
      <c r="GZ52" s="9311"/>
      <c r="HA52" s="9314"/>
      <c r="HB52" s="9314"/>
      <c r="HC52" s="9314"/>
      <c r="HD52" s="9314"/>
      <c r="HE52" s="9314"/>
      <c r="HF52" s="9314"/>
      <c r="HG52" s="9314"/>
      <c r="HH52" s="9315"/>
      <c r="HI52" s="9311"/>
      <c r="HJ52" s="9315"/>
      <c r="HK52" s="9311"/>
      <c r="HL52" s="9314"/>
      <c r="HM52" s="9314"/>
      <c r="HN52" s="9314"/>
      <c r="HO52" s="9314"/>
      <c r="HP52" s="9314"/>
      <c r="HQ52" s="9314"/>
      <c r="HR52" s="9314"/>
      <c r="HS52" s="9315"/>
      <c r="HT52" s="9311"/>
      <c r="HU52" s="9315"/>
      <c r="HV52" s="9311"/>
      <c r="HW52" s="9314"/>
      <c r="HX52" s="9314"/>
      <c r="HY52" s="9314"/>
      <c r="HZ52" s="9314"/>
      <c r="IA52" s="9314"/>
      <c r="IB52" s="9314"/>
      <c r="IC52" s="9314"/>
      <c r="ID52" s="9315"/>
      <c r="IE52" s="9311"/>
      <c r="IF52" s="9315"/>
      <c r="IG52" s="9311"/>
      <c r="IH52" s="9314"/>
      <c r="II52" s="9314"/>
      <c r="IJ52" s="9314"/>
      <c r="IK52" s="9314"/>
      <c r="IL52" s="9314"/>
      <c r="IM52" s="9314"/>
      <c r="IN52" s="9314"/>
      <c r="IO52" s="9315"/>
      <c r="IP52" s="9311"/>
      <c r="IQ52" s="9315"/>
      <c r="IR52" s="9311"/>
      <c r="IS52" s="9314"/>
      <c r="IT52" s="9314"/>
      <c r="IU52" s="9314"/>
      <c r="IV52" s="9314"/>
      <c r="IW52" s="9314"/>
      <c r="IX52" s="9314"/>
      <c r="IY52" s="9314"/>
      <c r="IZ52" s="9315"/>
      <c r="JA52" s="9311"/>
      <c r="JB52" s="9315"/>
      <c r="JC52" s="9311"/>
      <c r="JD52" s="9314"/>
      <c r="JE52" s="9314"/>
      <c r="JF52" s="9314"/>
      <c r="JG52" s="9314"/>
      <c r="JH52" s="9314"/>
      <c r="JI52" s="9314"/>
      <c r="JJ52" s="9314"/>
      <c r="JK52" s="9315"/>
      <c r="JL52" s="9311"/>
      <c r="JM52" s="9315"/>
      <c r="JN52" s="9311"/>
      <c r="JO52" s="9314"/>
      <c r="JP52" s="9314"/>
      <c r="JQ52" s="9314"/>
      <c r="JR52" s="9314"/>
      <c r="JS52" s="9314"/>
      <c r="JT52" s="9314"/>
      <c r="JU52" s="9314"/>
      <c r="JV52" s="9315"/>
      <c r="JW52" s="9311"/>
      <c r="JX52" s="9315"/>
      <c r="JY52" s="9311"/>
      <c r="JZ52" s="9314"/>
      <c r="KA52" s="9314"/>
      <c r="KB52" s="9314"/>
      <c r="KC52" s="9314"/>
      <c r="KD52" s="9314"/>
      <c r="KE52" s="9314"/>
      <c r="KF52" s="9314"/>
      <c r="KG52" s="9315"/>
      <c r="KH52" s="9311"/>
      <c r="KI52" s="9315"/>
      <c r="KJ52" s="9311"/>
      <c r="KK52" s="9314"/>
      <c r="KL52" s="9314"/>
      <c r="KM52" s="9314"/>
      <c r="KN52" s="9314"/>
      <c r="KO52" s="9314"/>
      <c r="KP52" s="9314"/>
      <c r="KQ52" s="9314"/>
      <c r="KR52" s="9315"/>
      <c r="KS52" s="9311"/>
      <c r="KT52" s="9315"/>
      <c r="KU52" s="9311"/>
      <c r="KV52" s="13935"/>
      <c r="KW52" s="13935"/>
      <c r="KX52" s="13935"/>
      <c r="KY52" s="13935"/>
      <c r="KZ52" s="13935"/>
      <c r="LA52" s="13935"/>
      <c r="LB52" s="13935"/>
      <c r="LC52" s="13936"/>
      <c r="LD52" s="13930"/>
      <c r="LE52" s="13936"/>
      <c r="LF52" s="13930"/>
      <c r="LG52" s="13935"/>
      <c r="LH52" s="13935"/>
      <c r="LI52" s="13935"/>
      <c r="LJ52" s="13935"/>
      <c r="LK52" s="13935"/>
      <c r="LL52" s="13935"/>
      <c r="LM52" s="13935"/>
      <c r="LN52" s="13936"/>
      <c r="LO52" s="13930"/>
      <c r="LP52" s="13936"/>
      <c r="LQ52" s="13930"/>
      <c r="LR52" s="13935"/>
      <c r="LS52" s="13935"/>
      <c r="LT52" s="13935"/>
      <c r="LU52" s="13935"/>
      <c r="LV52" s="13935"/>
      <c r="LW52" s="13935"/>
      <c r="LX52" s="13935"/>
      <c r="LY52" s="13936"/>
      <c r="LZ52" s="13930"/>
      <c r="MA52" s="13936"/>
      <c r="MB52" s="13930"/>
      <c r="MC52" s="13935"/>
      <c r="MD52" s="13935"/>
      <c r="ME52" s="13935"/>
      <c r="MF52" s="13935"/>
      <c r="MG52" s="13935"/>
      <c r="MH52" s="13935"/>
      <c r="MI52" s="13935"/>
      <c r="MJ52" s="13936"/>
      <c r="MK52" s="13930"/>
      <c r="ML52" s="13936"/>
      <c r="MM52" s="13930"/>
      <c r="MN52" s="13935"/>
      <c r="MO52" s="13935"/>
      <c r="MP52" s="13935"/>
      <c r="MQ52" s="13935"/>
      <c r="MR52" s="13935"/>
      <c r="MS52" s="13935"/>
      <c r="MT52" s="13935"/>
      <c r="MU52" s="13936"/>
      <c r="MV52" s="13930"/>
      <c r="MW52" s="13936"/>
      <c r="MX52" s="13930"/>
      <c r="MY52" s="13935"/>
      <c r="MZ52" s="13935"/>
      <c r="NA52" s="13935"/>
      <c r="NB52" s="13935"/>
      <c r="NC52" s="13935"/>
      <c r="ND52" s="13935"/>
      <c r="NE52" s="13935"/>
      <c r="NF52" s="13936"/>
      <c r="NG52" s="13930"/>
      <c r="NH52" s="13936"/>
      <c r="NI52" s="13930"/>
      <c r="NJ52" s="13935"/>
      <c r="NK52" s="13935"/>
      <c r="NL52" s="13935"/>
      <c r="NM52" s="13935"/>
      <c r="NN52" s="13935"/>
      <c r="NO52" s="13935"/>
      <c r="NP52" s="13935"/>
      <c r="NQ52" s="13936"/>
      <c r="NR52" s="13930"/>
      <c r="NS52" s="13936"/>
      <c r="NT52" s="13930"/>
      <c r="NU52" s="13935"/>
      <c r="NV52" s="13935"/>
      <c r="NW52" s="13935"/>
      <c r="NX52" s="13935"/>
      <c r="NY52" s="13935"/>
      <c r="NZ52" s="13935"/>
      <c r="OA52" s="13935"/>
      <c r="OB52" s="13936"/>
      <c r="OC52" s="13930"/>
      <c r="OD52" s="13936"/>
      <c r="OE52" s="13930"/>
      <c r="OF52" s="13935"/>
      <c r="OG52" s="13935"/>
      <c r="OH52" s="13935"/>
      <c r="OI52" s="13935"/>
      <c r="OJ52" s="13935"/>
      <c r="OK52" s="13935"/>
      <c r="OL52" s="13935"/>
      <c r="OM52" s="13936"/>
      <c r="ON52" s="13930"/>
      <c r="OO52" s="13936"/>
      <c r="OP52" s="13930"/>
      <c r="OQ52" s="6584"/>
      <c r="OR52" s="6581"/>
      <c r="OS52" s="6513"/>
      <c r="OT52" s="6577"/>
      <c r="OU52" s="6577" t="str">
        <f>IF(T52="","",T52)</f>
        <v/>
      </c>
      <c r="OV52" s="6577"/>
      <c r="OW52" s="6577"/>
    </row>
    <row s="15514" customFormat="1" customHeight="1" ht="21">
      <c r="A53" s="6564"/>
      <c r="B53" s="6564"/>
      <c r="C53" s="6564"/>
      <c r="D53" s="6564"/>
      <c r="E53" s="6565"/>
      <c r="F53" s="6565"/>
      <c r="G53" s="6565"/>
      <c r="H53" s="6565"/>
      <c r="I53" s="6566"/>
      <c r="J53" s="6567" t="str">
        <f>I45&amp;".1"</f>
        <v>1.1.1.1.1</v>
      </c>
      <c r="K53" s="6564"/>
      <c r="L53" s="6568"/>
      <c r="M53" s="6569"/>
      <c r="N53" s="6569"/>
      <c r="O53" s="6569"/>
      <c r="P53" s="6570"/>
      <c r="Q53" s="6570"/>
      <c r="R53" s="6586"/>
      <c r="S53" s="6587"/>
      <c r="T53" s="6588" t="s">
        <v>485</v>
      </c>
      <c r="U53" s="6589"/>
      <c r="V53" s="6590"/>
      <c r="W53" s="6591"/>
      <c r="X53" s="6592"/>
      <c r="Y53" s="6593"/>
      <c r="Z53" s="6594"/>
      <c r="AA53" s="6595"/>
      <c r="AB53" s="6596"/>
      <c r="AC53" s="6597"/>
      <c r="AD53" s="6598"/>
      <c r="AE53" s="6599"/>
      <c r="AF53" s="6600"/>
      <c r="AG53" s="6601"/>
      <c r="AH53" s="6602"/>
      <c r="AI53" s="6603"/>
      <c r="AJ53" s="6604"/>
      <c r="AK53" s="6605"/>
      <c r="AL53" s="6606"/>
      <c r="AM53" s="6607"/>
      <c r="AN53" s="6608"/>
      <c r="AO53" s="6609"/>
      <c r="AP53" s="6610"/>
      <c r="AQ53" s="6611"/>
      <c r="AR53" s="6612"/>
      <c r="AS53" s="6613"/>
      <c r="AT53" s="6614"/>
      <c r="AU53" s="6615"/>
      <c r="AV53" s="6616"/>
      <c r="AW53" s="6617"/>
      <c r="AX53" s="6618"/>
      <c r="AY53" s="6619"/>
      <c r="AZ53" s="6620"/>
      <c r="BA53" s="6621"/>
      <c r="BB53" s="6622"/>
      <c r="BC53" s="6623"/>
      <c r="BD53" s="6624"/>
      <c r="BE53" s="6625"/>
      <c r="BF53" s="6626"/>
      <c r="BG53" s="6627"/>
      <c r="BH53" s="6628"/>
      <c r="BI53" s="6629"/>
      <c r="BJ53" s="6630"/>
      <c r="BK53" s="6631"/>
      <c r="BL53" s="6632"/>
      <c r="BM53" s="6633"/>
      <c r="BN53" s="10513"/>
      <c r="BO53" s="10514"/>
      <c r="BP53" s="10515"/>
      <c r="BQ53" s="10516"/>
      <c r="BR53" s="10517"/>
      <c r="BS53" s="10518"/>
      <c r="BT53" s="10519"/>
      <c r="BU53" s="10520"/>
      <c r="BV53" s="10521"/>
      <c r="BW53" s="10522"/>
      <c r="BX53" s="10523"/>
      <c r="BY53" s="10524"/>
      <c r="BZ53" s="10525"/>
      <c r="CA53" s="10526"/>
      <c r="CB53" s="10527"/>
      <c r="CC53" s="10528"/>
      <c r="CD53" s="10529"/>
      <c r="CE53" s="10530"/>
      <c r="CF53" s="10531"/>
      <c r="CG53" s="10532"/>
      <c r="CH53" s="10533"/>
      <c r="CI53" s="10534"/>
      <c r="CJ53" s="10535"/>
      <c r="CK53" s="10536"/>
      <c r="CL53" s="10537"/>
      <c r="CM53" s="10538"/>
      <c r="CN53" s="10539"/>
      <c r="CO53" s="10540"/>
      <c r="CP53" s="10541"/>
      <c r="CQ53" s="10542"/>
      <c r="CR53" s="10543"/>
      <c r="CS53" s="10544"/>
      <c r="CT53" s="10545"/>
      <c r="CU53" s="10546"/>
      <c r="CV53" s="10547"/>
      <c r="CW53" s="10548"/>
      <c r="CX53" s="10549"/>
      <c r="CY53" s="10550"/>
      <c r="CZ53" s="10551"/>
      <c r="DA53" s="10552"/>
      <c r="DB53" s="10553"/>
      <c r="DC53" s="10554"/>
      <c r="DD53" s="10555"/>
      <c r="DE53" s="10556"/>
      <c r="DF53" s="10557"/>
      <c r="DG53" s="10558"/>
      <c r="DH53" s="10559"/>
      <c r="DI53" s="10560"/>
      <c r="DJ53" s="10561"/>
      <c r="DK53" s="10562"/>
      <c r="DL53" s="10563"/>
      <c r="DM53" s="10564"/>
      <c r="DN53" s="10565"/>
      <c r="DO53" s="10566"/>
      <c r="DP53" s="10567"/>
      <c r="DQ53" s="10568"/>
      <c r="DR53" s="10569"/>
      <c r="DS53" s="10570"/>
      <c r="DT53" s="10571"/>
      <c r="DU53" s="10572"/>
      <c r="DV53" s="10573"/>
      <c r="DW53" s="10574"/>
      <c r="DX53" s="10575"/>
      <c r="DY53" s="10576"/>
      <c r="DZ53" s="10577"/>
      <c r="EA53" s="10578"/>
      <c r="EB53" s="10579"/>
      <c r="EC53" s="10580"/>
      <c r="ED53" s="10581"/>
      <c r="EE53" s="10582"/>
      <c r="EF53" s="10583"/>
      <c r="EG53" s="10584"/>
      <c r="EH53" s="10585"/>
      <c r="EI53" s="10586"/>
      <c r="EJ53" s="10587"/>
      <c r="EK53" s="10588"/>
      <c r="EL53" s="10589"/>
      <c r="EM53" s="10590"/>
      <c r="EN53" s="10591"/>
      <c r="EO53" s="10592"/>
      <c r="EP53" s="10593"/>
      <c r="EQ53" s="10594"/>
      <c r="ER53" s="10595"/>
      <c r="ES53" s="10596"/>
      <c r="ET53" s="10597"/>
      <c r="EU53" s="10598"/>
      <c r="EV53" s="10599"/>
      <c r="EW53" s="10600"/>
      <c r="EX53" s="10601"/>
      <c r="EY53" s="10602"/>
      <c r="EZ53" s="10603"/>
      <c r="FA53" s="10604"/>
      <c r="FB53" s="10605"/>
      <c r="FC53" s="10606"/>
      <c r="FD53" s="10607"/>
      <c r="FE53" s="10608"/>
      <c r="FF53" s="10609"/>
      <c r="FG53" s="10610"/>
      <c r="FH53" s="10611"/>
      <c r="FI53" s="10612"/>
      <c r="FJ53" s="10613"/>
      <c r="FK53" s="10614"/>
      <c r="FL53" s="10615"/>
      <c r="FM53" s="10616"/>
      <c r="FN53" s="10617"/>
      <c r="FO53" s="10618"/>
      <c r="FP53" s="10619"/>
      <c r="FQ53" s="10620"/>
      <c r="FR53" s="10621"/>
      <c r="FS53" s="10622"/>
      <c r="FT53" s="10623"/>
      <c r="FU53" s="10624"/>
      <c r="FV53" s="10625"/>
      <c r="FW53" s="10626"/>
      <c r="FX53" s="10627"/>
      <c r="FY53" s="10628"/>
      <c r="FZ53" s="10629"/>
      <c r="GA53" s="10630"/>
      <c r="GB53" s="10631"/>
      <c r="GC53" s="10632"/>
      <c r="GD53" s="10633"/>
      <c r="GE53" s="10634"/>
      <c r="GF53" s="10635"/>
      <c r="GG53" s="10636"/>
      <c r="GH53" s="10637"/>
      <c r="GI53" s="10638"/>
      <c r="GJ53" s="10639"/>
      <c r="GK53" s="10640"/>
      <c r="GL53" s="10641"/>
      <c r="GM53" s="10642"/>
      <c r="GN53" s="10643"/>
      <c r="GO53" s="10644"/>
      <c r="GP53" s="10645"/>
      <c r="GQ53" s="10646"/>
      <c r="GR53" s="10647"/>
      <c r="GS53" s="10648"/>
      <c r="GT53" s="10649"/>
      <c r="GU53" s="10650"/>
      <c r="GV53" s="10651"/>
      <c r="GW53" s="10652"/>
      <c r="GX53" s="10653"/>
      <c r="GY53" s="10654"/>
      <c r="GZ53" s="10655"/>
      <c r="HA53" s="10656"/>
      <c r="HB53" s="10657"/>
      <c r="HC53" s="10658"/>
      <c r="HD53" s="10659"/>
      <c r="HE53" s="10660"/>
      <c r="HF53" s="10661"/>
      <c r="HG53" s="10662"/>
      <c r="HH53" s="10663"/>
      <c r="HI53" s="10664"/>
      <c r="HJ53" s="10665"/>
      <c r="HK53" s="10666"/>
      <c r="HL53" s="10667"/>
      <c r="HM53" s="10668"/>
      <c r="HN53" s="10669"/>
      <c r="HO53" s="10670"/>
      <c r="HP53" s="10671"/>
      <c r="HQ53" s="10672"/>
      <c r="HR53" s="10673"/>
      <c r="HS53" s="10674"/>
      <c r="HT53" s="10675"/>
      <c r="HU53" s="10676"/>
      <c r="HV53" s="10677"/>
      <c r="HW53" s="10678"/>
      <c r="HX53" s="10679"/>
      <c r="HY53" s="10680"/>
      <c r="HZ53" s="10681"/>
      <c r="IA53" s="10682"/>
      <c r="IB53" s="10683"/>
      <c r="IC53" s="10684"/>
      <c r="ID53" s="10685"/>
      <c r="IE53" s="10686"/>
      <c r="IF53" s="10687"/>
      <c r="IG53" s="10688"/>
      <c r="IH53" s="10689"/>
      <c r="II53" s="10690"/>
      <c r="IJ53" s="10691"/>
      <c r="IK53" s="10692"/>
      <c r="IL53" s="10693"/>
      <c r="IM53" s="10694"/>
      <c r="IN53" s="10695"/>
      <c r="IO53" s="10696"/>
      <c r="IP53" s="10697"/>
      <c r="IQ53" s="10698"/>
      <c r="IR53" s="10699"/>
      <c r="IS53" s="10700"/>
      <c r="IT53" s="10701"/>
      <c r="IU53" s="10702"/>
      <c r="IV53" s="10703"/>
      <c r="IW53" s="10704"/>
      <c r="IX53" s="10705"/>
      <c r="IY53" s="10706"/>
      <c r="IZ53" s="10707"/>
      <c r="JA53" s="10708"/>
      <c r="JB53" s="10709"/>
      <c r="JC53" s="10710"/>
      <c r="JD53" s="10711"/>
      <c r="JE53" s="10712"/>
      <c r="JF53" s="10713"/>
      <c r="JG53" s="10714"/>
      <c r="JH53" s="10715"/>
      <c r="JI53" s="10716"/>
      <c r="JJ53" s="10717"/>
      <c r="JK53" s="10718"/>
      <c r="JL53" s="10719"/>
      <c r="JM53" s="10720"/>
      <c r="JN53" s="10721"/>
      <c r="JO53" s="10722"/>
      <c r="JP53" s="10723"/>
      <c r="JQ53" s="10724"/>
      <c r="JR53" s="10725"/>
      <c r="JS53" s="10726"/>
      <c r="JT53" s="10727"/>
      <c r="JU53" s="10728"/>
      <c r="JV53" s="10729"/>
      <c r="JW53" s="10730"/>
      <c r="JX53" s="10731"/>
      <c r="JY53" s="10732"/>
      <c r="JZ53" s="10733"/>
      <c r="KA53" s="10734"/>
      <c r="KB53" s="10735"/>
      <c r="KC53" s="10736"/>
      <c r="KD53" s="10737"/>
      <c r="KE53" s="10738"/>
      <c r="KF53" s="10739"/>
      <c r="KG53" s="10740"/>
      <c r="KH53" s="10741"/>
      <c r="KI53" s="10742"/>
      <c r="KJ53" s="10743"/>
      <c r="KK53" s="10744"/>
      <c r="KL53" s="10745"/>
      <c r="KM53" s="10746"/>
      <c r="KN53" s="10747"/>
      <c r="KO53" s="10748"/>
      <c r="KP53" s="10749"/>
      <c r="KQ53" s="10750"/>
      <c r="KR53" s="10751"/>
      <c r="KS53" s="10752"/>
      <c r="KT53" s="10753"/>
      <c r="KU53" s="10754"/>
      <c r="KV53" s="15805"/>
      <c r="KW53" s="15806"/>
      <c r="KX53" s="15807"/>
      <c r="KY53" s="15808"/>
      <c r="KZ53" s="15809"/>
      <c r="LA53" s="15810"/>
      <c r="LB53" s="15811"/>
      <c r="LC53" s="15812"/>
      <c r="LD53" s="15813"/>
      <c r="LE53" s="15814"/>
      <c r="LF53" s="15815"/>
      <c r="LG53" s="15816"/>
      <c r="LH53" s="15817"/>
      <c r="LI53" s="15818"/>
      <c r="LJ53" s="15819"/>
      <c r="LK53" s="15820"/>
      <c r="LL53" s="15821"/>
      <c r="LM53" s="15822"/>
      <c r="LN53" s="15823"/>
      <c r="LO53" s="15824"/>
      <c r="LP53" s="15825"/>
      <c r="LQ53" s="15826"/>
      <c r="LR53" s="15827"/>
      <c r="LS53" s="15828"/>
      <c r="LT53" s="15829"/>
      <c r="LU53" s="15830"/>
      <c r="LV53" s="15831"/>
      <c r="LW53" s="15832"/>
      <c r="LX53" s="15833"/>
      <c r="LY53" s="15834"/>
      <c r="LZ53" s="15835"/>
      <c r="MA53" s="15836"/>
      <c r="MB53" s="15837"/>
      <c r="MC53" s="15838"/>
      <c r="MD53" s="15839"/>
      <c r="ME53" s="15840"/>
      <c r="MF53" s="15841"/>
      <c r="MG53" s="15842"/>
      <c r="MH53" s="15843"/>
      <c r="MI53" s="15844"/>
      <c r="MJ53" s="15845"/>
      <c r="MK53" s="15846"/>
      <c r="ML53" s="15847"/>
      <c r="MM53" s="15848"/>
      <c r="MN53" s="15849"/>
      <c r="MO53" s="15850"/>
      <c r="MP53" s="15851"/>
      <c r="MQ53" s="15852"/>
      <c r="MR53" s="15853"/>
      <c r="MS53" s="15854"/>
      <c r="MT53" s="15855"/>
      <c r="MU53" s="15856"/>
      <c r="MV53" s="15857"/>
      <c r="MW53" s="15858"/>
      <c r="MX53" s="15859"/>
      <c r="MY53" s="15860"/>
      <c r="MZ53" s="15861"/>
      <c r="NA53" s="15862"/>
      <c r="NB53" s="15863"/>
      <c r="NC53" s="15864"/>
      <c r="ND53" s="15865"/>
      <c r="NE53" s="15866"/>
      <c r="NF53" s="15867"/>
      <c r="NG53" s="15868"/>
      <c r="NH53" s="15869"/>
      <c r="NI53" s="15870"/>
      <c r="NJ53" s="15871"/>
      <c r="NK53" s="15872"/>
      <c r="NL53" s="15873"/>
      <c r="NM53" s="15874"/>
      <c r="NN53" s="15875"/>
      <c r="NO53" s="15876"/>
      <c r="NP53" s="15877"/>
      <c r="NQ53" s="15878"/>
      <c r="NR53" s="15879"/>
      <c r="NS53" s="15880"/>
      <c r="NT53" s="15881"/>
      <c r="NU53" s="15882"/>
      <c r="NV53" s="15883"/>
      <c r="NW53" s="15884"/>
      <c r="NX53" s="15885"/>
      <c r="NY53" s="15886"/>
      <c r="NZ53" s="15887"/>
      <c r="OA53" s="15888"/>
      <c r="OB53" s="15889"/>
      <c r="OC53" s="15890"/>
      <c r="OD53" s="15891"/>
      <c r="OE53" s="15892"/>
      <c r="OF53" s="15893"/>
      <c r="OG53" s="15894"/>
      <c r="OH53" s="15895"/>
      <c r="OI53" s="15896"/>
      <c r="OJ53" s="15897"/>
      <c r="OK53" s="15898"/>
      <c r="OL53" s="15899"/>
      <c r="OM53" s="15900"/>
      <c r="ON53" s="15901"/>
      <c r="OO53" s="15902"/>
      <c r="OP53" s="15903"/>
      <c r="OQ53" s="6634"/>
      <c r="OR53" s="6635" t="s">
        <v>486</v>
      </c>
      <c r="OS53" s="6513"/>
      <c r="OT53" s="6577"/>
      <c r="OU53" s="6577" t="str">
        <f>IF(T53="","",T53)</f>
        <v>Добавить значение признака дифференциации</v>
      </c>
      <c r="OV53" s="6577"/>
      <c r="OW53" s="6577"/>
    </row>
    <row customHeight="1" ht="21">
      <c r="A54" s="1591" t="s">
        <v>249</v>
      </c>
      <c r="B54" s="1591" t="s">
        <v>250</v>
      </c>
      <c r="C54" s="1591" t="s">
        <v>251</v>
      </c>
      <c r="D54" s="1591" t="s">
        <v>542</v>
      </c>
      <c r="E54" s="2390"/>
      <c r="F54" s="2390"/>
      <c r="G54" s="2390"/>
      <c r="H54" s="2390"/>
      <c r="I54" s="2391"/>
      <c r="J54" s="1591"/>
      <c r="K54" s="1591"/>
      <c r="L54" s="1592"/>
      <c r="P54" s="2393"/>
      <c r="Q54" s="1709"/>
      <c r="R54" s="579"/>
      <c r="S54" s="1506"/>
      <c r="T54" s="588" t="s">
        <v>413</v>
      </c>
      <c r="U54" s="590"/>
      <c r="V54" s="590"/>
      <c r="W54" s="823"/>
      <c r="X54" s="823"/>
      <c r="Y54" s="823"/>
      <c r="Z54" s="823"/>
      <c r="AA54" s="823"/>
      <c r="AB54" s="823"/>
      <c r="AC54" s="590"/>
      <c r="AD54" s="590"/>
      <c r="AE54" s="590"/>
      <c r="AF54" s="589"/>
      <c r="AG54" s="590"/>
      <c r="AH54" s="823"/>
      <c r="AI54" s="823"/>
      <c r="AJ54" s="823"/>
      <c r="AK54" s="823"/>
      <c r="AL54" s="823"/>
      <c r="AM54" s="590"/>
      <c r="AN54" s="590"/>
      <c r="AO54" s="590"/>
      <c r="AP54" s="590"/>
      <c r="AQ54" s="589"/>
      <c r="AR54" s="6636"/>
      <c r="AS54" s="6637"/>
      <c r="AT54" s="6638"/>
      <c r="AU54" s="6639"/>
      <c r="AV54" s="6640"/>
      <c r="AW54" s="6641"/>
      <c r="AX54" s="6642"/>
      <c r="AY54" s="6643"/>
      <c r="AZ54" s="6644"/>
      <c r="BA54" s="6645"/>
      <c r="BB54" s="6646"/>
      <c r="BC54" s="6647"/>
      <c r="BD54" s="6648"/>
      <c r="BE54" s="6649"/>
      <c r="BF54" s="6650"/>
      <c r="BG54" s="6651"/>
      <c r="BH54" s="6652"/>
      <c r="BI54" s="6653"/>
      <c r="BJ54" s="6654"/>
      <c r="BK54" s="6655"/>
      <c r="BL54" s="6656"/>
      <c r="BM54" s="6657"/>
      <c r="BN54" s="10779"/>
      <c r="BO54" s="10780"/>
      <c r="BP54" s="10781"/>
      <c r="BQ54" s="10782"/>
      <c r="BR54" s="10783"/>
      <c r="BS54" s="10784"/>
      <c r="BT54" s="10785"/>
      <c r="BU54" s="10786"/>
      <c r="BV54" s="10787"/>
      <c r="BW54" s="10788"/>
      <c r="BX54" s="10789"/>
      <c r="BY54" s="10790"/>
      <c r="BZ54" s="10791"/>
      <c r="CA54" s="10792"/>
      <c r="CB54" s="10793"/>
      <c r="CC54" s="10794"/>
      <c r="CD54" s="10795"/>
      <c r="CE54" s="10796"/>
      <c r="CF54" s="10797"/>
      <c r="CG54" s="10798"/>
      <c r="CH54" s="10799"/>
      <c r="CI54" s="10800"/>
      <c r="CJ54" s="10801"/>
      <c r="CK54" s="10802"/>
      <c r="CL54" s="10803"/>
      <c r="CM54" s="10804"/>
      <c r="CN54" s="10805"/>
      <c r="CO54" s="10806"/>
      <c r="CP54" s="10807"/>
      <c r="CQ54" s="10808"/>
      <c r="CR54" s="10809"/>
      <c r="CS54" s="10810"/>
      <c r="CT54" s="10811"/>
      <c r="CU54" s="10812"/>
      <c r="CV54" s="10813"/>
      <c r="CW54" s="10814"/>
      <c r="CX54" s="10815"/>
      <c r="CY54" s="10816"/>
      <c r="CZ54" s="10817"/>
      <c r="DA54" s="10818"/>
      <c r="DB54" s="10819"/>
      <c r="DC54" s="10820"/>
      <c r="DD54" s="10821"/>
      <c r="DE54" s="10822"/>
      <c r="DF54" s="10823"/>
      <c r="DG54" s="10824"/>
      <c r="DH54" s="10825"/>
      <c r="DI54" s="10826"/>
      <c r="DJ54" s="10827"/>
      <c r="DK54" s="10828"/>
      <c r="DL54" s="10829"/>
      <c r="DM54" s="10830"/>
      <c r="DN54" s="10831"/>
      <c r="DO54" s="10832"/>
      <c r="DP54" s="10833"/>
      <c r="DQ54" s="10834"/>
      <c r="DR54" s="10835"/>
      <c r="DS54" s="10836"/>
      <c r="DT54" s="10837"/>
      <c r="DU54" s="10838"/>
      <c r="DV54" s="10839"/>
      <c r="DW54" s="10840"/>
      <c r="DX54" s="10841"/>
      <c r="DY54" s="10842"/>
      <c r="DZ54" s="10843"/>
      <c r="EA54" s="10844"/>
      <c r="EB54" s="10845"/>
      <c r="EC54" s="10846"/>
      <c r="ED54" s="10847"/>
      <c r="EE54" s="10848"/>
      <c r="EF54" s="10849"/>
      <c r="EG54" s="10850"/>
      <c r="EH54" s="10851"/>
      <c r="EI54" s="10852"/>
      <c r="EJ54" s="10853"/>
      <c r="EK54" s="10854"/>
      <c r="EL54" s="10855"/>
      <c r="EM54" s="10856"/>
      <c r="EN54" s="10857"/>
      <c r="EO54" s="10858"/>
      <c r="EP54" s="10859"/>
      <c r="EQ54" s="10860"/>
      <c r="ER54" s="10861"/>
      <c r="ES54" s="10862"/>
      <c r="ET54" s="10863"/>
      <c r="EU54" s="10864"/>
      <c r="EV54" s="10865"/>
      <c r="EW54" s="10866"/>
      <c r="EX54" s="10867"/>
      <c r="EY54" s="10868"/>
      <c r="EZ54" s="10869"/>
      <c r="FA54" s="10870"/>
      <c r="FB54" s="10871"/>
      <c r="FC54" s="10872"/>
      <c r="FD54" s="10873"/>
      <c r="FE54" s="10874"/>
      <c r="FF54" s="10875"/>
      <c r="FG54" s="10876"/>
      <c r="FH54" s="10877"/>
      <c r="FI54" s="10878"/>
      <c r="FJ54" s="10879"/>
      <c r="FK54" s="10880"/>
      <c r="FL54" s="10881"/>
      <c r="FM54" s="10882"/>
      <c r="FN54" s="10883"/>
      <c r="FO54" s="10884"/>
      <c r="FP54" s="10885"/>
      <c r="FQ54" s="10886"/>
      <c r="FR54" s="10887"/>
      <c r="FS54" s="10888"/>
      <c r="FT54" s="10889"/>
      <c r="FU54" s="10890"/>
      <c r="FV54" s="10891"/>
      <c r="FW54" s="10892"/>
      <c r="FX54" s="10893"/>
      <c r="FY54" s="10894"/>
      <c r="FZ54" s="10895"/>
      <c r="GA54" s="10896"/>
      <c r="GB54" s="10897"/>
      <c r="GC54" s="10898"/>
      <c r="GD54" s="10899"/>
      <c r="GE54" s="10900"/>
      <c r="GF54" s="10901"/>
      <c r="GG54" s="10902"/>
      <c r="GH54" s="10903"/>
      <c r="GI54" s="10904"/>
      <c r="GJ54" s="10905"/>
      <c r="GK54" s="10906"/>
      <c r="GL54" s="10907"/>
      <c r="GM54" s="10908"/>
      <c r="GN54" s="10909"/>
      <c r="GO54" s="10910"/>
      <c r="GP54" s="10911"/>
      <c r="GQ54" s="10912"/>
      <c r="GR54" s="10913"/>
      <c r="GS54" s="10914"/>
      <c r="GT54" s="10915"/>
      <c r="GU54" s="10916"/>
      <c r="GV54" s="10917"/>
      <c r="GW54" s="10918"/>
      <c r="GX54" s="10919"/>
      <c r="GY54" s="10920"/>
      <c r="GZ54" s="10921"/>
      <c r="HA54" s="10922"/>
      <c r="HB54" s="10923"/>
      <c r="HC54" s="10924"/>
      <c r="HD54" s="10925"/>
      <c r="HE54" s="10926"/>
      <c r="HF54" s="10927"/>
      <c r="HG54" s="10928"/>
      <c r="HH54" s="10929"/>
      <c r="HI54" s="10930"/>
      <c r="HJ54" s="10931"/>
      <c r="HK54" s="10932"/>
      <c r="HL54" s="10933"/>
      <c r="HM54" s="10934"/>
      <c r="HN54" s="10935"/>
      <c r="HO54" s="10936"/>
      <c r="HP54" s="10937"/>
      <c r="HQ54" s="10938"/>
      <c r="HR54" s="10939"/>
      <c r="HS54" s="10940"/>
      <c r="HT54" s="10941"/>
      <c r="HU54" s="10942"/>
      <c r="HV54" s="10943"/>
      <c r="HW54" s="10944"/>
      <c r="HX54" s="10945"/>
      <c r="HY54" s="10946"/>
      <c r="HZ54" s="10947"/>
      <c r="IA54" s="10948"/>
      <c r="IB54" s="10949"/>
      <c r="IC54" s="10950"/>
      <c r="ID54" s="10951"/>
      <c r="IE54" s="10952"/>
      <c r="IF54" s="10953"/>
      <c r="IG54" s="10954"/>
      <c r="IH54" s="10955"/>
      <c r="II54" s="10956"/>
      <c r="IJ54" s="10957"/>
      <c r="IK54" s="10958"/>
      <c r="IL54" s="10959"/>
      <c r="IM54" s="10960"/>
      <c r="IN54" s="10961"/>
      <c r="IO54" s="10962"/>
      <c r="IP54" s="10963"/>
      <c r="IQ54" s="10964"/>
      <c r="IR54" s="10965"/>
      <c r="IS54" s="10966"/>
      <c r="IT54" s="10967"/>
      <c r="IU54" s="10968"/>
      <c r="IV54" s="10969"/>
      <c r="IW54" s="10970"/>
      <c r="IX54" s="10971"/>
      <c r="IY54" s="10972"/>
      <c r="IZ54" s="10973"/>
      <c r="JA54" s="10974"/>
      <c r="JB54" s="10975"/>
      <c r="JC54" s="10976"/>
      <c r="JD54" s="10977"/>
      <c r="JE54" s="10978"/>
      <c r="JF54" s="10979"/>
      <c r="JG54" s="10980"/>
      <c r="JH54" s="10981"/>
      <c r="JI54" s="10982"/>
      <c r="JJ54" s="10983"/>
      <c r="JK54" s="10984"/>
      <c r="JL54" s="10985"/>
      <c r="JM54" s="10986"/>
      <c r="JN54" s="10987"/>
      <c r="JO54" s="10988"/>
      <c r="JP54" s="10989"/>
      <c r="JQ54" s="10990"/>
      <c r="JR54" s="10991"/>
      <c r="JS54" s="10992"/>
      <c r="JT54" s="10993"/>
      <c r="JU54" s="10994"/>
      <c r="JV54" s="10995"/>
      <c r="JW54" s="10996"/>
      <c r="JX54" s="10997"/>
      <c r="JY54" s="10998"/>
      <c r="JZ54" s="10999"/>
      <c r="KA54" s="11000"/>
      <c r="KB54" s="11001"/>
      <c r="KC54" s="11002"/>
      <c r="KD54" s="11003"/>
      <c r="KE54" s="11004"/>
      <c r="KF54" s="11005"/>
      <c r="KG54" s="11006"/>
      <c r="KH54" s="11007"/>
      <c r="KI54" s="11008"/>
      <c r="KJ54" s="11009"/>
      <c r="KK54" s="11010"/>
      <c r="KL54" s="11011"/>
      <c r="KM54" s="11012"/>
      <c r="KN54" s="11013"/>
      <c r="KO54" s="11014"/>
      <c r="KP54" s="11015"/>
      <c r="KQ54" s="11016"/>
      <c r="KR54" s="11017"/>
      <c r="KS54" s="11018"/>
      <c r="KT54" s="11019"/>
      <c r="KU54" s="11020"/>
      <c r="KV54" s="16170"/>
      <c r="KW54" s="16171"/>
      <c r="KX54" s="16172"/>
      <c r="KY54" s="16173"/>
      <c r="KZ54" s="16174"/>
      <c r="LA54" s="16175"/>
      <c r="LB54" s="16176"/>
      <c r="LC54" s="16177"/>
      <c r="LD54" s="16178"/>
      <c r="LE54" s="16179"/>
      <c r="LF54" s="16180"/>
      <c r="LG54" s="16181"/>
      <c r="LH54" s="16182"/>
      <c r="LI54" s="16183"/>
      <c r="LJ54" s="16184"/>
      <c r="LK54" s="16185"/>
      <c r="LL54" s="16186"/>
      <c r="LM54" s="16187"/>
      <c r="LN54" s="16188"/>
      <c r="LO54" s="16189"/>
      <c r="LP54" s="16190"/>
      <c r="LQ54" s="16191"/>
      <c r="LR54" s="16192"/>
      <c r="LS54" s="16193"/>
      <c r="LT54" s="16194"/>
      <c r="LU54" s="16195"/>
      <c r="LV54" s="16196"/>
      <c r="LW54" s="16197"/>
      <c r="LX54" s="16198"/>
      <c r="LY54" s="16199"/>
      <c r="LZ54" s="16200"/>
      <c r="MA54" s="16201"/>
      <c r="MB54" s="16202"/>
      <c r="MC54" s="16203"/>
      <c r="MD54" s="16204"/>
      <c r="ME54" s="16205"/>
      <c r="MF54" s="16206"/>
      <c r="MG54" s="16207"/>
      <c r="MH54" s="16208"/>
      <c r="MI54" s="16209"/>
      <c r="MJ54" s="16210"/>
      <c r="MK54" s="16211"/>
      <c r="ML54" s="16212"/>
      <c r="MM54" s="16213"/>
      <c r="MN54" s="16214"/>
      <c r="MO54" s="16215"/>
      <c r="MP54" s="16216"/>
      <c r="MQ54" s="16217"/>
      <c r="MR54" s="16218"/>
      <c r="MS54" s="16219"/>
      <c r="MT54" s="16220"/>
      <c r="MU54" s="16221"/>
      <c r="MV54" s="16222"/>
      <c r="MW54" s="16223"/>
      <c r="MX54" s="16224"/>
      <c r="MY54" s="16225"/>
      <c r="MZ54" s="16226"/>
      <c r="NA54" s="16227"/>
      <c r="NB54" s="16228"/>
      <c r="NC54" s="16229"/>
      <c r="ND54" s="16230"/>
      <c r="NE54" s="16231"/>
      <c r="NF54" s="16232"/>
      <c r="NG54" s="16233"/>
      <c r="NH54" s="16234"/>
      <c r="NI54" s="16235"/>
      <c r="NJ54" s="16236"/>
      <c r="NK54" s="16237"/>
      <c r="NL54" s="16238"/>
      <c r="NM54" s="16239"/>
      <c r="NN54" s="16240"/>
      <c r="NO54" s="16241"/>
      <c r="NP54" s="16242"/>
      <c r="NQ54" s="16243"/>
      <c r="NR54" s="16244"/>
      <c r="NS54" s="16245"/>
      <c r="NT54" s="16246"/>
      <c r="NU54" s="16247"/>
      <c r="NV54" s="16248"/>
      <c r="NW54" s="16249"/>
      <c r="NX54" s="16250"/>
      <c r="NY54" s="16251"/>
      <c r="NZ54" s="16252"/>
      <c r="OA54" s="16253"/>
      <c r="OB54" s="16254"/>
      <c r="OC54" s="16255"/>
      <c r="OD54" s="16256"/>
      <c r="OE54" s="16257"/>
      <c r="OF54" s="16258"/>
      <c r="OG54" s="16259"/>
      <c r="OH54" s="16260"/>
      <c r="OI54" s="16261"/>
      <c r="OJ54" s="16262"/>
      <c r="OK54" s="16263"/>
      <c r="OL54" s="16264"/>
      <c r="OM54" s="16265"/>
      <c r="ON54" s="16266"/>
      <c r="OO54" s="16267"/>
      <c r="OP54" s="16268"/>
      <c r="OQ54" s="590"/>
      <c r="OR54" s="1668"/>
      <c r="OT54" s="723"/>
      <c r="OU54" s="723" t="str">
        <f>IF(T54="","",T54)</f>
        <v>Добавить группу потребителей</v>
      </c>
      <c r="OV54" s="723"/>
      <c r="OW54" s="723"/>
    </row>
    <row customHeight="1" ht="21">
      <c r="A55" s="1591" t="s">
        <v>249</v>
      </c>
      <c r="B55" s="1591" t="s">
        <v>250</v>
      </c>
      <c r="C55" s="1591" t="s">
        <v>251</v>
      </c>
      <c r="D55" s="1591" t="s">
        <v>542</v>
      </c>
      <c r="E55" s="2390"/>
      <c r="F55" s="2390"/>
      <c r="G55" s="2390"/>
      <c r="H55" s="2389"/>
      <c r="I55" s="1591"/>
      <c r="J55" s="1591"/>
      <c r="K55" s="1591"/>
      <c r="L55" s="1592"/>
      <c r="M55" s="1593"/>
      <c r="N55" s="1593"/>
      <c r="O55" s="760"/>
      <c r="P55" s="583"/>
      <c r="Q55" s="598"/>
      <c r="R55" s="578"/>
      <c r="S55" s="1506"/>
      <c r="T55" s="595" t="s">
        <v>487</v>
      </c>
      <c r="U55" s="590"/>
      <c r="V55" s="590"/>
      <c r="W55" s="823"/>
      <c r="X55" s="823"/>
      <c r="Y55" s="823"/>
      <c r="Z55" s="823"/>
      <c r="AA55" s="823"/>
      <c r="AB55" s="823"/>
      <c r="AC55" s="590"/>
      <c r="AD55" s="590"/>
      <c r="AE55" s="590"/>
      <c r="AF55" s="589"/>
      <c r="AG55" s="590"/>
      <c r="AH55" s="823"/>
      <c r="AI55" s="823"/>
      <c r="AJ55" s="823"/>
      <c r="AK55" s="823"/>
      <c r="AL55" s="823"/>
      <c r="AM55" s="590"/>
      <c r="AN55" s="590"/>
      <c r="AO55" s="590"/>
      <c r="AP55" s="590"/>
      <c r="AQ55" s="589"/>
      <c r="AR55" s="6658"/>
      <c r="AS55" s="6659"/>
      <c r="AT55" s="6660"/>
      <c r="AU55" s="6661"/>
      <c r="AV55" s="6662"/>
      <c r="AW55" s="6663"/>
      <c r="AX55" s="6664"/>
      <c r="AY55" s="6665"/>
      <c r="AZ55" s="6666"/>
      <c r="BA55" s="6667"/>
      <c r="BB55" s="6668"/>
      <c r="BC55" s="6669"/>
      <c r="BD55" s="6670"/>
      <c r="BE55" s="6671"/>
      <c r="BF55" s="6672"/>
      <c r="BG55" s="6673"/>
      <c r="BH55" s="6674"/>
      <c r="BI55" s="6675"/>
      <c r="BJ55" s="6676"/>
      <c r="BK55" s="6677"/>
      <c r="BL55" s="6678"/>
      <c r="BM55" s="6679"/>
      <c r="BN55" s="11043"/>
      <c r="BO55" s="11044"/>
      <c r="BP55" s="11045"/>
      <c r="BQ55" s="11046"/>
      <c r="BR55" s="11047"/>
      <c r="BS55" s="11048"/>
      <c r="BT55" s="11049"/>
      <c r="BU55" s="11050"/>
      <c r="BV55" s="11051"/>
      <c r="BW55" s="11052"/>
      <c r="BX55" s="11053"/>
      <c r="BY55" s="11054"/>
      <c r="BZ55" s="11055"/>
      <c r="CA55" s="11056"/>
      <c r="CB55" s="11057"/>
      <c r="CC55" s="11058"/>
      <c r="CD55" s="11059"/>
      <c r="CE55" s="11060"/>
      <c r="CF55" s="11061"/>
      <c r="CG55" s="11062"/>
      <c r="CH55" s="11063"/>
      <c r="CI55" s="11064"/>
      <c r="CJ55" s="11065"/>
      <c r="CK55" s="11066"/>
      <c r="CL55" s="11067"/>
      <c r="CM55" s="11068"/>
      <c r="CN55" s="11069"/>
      <c r="CO55" s="11070"/>
      <c r="CP55" s="11071"/>
      <c r="CQ55" s="11072"/>
      <c r="CR55" s="11073"/>
      <c r="CS55" s="11074"/>
      <c r="CT55" s="11075"/>
      <c r="CU55" s="11076"/>
      <c r="CV55" s="11077"/>
      <c r="CW55" s="11078"/>
      <c r="CX55" s="11079"/>
      <c r="CY55" s="11080"/>
      <c r="CZ55" s="11081"/>
      <c r="DA55" s="11082"/>
      <c r="DB55" s="11083"/>
      <c r="DC55" s="11084"/>
      <c r="DD55" s="11085"/>
      <c r="DE55" s="11086"/>
      <c r="DF55" s="11087"/>
      <c r="DG55" s="11088"/>
      <c r="DH55" s="11089"/>
      <c r="DI55" s="11090"/>
      <c r="DJ55" s="11091"/>
      <c r="DK55" s="11092"/>
      <c r="DL55" s="11093"/>
      <c r="DM55" s="11094"/>
      <c r="DN55" s="11095"/>
      <c r="DO55" s="11096"/>
      <c r="DP55" s="11097"/>
      <c r="DQ55" s="11098"/>
      <c r="DR55" s="11099"/>
      <c r="DS55" s="11100"/>
      <c r="DT55" s="11101"/>
      <c r="DU55" s="11102"/>
      <c r="DV55" s="11103"/>
      <c r="DW55" s="11104"/>
      <c r="DX55" s="11105"/>
      <c r="DY55" s="11106"/>
      <c r="DZ55" s="11107"/>
      <c r="EA55" s="11108"/>
      <c r="EB55" s="11109"/>
      <c r="EC55" s="11110"/>
      <c r="ED55" s="11111"/>
      <c r="EE55" s="11112"/>
      <c r="EF55" s="11113"/>
      <c r="EG55" s="11114"/>
      <c r="EH55" s="11115"/>
      <c r="EI55" s="11116"/>
      <c r="EJ55" s="11117"/>
      <c r="EK55" s="11118"/>
      <c r="EL55" s="11119"/>
      <c r="EM55" s="11120"/>
      <c r="EN55" s="11121"/>
      <c r="EO55" s="11122"/>
      <c r="EP55" s="11123"/>
      <c r="EQ55" s="11124"/>
      <c r="ER55" s="11125"/>
      <c r="ES55" s="11126"/>
      <c r="ET55" s="11127"/>
      <c r="EU55" s="11128"/>
      <c r="EV55" s="11129"/>
      <c r="EW55" s="11130"/>
      <c r="EX55" s="11131"/>
      <c r="EY55" s="11132"/>
      <c r="EZ55" s="11133"/>
      <c r="FA55" s="11134"/>
      <c r="FB55" s="11135"/>
      <c r="FC55" s="11136"/>
      <c r="FD55" s="11137"/>
      <c r="FE55" s="11138"/>
      <c r="FF55" s="11139"/>
      <c r="FG55" s="11140"/>
      <c r="FH55" s="11141"/>
      <c r="FI55" s="11142"/>
      <c r="FJ55" s="11143"/>
      <c r="FK55" s="11144"/>
      <c r="FL55" s="11145"/>
      <c r="FM55" s="11146"/>
      <c r="FN55" s="11147"/>
      <c r="FO55" s="11148"/>
      <c r="FP55" s="11149"/>
      <c r="FQ55" s="11150"/>
      <c r="FR55" s="11151"/>
      <c r="FS55" s="11152"/>
      <c r="FT55" s="11153"/>
      <c r="FU55" s="11154"/>
      <c r="FV55" s="11155"/>
      <c r="FW55" s="11156"/>
      <c r="FX55" s="11157"/>
      <c r="FY55" s="11158"/>
      <c r="FZ55" s="11159"/>
      <c r="GA55" s="11160"/>
      <c r="GB55" s="11161"/>
      <c r="GC55" s="11162"/>
      <c r="GD55" s="11163"/>
      <c r="GE55" s="11164"/>
      <c r="GF55" s="11165"/>
      <c r="GG55" s="11166"/>
      <c r="GH55" s="11167"/>
      <c r="GI55" s="11168"/>
      <c r="GJ55" s="11169"/>
      <c r="GK55" s="11170"/>
      <c r="GL55" s="11171"/>
      <c r="GM55" s="11172"/>
      <c r="GN55" s="11173"/>
      <c r="GO55" s="11174"/>
      <c r="GP55" s="11175"/>
      <c r="GQ55" s="11176"/>
      <c r="GR55" s="11177"/>
      <c r="GS55" s="11178"/>
      <c r="GT55" s="11179"/>
      <c r="GU55" s="11180"/>
      <c r="GV55" s="11181"/>
      <c r="GW55" s="11182"/>
      <c r="GX55" s="11183"/>
      <c r="GY55" s="11184"/>
      <c r="GZ55" s="11185"/>
      <c r="HA55" s="11186"/>
      <c r="HB55" s="11187"/>
      <c r="HC55" s="11188"/>
      <c r="HD55" s="11189"/>
      <c r="HE55" s="11190"/>
      <c r="HF55" s="11191"/>
      <c r="HG55" s="11192"/>
      <c r="HH55" s="11193"/>
      <c r="HI55" s="11194"/>
      <c r="HJ55" s="11195"/>
      <c r="HK55" s="11196"/>
      <c r="HL55" s="11197"/>
      <c r="HM55" s="11198"/>
      <c r="HN55" s="11199"/>
      <c r="HO55" s="11200"/>
      <c r="HP55" s="11201"/>
      <c r="HQ55" s="11202"/>
      <c r="HR55" s="11203"/>
      <c r="HS55" s="11204"/>
      <c r="HT55" s="11205"/>
      <c r="HU55" s="11206"/>
      <c r="HV55" s="11207"/>
      <c r="HW55" s="11208"/>
      <c r="HX55" s="11209"/>
      <c r="HY55" s="11210"/>
      <c r="HZ55" s="11211"/>
      <c r="IA55" s="11212"/>
      <c r="IB55" s="11213"/>
      <c r="IC55" s="11214"/>
      <c r="ID55" s="11215"/>
      <c r="IE55" s="11216"/>
      <c r="IF55" s="11217"/>
      <c r="IG55" s="11218"/>
      <c r="IH55" s="11219"/>
      <c r="II55" s="11220"/>
      <c r="IJ55" s="11221"/>
      <c r="IK55" s="11222"/>
      <c r="IL55" s="11223"/>
      <c r="IM55" s="11224"/>
      <c r="IN55" s="11225"/>
      <c r="IO55" s="11226"/>
      <c r="IP55" s="11227"/>
      <c r="IQ55" s="11228"/>
      <c r="IR55" s="11229"/>
      <c r="IS55" s="11230"/>
      <c r="IT55" s="11231"/>
      <c r="IU55" s="11232"/>
      <c r="IV55" s="11233"/>
      <c r="IW55" s="11234"/>
      <c r="IX55" s="11235"/>
      <c r="IY55" s="11236"/>
      <c r="IZ55" s="11237"/>
      <c r="JA55" s="11238"/>
      <c r="JB55" s="11239"/>
      <c r="JC55" s="11240"/>
      <c r="JD55" s="11241"/>
      <c r="JE55" s="11242"/>
      <c r="JF55" s="11243"/>
      <c r="JG55" s="11244"/>
      <c r="JH55" s="11245"/>
      <c r="JI55" s="11246"/>
      <c r="JJ55" s="11247"/>
      <c r="JK55" s="11248"/>
      <c r="JL55" s="11249"/>
      <c r="JM55" s="11250"/>
      <c r="JN55" s="11251"/>
      <c r="JO55" s="11252"/>
      <c r="JP55" s="11253"/>
      <c r="JQ55" s="11254"/>
      <c r="JR55" s="11255"/>
      <c r="JS55" s="11256"/>
      <c r="JT55" s="11257"/>
      <c r="JU55" s="11258"/>
      <c r="JV55" s="11259"/>
      <c r="JW55" s="11260"/>
      <c r="JX55" s="11261"/>
      <c r="JY55" s="11262"/>
      <c r="JZ55" s="11263"/>
      <c r="KA55" s="11264"/>
      <c r="KB55" s="11265"/>
      <c r="KC55" s="11266"/>
      <c r="KD55" s="11267"/>
      <c r="KE55" s="11268"/>
      <c r="KF55" s="11269"/>
      <c r="KG55" s="11270"/>
      <c r="KH55" s="11271"/>
      <c r="KI55" s="11272"/>
      <c r="KJ55" s="11273"/>
      <c r="KK55" s="11274"/>
      <c r="KL55" s="11275"/>
      <c r="KM55" s="11276"/>
      <c r="KN55" s="11277"/>
      <c r="KO55" s="11278"/>
      <c r="KP55" s="11279"/>
      <c r="KQ55" s="11280"/>
      <c r="KR55" s="11281"/>
      <c r="KS55" s="11282"/>
      <c r="KT55" s="11283"/>
      <c r="KU55" s="11284"/>
      <c r="KV55" s="16533"/>
      <c r="KW55" s="16534"/>
      <c r="KX55" s="16535"/>
      <c r="KY55" s="16536"/>
      <c r="KZ55" s="16537"/>
      <c r="LA55" s="16538"/>
      <c r="LB55" s="16539"/>
      <c r="LC55" s="16540"/>
      <c r="LD55" s="16541"/>
      <c r="LE55" s="16542"/>
      <c r="LF55" s="16543"/>
      <c r="LG55" s="16544"/>
      <c r="LH55" s="16545"/>
      <c r="LI55" s="16546"/>
      <c r="LJ55" s="16547"/>
      <c r="LK55" s="16548"/>
      <c r="LL55" s="16549"/>
      <c r="LM55" s="16550"/>
      <c r="LN55" s="16551"/>
      <c r="LO55" s="16552"/>
      <c r="LP55" s="16553"/>
      <c r="LQ55" s="16554"/>
      <c r="LR55" s="16555"/>
      <c r="LS55" s="16556"/>
      <c r="LT55" s="16557"/>
      <c r="LU55" s="16558"/>
      <c r="LV55" s="16559"/>
      <c r="LW55" s="16560"/>
      <c r="LX55" s="16561"/>
      <c r="LY55" s="16562"/>
      <c r="LZ55" s="16563"/>
      <c r="MA55" s="16564"/>
      <c r="MB55" s="16565"/>
      <c r="MC55" s="16566"/>
      <c r="MD55" s="16567"/>
      <c r="ME55" s="16568"/>
      <c r="MF55" s="16569"/>
      <c r="MG55" s="16570"/>
      <c r="MH55" s="16571"/>
      <c r="MI55" s="16572"/>
      <c r="MJ55" s="16573"/>
      <c r="MK55" s="16574"/>
      <c r="ML55" s="16575"/>
      <c r="MM55" s="16576"/>
      <c r="MN55" s="16577"/>
      <c r="MO55" s="16578"/>
      <c r="MP55" s="16579"/>
      <c r="MQ55" s="16580"/>
      <c r="MR55" s="16581"/>
      <c r="MS55" s="16582"/>
      <c r="MT55" s="16583"/>
      <c r="MU55" s="16584"/>
      <c r="MV55" s="16585"/>
      <c r="MW55" s="16586"/>
      <c r="MX55" s="16587"/>
      <c r="MY55" s="16588"/>
      <c r="MZ55" s="16589"/>
      <c r="NA55" s="16590"/>
      <c r="NB55" s="16591"/>
      <c r="NC55" s="16592"/>
      <c r="ND55" s="16593"/>
      <c r="NE55" s="16594"/>
      <c r="NF55" s="16595"/>
      <c r="NG55" s="16596"/>
      <c r="NH55" s="16597"/>
      <c r="NI55" s="16598"/>
      <c r="NJ55" s="16599"/>
      <c r="NK55" s="16600"/>
      <c r="NL55" s="16601"/>
      <c r="NM55" s="16602"/>
      <c r="NN55" s="16603"/>
      <c r="NO55" s="16604"/>
      <c r="NP55" s="16605"/>
      <c r="NQ55" s="16606"/>
      <c r="NR55" s="16607"/>
      <c r="NS55" s="16608"/>
      <c r="NT55" s="16609"/>
      <c r="NU55" s="16610"/>
      <c r="NV55" s="16611"/>
      <c r="NW55" s="16612"/>
      <c r="NX55" s="16613"/>
      <c r="NY55" s="16614"/>
      <c r="NZ55" s="16615"/>
      <c r="OA55" s="16616"/>
      <c r="OB55" s="16617"/>
      <c r="OC55" s="16618"/>
      <c r="OD55" s="16619"/>
      <c r="OE55" s="16620"/>
      <c r="OF55" s="16621"/>
      <c r="OG55" s="16622"/>
      <c r="OH55" s="16623"/>
      <c r="OI55" s="16624"/>
      <c r="OJ55" s="16625"/>
      <c r="OK55" s="16626"/>
      <c r="OL55" s="16627"/>
      <c r="OM55" s="16628"/>
      <c r="ON55" s="16629"/>
      <c r="OO55" s="16630"/>
      <c r="OP55" s="16631"/>
      <c r="OQ55" s="590"/>
      <c r="OR55" s="526"/>
      <c r="OT55" s="723"/>
      <c r="OU55" s="723" t="str">
        <f>IF(T55="","",T55)</f>
        <v>Добавить наименование признака дифференциации</v>
      </c>
      <c r="OV55" s="723"/>
      <c r="OW55" s="723"/>
    </row>
    <row s="13514" customFormat="1" customHeight="1" ht="0">
      <c r="A56" s="1571" t="s">
        <v>249</v>
      </c>
      <c r="B56" s="1571" t="s">
        <v>250</v>
      </c>
      <c r="C56" s="1542"/>
      <c r="D56" s="1542"/>
      <c r="E56" s="2390"/>
      <c r="F56" s="2389"/>
      <c r="G56" s="1542"/>
      <c r="H56" s="1542"/>
      <c r="I56" s="1542"/>
      <c r="J56" s="1542"/>
      <c r="K56" s="1542"/>
      <c r="L56" s="1722"/>
      <c r="M56" s="1549"/>
      <c r="N56" s="1549"/>
      <c r="P56" s="1544"/>
      <c r="Q56" s="1545"/>
      <c r="R56" s="1544"/>
      <c r="S56" s="1550"/>
      <c r="T56" s="1553" t="s">
        <v>252</v>
      </c>
      <c r="U56" s="1552"/>
      <c r="V56" s="1552"/>
      <c r="W56" s="1552"/>
      <c r="X56" s="1552"/>
      <c r="Y56" s="1552"/>
      <c r="Z56" s="1552"/>
      <c r="AA56" s="1552"/>
      <c r="AB56" s="1552"/>
      <c r="AC56" s="1552"/>
      <c r="AD56" s="1552"/>
      <c r="AE56" s="1552"/>
      <c r="AF56" s="1552"/>
      <c r="AG56" s="1552"/>
      <c r="AH56" s="1552"/>
      <c r="AI56" s="1552"/>
      <c r="AJ56" s="1552"/>
      <c r="AK56" s="1552"/>
      <c r="AL56" s="1552"/>
      <c r="AM56" s="1552"/>
      <c r="AN56" s="1552"/>
      <c r="AO56" s="1552"/>
      <c r="AP56" s="1552"/>
      <c r="AQ56" s="1552"/>
      <c r="AR56" s="6504"/>
      <c r="AS56" s="6504"/>
      <c r="AT56" s="6504"/>
      <c r="AU56" s="6504"/>
      <c r="AV56" s="6504"/>
      <c r="AW56" s="6504"/>
      <c r="AX56" s="6504"/>
      <c r="AY56" s="6504"/>
      <c r="AZ56" s="6504"/>
      <c r="BA56" s="6504"/>
      <c r="BB56" s="6504"/>
      <c r="BC56" s="6504"/>
      <c r="BD56" s="6504"/>
      <c r="BE56" s="6504"/>
      <c r="BF56" s="6504"/>
      <c r="BG56" s="6504"/>
      <c r="BH56" s="6504"/>
      <c r="BI56" s="6504"/>
      <c r="BJ56" s="6504"/>
      <c r="BK56" s="6504"/>
      <c r="BL56" s="6504"/>
      <c r="BM56" s="6504"/>
      <c r="BN56" s="10109"/>
      <c r="BO56" s="10109"/>
      <c r="BP56" s="10109"/>
      <c r="BQ56" s="10109"/>
      <c r="BR56" s="10109"/>
      <c r="BS56" s="10109"/>
      <c r="BT56" s="10109"/>
      <c r="BU56" s="10109"/>
      <c r="BV56" s="10109"/>
      <c r="BW56" s="10109"/>
      <c r="BX56" s="10109"/>
      <c r="BY56" s="10109"/>
      <c r="BZ56" s="10109"/>
      <c r="CA56" s="10109"/>
      <c r="CB56" s="10109"/>
      <c r="CC56" s="10109"/>
      <c r="CD56" s="10109"/>
      <c r="CE56" s="10109"/>
      <c r="CF56" s="10109"/>
      <c r="CG56" s="10109"/>
      <c r="CH56" s="10109"/>
      <c r="CI56" s="10109"/>
      <c r="CJ56" s="10109"/>
      <c r="CK56" s="10109"/>
      <c r="CL56" s="10109"/>
      <c r="CM56" s="10109"/>
      <c r="CN56" s="10109"/>
      <c r="CO56" s="10109"/>
      <c r="CP56" s="10109"/>
      <c r="CQ56" s="10109"/>
      <c r="CR56" s="10109"/>
      <c r="CS56" s="10109"/>
      <c r="CT56" s="10109"/>
      <c r="CU56" s="10109"/>
      <c r="CV56" s="10109"/>
      <c r="CW56" s="10109"/>
      <c r="CX56" s="10109"/>
      <c r="CY56" s="10109"/>
      <c r="CZ56" s="10109"/>
      <c r="DA56" s="10109"/>
      <c r="DB56" s="10109"/>
      <c r="DC56" s="10109"/>
      <c r="DD56" s="10109"/>
      <c r="DE56" s="10109"/>
      <c r="DF56" s="10109"/>
      <c r="DG56" s="10109"/>
      <c r="DH56" s="10109"/>
      <c r="DI56" s="10109"/>
      <c r="DJ56" s="10109"/>
      <c r="DK56" s="10109"/>
      <c r="DL56" s="10109"/>
      <c r="DM56" s="10109"/>
      <c r="DN56" s="10109"/>
      <c r="DO56" s="10109"/>
      <c r="DP56" s="10109"/>
      <c r="DQ56" s="10109"/>
      <c r="DR56" s="10109"/>
      <c r="DS56" s="10109"/>
      <c r="DT56" s="10109"/>
      <c r="DU56" s="10109"/>
      <c r="DV56" s="10109"/>
      <c r="DW56" s="10109"/>
      <c r="DX56" s="10109"/>
      <c r="DY56" s="10109"/>
      <c r="DZ56" s="10109"/>
      <c r="EA56" s="10109"/>
      <c r="EB56" s="10109"/>
      <c r="EC56" s="10109"/>
      <c r="ED56" s="10109"/>
      <c r="EE56" s="10109"/>
      <c r="EF56" s="10109"/>
      <c r="EG56" s="10109"/>
      <c r="EH56" s="10109"/>
      <c r="EI56" s="10109"/>
      <c r="EJ56" s="10109"/>
      <c r="EK56" s="10109"/>
      <c r="EL56" s="10109"/>
      <c r="EM56" s="10109"/>
      <c r="EN56" s="10109"/>
      <c r="EO56" s="10109"/>
      <c r="EP56" s="10109"/>
      <c r="EQ56" s="10109"/>
      <c r="ER56" s="10109"/>
      <c r="ES56" s="10109"/>
      <c r="ET56" s="10109"/>
      <c r="EU56" s="10109"/>
      <c r="EV56" s="10109"/>
      <c r="EW56" s="10109"/>
      <c r="EX56" s="10109"/>
      <c r="EY56" s="10109"/>
      <c r="EZ56" s="10109"/>
      <c r="FA56" s="10109"/>
      <c r="FB56" s="10109"/>
      <c r="FC56" s="10109"/>
      <c r="FD56" s="10109"/>
      <c r="FE56" s="10109"/>
      <c r="FF56" s="10109"/>
      <c r="FG56" s="10109"/>
      <c r="FH56" s="10109"/>
      <c r="FI56" s="10109"/>
      <c r="FJ56" s="10109"/>
      <c r="FK56" s="10109"/>
      <c r="FL56" s="10109"/>
      <c r="FM56" s="10109"/>
      <c r="FN56" s="10109"/>
      <c r="FO56" s="10109"/>
      <c r="FP56" s="10109"/>
      <c r="FQ56" s="10109"/>
      <c r="FR56" s="10109"/>
      <c r="FS56" s="10109"/>
      <c r="FT56" s="10109"/>
      <c r="FU56" s="10109"/>
      <c r="FV56" s="10109"/>
      <c r="FW56" s="10109"/>
      <c r="FX56" s="10109"/>
      <c r="FY56" s="10109"/>
      <c r="FZ56" s="10109"/>
      <c r="GA56" s="10109"/>
      <c r="GB56" s="10109"/>
      <c r="GC56" s="10109"/>
      <c r="GD56" s="10109"/>
      <c r="GE56" s="10109"/>
      <c r="GF56" s="10109"/>
      <c r="GG56" s="10109"/>
      <c r="GH56" s="10109"/>
      <c r="GI56" s="10109"/>
      <c r="GJ56" s="10109"/>
      <c r="GK56" s="10109"/>
      <c r="GL56" s="10109"/>
      <c r="GM56" s="10109"/>
      <c r="GN56" s="10109"/>
      <c r="GO56" s="10109"/>
      <c r="GP56" s="10109"/>
      <c r="GQ56" s="10109"/>
      <c r="GR56" s="10109"/>
      <c r="GS56" s="10109"/>
      <c r="GT56" s="10109"/>
      <c r="GU56" s="10109"/>
      <c r="GV56" s="10109"/>
      <c r="GW56" s="10109"/>
      <c r="GX56" s="10109"/>
      <c r="GY56" s="10109"/>
      <c r="GZ56" s="10109"/>
      <c r="HA56" s="10109"/>
      <c r="HB56" s="10109"/>
      <c r="HC56" s="10109"/>
      <c r="HD56" s="10109"/>
      <c r="HE56" s="10109"/>
      <c r="HF56" s="10109"/>
      <c r="HG56" s="10109"/>
      <c r="HH56" s="10109"/>
      <c r="HI56" s="10109"/>
      <c r="HJ56" s="10109"/>
      <c r="HK56" s="10109"/>
      <c r="HL56" s="10109"/>
      <c r="HM56" s="10109"/>
      <c r="HN56" s="10109"/>
      <c r="HO56" s="10109"/>
      <c r="HP56" s="10109"/>
      <c r="HQ56" s="10109"/>
      <c r="HR56" s="10109"/>
      <c r="HS56" s="10109"/>
      <c r="HT56" s="10109"/>
      <c r="HU56" s="10109"/>
      <c r="HV56" s="10109"/>
      <c r="HW56" s="10109"/>
      <c r="HX56" s="10109"/>
      <c r="HY56" s="10109"/>
      <c r="HZ56" s="10109"/>
      <c r="IA56" s="10109"/>
      <c r="IB56" s="10109"/>
      <c r="IC56" s="10109"/>
      <c r="ID56" s="10109"/>
      <c r="IE56" s="10109"/>
      <c r="IF56" s="10109"/>
      <c r="IG56" s="10109"/>
      <c r="IH56" s="10109"/>
      <c r="II56" s="10109"/>
      <c r="IJ56" s="10109"/>
      <c r="IK56" s="10109"/>
      <c r="IL56" s="10109"/>
      <c r="IM56" s="10109"/>
      <c r="IN56" s="10109"/>
      <c r="IO56" s="10109"/>
      <c r="IP56" s="10109"/>
      <c r="IQ56" s="10109"/>
      <c r="IR56" s="10109"/>
      <c r="IS56" s="10109"/>
      <c r="IT56" s="10109"/>
      <c r="IU56" s="10109"/>
      <c r="IV56" s="10109"/>
      <c r="IW56" s="10109"/>
      <c r="IX56" s="10109"/>
      <c r="IY56" s="10109"/>
      <c r="IZ56" s="10109"/>
      <c r="JA56" s="10109"/>
      <c r="JB56" s="10109"/>
      <c r="JC56" s="10109"/>
      <c r="JD56" s="10109"/>
      <c r="JE56" s="10109"/>
      <c r="JF56" s="10109"/>
      <c r="JG56" s="10109"/>
      <c r="JH56" s="10109"/>
      <c r="JI56" s="10109"/>
      <c r="JJ56" s="10109"/>
      <c r="JK56" s="10109"/>
      <c r="JL56" s="10109"/>
      <c r="JM56" s="10109"/>
      <c r="JN56" s="10109"/>
      <c r="JO56" s="10109"/>
      <c r="JP56" s="10109"/>
      <c r="JQ56" s="10109"/>
      <c r="JR56" s="10109"/>
      <c r="JS56" s="10109"/>
      <c r="JT56" s="10109"/>
      <c r="JU56" s="10109"/>
      <c r="JV56" s="10109"/>
      <c r="JW56" s="10109"/>
      <c r="JX56" s="10109"/>
      <c r="JY56" s="10109"/>
      <c r="JZ56" s="10109"/>
      <c r="KA56" s="10109"/>
      <c r="KB56" s="10109"/>
      <c r="KC56" s="10109"/>
      <c r="KD56" s="10109"/>
      <c r="KE56" s="10109"/>
      <c r="KF56" s="10109"/>
      <c r="KG56" s="10109"/>
      <c r="KH56" s="10109"/>
      <c r="KI56" s="10109"/>
      <c r="KJ56" s="10109"/>
      <c r="KK56" s="10109"/>
      <c r="KL56" s="10109"/>
      <c r="KM56" s="10109"/>
      <c r="KN56" s="10109"/>
      <c r="KO56" s="10109"/>
      <c r="KP56" s="10109"/>
      <c r="KQ56" s="10109"/>
      <c r="KR56" s="10109"/>
      <c r="KS56" s="10109"/>
      <c r="KT56" s="10109"/>
      <c r="KU56" s="10109"/>
      <c r="KV56" s="15028"/>
      <c r="KW56" s="15028"/>
      <c r="KX56" s="15028"/>
      <c r="KY56" s="15028"/>
      <c r="KZ56" s="15028"/>
      <c r="LA56" s="15028"/>
      <c r="LB56" s="15028"/>
      <c r="LC56" s="15028"/>
      <c r="LD56" s="15028"/>
      <c r="LE56" s="15028"/>
      <c r="LF56" s="15028"/>
      <c r="LG56" s="15028"/>
      <c r="LH56" s="15028"/>
      <c r="LI56" s="15028"/>
      <c r="LJ56" s="15028"/>
      <c r="LK56" s="15028"/>
      <c r="LL56" s="15028"/>
      <c r="LM56" s="15028"/>
      <c r="LN56" s="15028"/>
      <c r="LO56" s="15028"/>
      <c r="LP56" s="15028"/>
      <c r="LQ56" s="15028"/>
      <c r="LR56" s="15028"/>
      <c r="LS56" s="15028"/>
      <c r="LT56" s="15028"/>
      <c r="LU56" s="15028"/>
      <c r="LV56" s="15028"/>
      <c r="LW56" s="15028"/>
      <c r="LX56" s="15028"/>
      <c r="LY56" s="15028"/>
      <c r="LZ56" s="15028"/>
      <c r="MA56" s="15028"/>
      <c r="MB56" s="15028"/>
      <c r="MC56" s="15028"/>
      <c r="MD56" s="15028"/>
      <c r="ME56" s="15028"/>
      <c r="MF56" s="15028"/>
      <c r="MG56" s="15028"/>
      <c r="MH56" s="15028"/>
      <c r="MI56" s="15028"/>
      <c r="MJ56" s="15028"/>
      <c r="MK56" s="15028"/>
      <c r="ML56" s="15028"/>
      <c r="MM56" s="15028"/>
      <c r="MN56" s="15028"/>
      <c r="MO56" s="15028"/>
      <c r="MP56" s="15028"/>
      <c r="MQ56" s="15028"/>
      <c r="MR56" s="15028"/>
      <c r="MS56" s="15028"/>
      <c r="MT56" s="15028"/>
      <c r="MU56" s="15028"/>
      <c r="MV56" s="15028"/>
      <c r="MW56" s="15028"/>
      <c r="MX56" s="15028"/>
      <c r="MY56" s="15028"/>
      <c r="MZ56" s="15028"/>
      <c r="NA56" s="15028"/>
      <c r="NB56" s="15028"/>
      <c r="NC56" s="15028"/>
      <c r="ND56" s="15028"/>
      <c r="NE56" s="15028"/>
      <c r="NF56" s="15028"/>
      <c r="NG56" s="15028"/>
      <c r="NH56" s="15028"/>
      <c r="NI56" s="15028"/>
      <c r="NJ56" s="15028"/>
      <c r="NK56" s="15028"/>
      <c r="NL56" s="15028"/>
      <c r="NM56" s="15028"/>
      <c r="NN56" s="15028"/>
      <c r="NO56" s="15028"/>
      <c r="NP56" s="15028"/>
      <c r="NQ56" s="15028"/>
      <c r="NR56" s="15028"/>
      <c r="NS56" s="15028"/>
      <c r="NT56" s="15028"/>
      <c r="NU56" s="15028"/>
      <c r="NV56" s="15028"/>
      <c r="NW56" s="15028"/>
      <c r="NX56" s="15028"/>
      <c r="NY56" s="15028"/>
      <c r="NZ56" s="15028"/>
      <c r="OA56" s="15028"/>
      <c r="OB56" s="15028"/>
      <c r="OC56" s="15028"/>
      <c r="OD56" s="15028"/>
      <c r="OE56" s="15028"/>
      <c r="OF56" s="15028"/>
      <c r="OG56" s="15028"/>
      <c r="OH56" s="15028"/>
      <c r="OI56" s="15028"/>
      <c r="OJ56" s="15028"/>
      <c r="OK56" s="15028"/>
      <c r="OL56" s="15028"/>
      <c r="OM56" s="15028"/>
      <c r="ON56" s="15028"/>
      <c r="OO56" s="15028"/>
      <c r="OP56" s="15028"/>
      <c r="OQ56" s="1552"/>
      <c r="OR56" s="1552"/>
      <c r="OT56" s="1012"/>
      <c r="OU56" s="1012" t="str">
        <f>IF(T56="","",T56)</f>
        <v>Добавить централизованную систему для дифференциации</v>
      </c>
      <c r="OV56" s="1012"/>
      <c r="OW56" s="1012"/>
    </row>
    <row s="13606" customFormat="1" customHeight="1" ht="0">
      <c r="A57" s="1571" t="s">
        <v>249</v>
      </c>
      <c r="B57" s="1571"/>
      <c r="C57" s="1571"/>
      <c r="D57" s="1571"/>
      <c r="E57" s="2389"/>
      <c r="F57" s="1571"/>
      <c r="G57" s="1571"/>
      <c r="H57" s="1571"/>
      <c r="I57" s="1571"/>
      <c r="J57" s="1571"/>
      <c r="K57" s="1571"/>
      <c r="L57" s="1574"/>
      <c r="M57" s="1549"/>
      <c r="N57" s="1549"/>
      <c r="O57" s="741"/>
      <c r="P57" s="603"/>
      <c r="Q57" s="1572"/>
      <c r="R57" s="603"/>
      <c r="S57" s="1550"/>
      <c r="T57" s="1553" t="s">
        <v>253</v>
      </c>
      <c r="U57" s="1552"/>
      <c r="V57" s="1552"/>
      <c r="W57" s="1552"/>
      <c r="X57" s="1552"/>
      <c r="Y57" s="1552"/>
      <c r="Z57" s="1552"/>
      <c r="AA57" s="1552"/>
      <c r="AB57" s="1552"/>
      <c r="AC57" s="1552"/>
      <c r="AD57" s="1552"/>
      <c r="AE57" s="1552"/>
      <c r="AF57" s="1552"/>
      <c r="AG57" s="1552"/>
      <c r="AH57" s="1552"/>
      <c r="AI57" s="1552"/>
      <c r="AJ57" s="1552"/>
      <c r="AK57" s="1552"/>
      <c r="AL57" s="1552"/>
      <c r="AM57" s="1552"/>
      <c r="AN57" s="1552"/>
      <c r="AO57" s="1552"/>
      <c r="AP57" s="1552"/>
      <c r="AQ57" s="1552"/>
      <c r="AR57" s="6504"/>
      <c r="AS57" s="6504"/>
      <c r="AT57" s="6504"/>
      <c r="AU57" s="6504"/>
      <c r="AV57" s="6504"/>
      <c r="AW57" s="6504"/>
      <c r="AX57" s="6504"/>
      <c r="AY57" s="6504"/>
      <c r="AZ57" s="6504"/>
      <c r="BA57" s="6504"/>
      <c r="BB57" s="6504"/>
      <c r="BC57" s="6504"/>
      <c r="BD57" s="6504"/>
      <c r="BE57" s="6504"/>
      <c r="BF57" s="6504"/>
      <c r="BG57" s="6504"/>
      <c r="BH57" s="6504"/>
      <c r="BI57" s="6504"/>
      <c r="BJ57" s="6504"/>
      <c r="BK57" s="6504"/>
      <c r="BL57" s="6504"/>
      <c r="BM57" s="6504"/>
      <c r="BN57" s="10109"/>
      <c r="BO57" s="10109"/>
      <c r="BP57" s="10109"/>
      <c r="BQ57" s="10109"/>
      <c r="BR57" s="10109"/>
      <c r="BS57" s="10109"/>
      <c r="BT57" s="10109"/>
      <c r="BU57" s="10109"/>
      <c r="BV57" s="10109"/>
      <c r="BW57" s="10109"/>
      <c r="BX57" s="10109"/>
      <c r="BY57" s="10109"/>
      <c r="BZ57" s="10109"/>
      <c r="CA57" s="10109"/>
      <c r="CB57" s="10109"/>
      <c r="CC57" s="10109"/>
      <c r="CD57" s="10109"/>
      <c r="CE57" s="10109"/>
      <c r="CF57" s="10109"/>
      <c r="CG57" s="10109"/>
      <c r="CH57" s="10109"/>
      <c r="CI57" s="10109"/>
      <c r="CJ57" s="10109"/>
      <c r="CK57" s="10109"/>
      <c r="CL57" s="10109"/>
      <c r="CM57" s="10109"/>
      <c r="CN57" s="10109"/>
      <c r="CO57" s="10109"/>
      <c r="CP57" s="10109"/>
      <c r="CQ57" s="10109"/>
      <c r="CR57" s="10109"/>
      <c r="CS57" s="10109"/>
      <c r="CT57" s="10109"/>
      <c r="CU57" s="10109"/>
      <c r="CV57" s="10109"/>
      <c r="CW57" s="10109"/>
      <c r="CX57" s="10109"/>
      <c r="CY57" s="10109"/>
      <c r="CZ57" s="10109"/>
      <c r="DA57" s="10109"/>
      <c r="DB57" s="10109"/>
      <c r="DC57" s="10109"/>
      <c r="DD57" s="10109"/>
      <c r="DE57" s="10109"/>
      <c r="DF57" s="10109"/>
      <c r="DG57" s="10109"/>
      <c r="DH57" s="10109"/>
      <c r="DI57" s="10109"/>
      <c r="DJ57" s="10109"/>
      <c r="DK57" s="10109"/>
      <c r="DL57" s="10109"/>
      <c r="DM57" s="10109"/>
      <c r="DN57" s="10109"/>
      <c r="DO57" s="10109"/>
      <c r="DP57" s="10109"/>
      <c r="DQ57" s="10109"/>
      <c r="DR57" s="10109"/>
      <c r="DS57" s="10109"/>
      <c r="DT57" s="10109"/>
      <c r="DU57" s="10109"/>
      <c r="DV57" s="10109"/>
      <c r="DW57" s="10109"/>
      <c r="DX57" s="10109"/>
      <c r="DY57" s="10109"/>
      <c r="DZ57" s="10109"/>
      <c r="EA57" s="10109"/>
      <c r="EB57" s="10109"/>
      <c r="EC57" s="10109"/>
      <c r="ED57" s="10109"/>
      <c r="EE57" s="10109"/>
      <c r="EF57" s="10109"/>
      <c r="EG57" s="10109"/>
      <c r="EH57" s="10109"/>
      <c r="EI57" s="10109"/>
      <c r="EJ57" s="10109"/>
      <c r="EK57" s="10109"/>
      <c r="EL57" s="10109"/>
      <c r="EM57" s="10109"/>
      <c r="EN57" s="10109"/>
      <c r="EO57" s="10109"/>
      <c r="EP57" s="10109"/>
      <c r="EQ57" s="10109"/>
      <c r="ER57" s="10109"/>
      <c r="ES57" s="10109"/>
      <c r="ET57" s="10109"/>
      <c r="EU57" s="10109"/>
      <c r="EV57" s="10109"/>
      <c r="EW57" s="10109"/>
      <c r="EX57" s="10109"/>
      <c r="EY57" s="10109"/>
      <c r="EZ57" s="10109"/>
      <c r="FA57" s="10109"/>
      <c r="FB57" s="10109"/>
      <c r="FC57" s="10109"/>
      <c r="FD57" s="10109"/>
      <c r="FE57" s="10109"/>
      <c r="FF57" s="10109"/>
      <c r="FG57" s="10109"/>
      <c r="FH57" s="10109"/>
      <c r="FI57" s="10109"/>
      <c r="FJ57" s="10109"/>
      <c r="FK57" s="10109"/>
      <c r="FL57" s="10109"/>
      <c r="FM57" s="10109"/>
      <c r="FN57" s="10109"/>
      <c r="FO57" s="10109"/>
      <c r="FP57" s="10109"/>
      <c r="FQ57" s="10109"/>
      <c r="FR57" s="10109"/>
      <c r="FS57" s="10109"/>
      <c r="FT57" s="10109"/>
      <c r="FU57" s="10109"/>
      <c r="FV57" s="10109"/>
      <c r="FW57" s="10109"/>
      <c r="FX57" s="10109"/>
      <c r="FY57" s="10109"/>
      <c r="FZ57" s="10109"/>
      <c r="GA57" s="10109"/>
      <c r="GB57" s="10109"/>
      <c r="GC57" s="10109"/>
      <c r="GD57" s="10109"/>
      <c r="GE57" s="10109"/>
      <c r="GF57" s="10109"/>
      <c r="GG57" s="10109"/>
      <c r="GH57" s="10109"/>
      <c r="GI57" s="10109"/>
      <c r="GJ57" s="10109"/>
      <c r="GK57" s="10109"/>
      <c r="GL57" s="10109"/>
      <c r="GM57" s="10109"/>
      <c r="GN57" s="10109"/>
      <c r="GO57" s="10109"/>
      <c r="GP57" s="10109"/>
      <c r="GQ57" s="10109"/>
      <c r="GR57" s="10109"/>
      <c r="GS57" s="10109"/>
      <c r="GT57" s="10109"/>
      <c r="GU57" s="10109"/>
      <c r="GV57" s="10109"/>
      <c r="GW57" s="10109"/>
      <c r="GX57" s="10109"/>
      <c r="GY57" s="10109"/>
      <c r="GZ57" s="10109"/>
      <c r="HA57" s="10109"/>
      <c r="HB57" s="10109"/>
      <c r="HC57" s="10109"/>
      <c r="HD57" s="10109"/>
      <c r="HE57" s="10109"/>
      <c r="HF57" s="10109"/>
      <c r="HG57" s="10109"/>
      <c r="HH57" s="10109"/>
      <c r="HI57" s="10109"/>
      <c r="HJ57" s="10109"/>
      <c r="HK57" s="10109"/>
      <c r="HL57" s="10109"/>
      <c r="HM57" s="10109"/>
      <c r="HN57" s="10109"/>
      <c r="HO57" s="10109"/>
      <c r="HP57" s="10109"/>
      <c r="HQ57" s="10109"/>
      <c r="HR57" s="10109"/>
      <c r="HS57" s="10109"/>
      <c r="HT57" s="10109"/>
      <c r="HU57" s="10109"/>
      <c r="HV57" s="10109"/>
      <c r="HW57" s="10109"/>
      <c r="HX57" s="10109"/>
      <c r="HY57" s="10109"/>
      <c r="HZ57" s="10109"/>
      <c r="IA57" s="10109"/>
      <c r="IB57" s="10109"/>
      <c r="IC57" s="10109"/>
      <c r="ID57" s="10109"/>
      <c r="IE57" s="10109"/>
      <c r="IF57" s="10109"/>
      <c r="IG57" s="10109"/>
      <c r="IH57" s="10109"/>
      <c r="II57" s="10109"/>
      <c r="IJ57" s="10109"/>
      <c r="IK57" s="10109"/>
      <c r="IL57" s="10109"/>
      <c r="IM57" s="10109"/>
      <c r="IN57" s="10109"/>
      <c r="IO57" s="10109"/>
      <c r="IP57" s="10109"/>
      <c r="IQ57" s="10109"/>
      <c r="IR57" s="10109"/>
      <c r="IS57" s="10109"/>
      <c r="IT57" s="10109"/>
      <c r="IU57" s="10109"/>
      <c r="IV57" s="10109"/>
      <c r="IW57" s="10109"/>
      <c r="IX57" s="10109"/>
      <c r="IY57" s="10109"/>
      <c r="IZ57" s="10109"/>
      <c r="JA57" s="10109"/>
      <c r="JB57" s="10109"/>
      <c r="JC57" s="10109"/>
      <c r="JD57" s="10109"/>
      <c r="JE57" s="10109"/>
      <c r="JF57" s="10109"/>
      <c r="JG57" s="10109"/>
      <c r="JH57" s="10109"/>
      <c r="JI57" s="10109"/>
      <c r="JJ57" s="10109"/>
      <c r="JK57" s="10109"/>
      <c r="JL57" s="10109"/>
      <c r="JM57" s="10109"/>
      <c r="JN57" s="10109"/>
      <c r="JO57" s="10109"/>
      <c r="JP57" s="10109"/>
      <c r="JQ57" s="10109"/>
      <c r="JR57" s="10109"/>
      <c r="JS57" s="10109"/>
      <c r="JT57" s="10109"/>
      <c r="JU57" s="10109"/>
      <c r="JV57" s="10109"/>
      <c r="JW57" s="10109"/>
      <c r="JX57" s="10109"/>
      <c r="JY57" s="10109"/>
      <c r="JZ57" s="10109"/>
      <c r="KA57" s="10109"/>
      <c r="KB57" s="10109"/>
      <c r="KC57" s="10109"/>
      <c r="KD57" s="10109"/>
      <c r="KE57" s="10109"/>
      <c r="KF57" s="10109"/>
      <c r="KG57" s="10109"/>
      <c r="KH57" s="10109"/>
      <c r="KI57" s="10109"/>
      <c r="KJ57" s="10109"/>
      <c r="KK57" s="10109"/>
      <c r="KL57" s="10109"/>
      <c r="KM57" s="10109"/>
      <c r="KN57" s="10109"/>
      <c r="KO57" s="10109"/>
      <c r="KP57" s="10109"/>
      <c r="KQ57" s="10109"/>
      <c r="KR57" s="10109"/>
      <c r="KS57" s="10109"/>
      <c r="KT57" s="10109"/>
      <c r="KU57" s="10109"/>
      <c r="KV57" s="15028"/>
      <c r="KW57" s="15028"/>
      <c r="KX57" s="15028"/>
      <c r="KY57" s="15028"/>
      <c r="KZ57" s="15028"/>
      <c r="LA57" s="15028"/>
      <c r="LB57" s="15028"/>
      <c r="LC57" s="15028"/>
      <c r="LD57" s="15028"/>
      <c r="LE57" s="15028"/>
      <c r="LF57" s="15028"/>
      <c r="LG57" s="15028"/>
      <c r="LH57" s="15028"/>
      <c r="LI57" s="15028"/>
      <c r="LJ57" s="15028"/>
      <c r="LK57" s="15028"/>
      <c r="LL57" s="15028"/>
      <c r="LM57" s="15028"/>
      <c r="LN57" s="15028"/>
      <c r="LO57" s="15028"/>
      <c r="LP57" s="15028"/>
      <c r="LQ57" s="15028"/>
      <c r="LR57" s="15028"/>
      <c r="LS57" s="15028"/>
      <c r="LT57" s="15028"/>
      <c r="LU57" s="15028"/>
      <c r="LV57" s="15028"/>
      <c r="LW57" s="15028"/>
      <c r="LX57" s="15028"/>
      <c r="LY57" s="15028"/>
      <c r="LZ57" s="15028"/>
      <c r="MA57" s="15028"/>
      <c r="MB57" s="15028"/>
      <c r="MC57" s="15028"/>
      <c r="MD57" s="15028"/>
      <c r="ME57" s="15028"/>
      <c r="MF57" s="15028"/>
      <c r="MG57" s="15028"/>
      <c r="MH57" s="15028"/>
      <c r="MI57" s="15028"/>
      <c r="MJ57" s="15028"/>
      <c r="MK57" s="15028"/>
      <c r="ML57" s="15028"/>
      <c r="MM57" s="15028"/>
      <c r="MN57" s="15028"/>
      <c r="MO57" s="15028"/>
      <c r="MP57" s="15028"/>
      <c r="MQ57" s="15028"/>
      <c r="MR57" s="15028"/>
      <c r="MS57" s="15028"/>
      <c r="MT57" s="15028"/>
      <c r="MU57" s="15028"/>
      <c r="MV57" s="15028"/>
      <c r="MW57" s="15028"/>
      <c r="MX57" s="15028"/>
      <c r="MY57" s="15028"/>
      <c r="MZ57" s="15028"/>
      <c r="NA57" s="15028"/>
      <c r="NB57" s="15028"/>
      <c r="NC57" s="15028"/>
      <c r="ND57" s="15028"/>
      <c r="NE57" s="15028"/>
      <c r="NF57" s="15028"/>
      <c r="NG57" s="15028"/>
      <c r="NH57" s="15028"/>
      <c r="NI57" s="15028"/>
      <c r="NJ57" s="15028"/>
      <c r="NK57" s="15028"/>
      <c r="NL57" s="15028"/>
      <c r="NM57" s="15028"/>
      <c r="NN57" s="15028"/>
      <c r="NO57" s="15028"/>
      <c r="NP57" s="15028"/>
      <c r="NQ57" s="15028"/>
      <c r="NR57" s="15028"/>
      <c r="NS57" s="15028"/>
      <c r="NT57" s="15028"/>
      <c r="NU57" s="15028"/>
      <c r="NV57" s="15028"/>
      <c r="NW57" s="15028"/>
      <c r="NX57" s="15028"/>
      <c r="NY57" s="15028"/>
      <c r="NZ57" s="15028"/>
      <c r="OA57" s="15028"/>
      <c r="OB57" s="15028"/>
      <c r="OC57" s="15028"/>
      <c r="OD57" s="15028"/>
      <c r="OE57" s="15028"/>
      <c r="OF57" s="15028"/>
      <c r="OG57" s="15028"/>
      <c r="OH57" s="15028"/>
      <c r="OI57" s="15028"/>
      <c r="OJ57" s="15028"/>
      <c r="OK57" s="15028"/>
      <c r="OL57" s="15028"/>
      <c r="OM57" s="15028"/>
      <c r="ON57" s="15028"/>
      <c r="OO57" s="15028"/>
      <c r="OP57" s="15028"/>
      <c r="OQ57" s="1552"/>
      <c r="OR57" s="1552"/>
      <c r="OT57" s="723"/>
      <c r="OU57" s="723" t="str">
        <f>IF(T57="","",T57)</f>
        <v>Добавить территорию для дифференциации</v>
      </c>
      <c r="OV57" s="723"/>
      <c r="OW57" s="723"/>
    </row>
    <row s="13514" customFormat="1" customHeight="1" ht="0">
      <c r="A58" s="1542"/>
      <c r="B58" s="1542"/>
      <c r="C58" s="1542"/>
      <c r="D58" s="1542"/>
      <c r="E58" s="1571"/>
      <c r="F58" s="1542"/>
      <c r="G58" s="1542"/>
      <c r="H58" s="1542"/>
      <c r="I58" s="1542"/>
      <c r="J58" s="1542"/>
      <c r="K58" s="1542"/>
      <c r="L58" s="1722"/>
      <c r="M58" s="1549"/>
      <c r="N58" s="1549"/>
      <c r="P58" s="1544"/>
      <c r="Q58" s="1545"/>
      <c r="R58" s="1544"/>
      <c r="S58" s="1550"/>
      <c r="T58" s="1553" t="s">
        <v>254</v>
      </c>
      <c r="U58" s="1552"/>
      <c r="V58" s="1552"/>
      <c r="W58" s="1552"/>
      <c r="X58" s="1552"/>
      <c r="Y58" s="1552"/>
      <c r="Z58" s="1552"/>
      <c r="AA58" s="1552"/>
      <c r="AB58" s="1552"/>
      <c r="AC58" s="1552"/>
      <c r="AD58" s="1552"/>
      <c r="AE58" s="1552"/>
      <c r="AF58" s="1552"/>
      <c r="AG58" s="1552"/>
      <c r="AH58" s="1552"/>
      <c r="AI58" s="1552"/>
      <c r="AJ58" s="1552"/>
      <c r="AK58" s="1552"/>
      <c r="AL58" s="1552"/>
      <c r="AM58" s="1552"/>
      <c r="AN58" s="1552"/>
      <c r="AO58" s="1552"/>
      <c r="AP58" s="1552"/>
      <c r="AQ58" s="1552"/>
      <c r="AR58" s="6504"/>
      <c r="AS58" s="6504"/>
      <c r="AT58" s="6504"/>
      <c r="AU58" s="6504"/>
      <c r="AV58" s="6504"/>
      <c r="AW58" s="6504"/>
      <c r="AX58" s="6504"/>
      <c r="AY58" s="6504"/>
      <c r="AZ58" s="6504"/>
      <c r="BA58" s="6504"/>
      <c r="BB58" s="6504"/>
      <c r="BC58" s="6504"/>
      <c r="BD58" s="6504"/>
      <c r="BE58" s="6504"/>
      <c r="BF58" s="6504"/>
      <c r="BG58" s="6504"/>
      <c r="BH58" s="6504"/>
      <c r="BI58" s="6504"/>
      <c r="BJ58" s="6504"/>
      <c r="BK58" s="6504"/>
      <c r="BL58" s="6504"/>
      <c r="BM58" s="6504"/>
      <c r="BN58" s="10109"/>
      <c r="BO58" s="10109"/>
      <c r="BP58" s="10109"/>
      <c r="BQ58" s="10109"/>
      <c r="BR58" s="10109"/>
      <c r="BS58" s="10109"/>
      <c r="BT58" s="10109"/>
      <c r="BU58" s="10109"/>
      <c r="BV58" s="10109"/>
      <c r="BW58" s="10109"/>
      <c r="BX58" s="10109"/>
      <c r="BY58" s="10109"/>
      <c r="BZ58" s="10109"/>
      <c r="CA58" s="10109"/>
      <c r="CB58" s="10109"/>
      <c r="CC58" s="10109"/>
      <c r="CD58" s="10109"/>
      <c r="CE58" s="10109"/>
      <c r="CF58" s="10109"/>
      <c r="CG58" s="10109"/>
      <c r="CH58" s="10109"/>
      <c r="CI58" s="10109"/>
      <c r="CJ58" s="10109"/>
      <c r="CK58" s="10109"/>
      <c r="CL58" s="10109"/>
      <c r="CM58" s="10109"/>
      <c r="CN58" s="10109"/>
      <c r="CO58" s="10109"/>
      <c r="CP58" s="10109"/>
      <c r="CQ58" s="10109"/>
      <c r="CR58" s="10109"/>
      <c r="CS58" s="10109"/>
      <c r="CT58" s="10109"/>
      <c r="CU58" s="10109"/>
      <c r="CV58" s="10109"/>
      <c r="CW58" s="10109"/>
      <c r="CX58" s="10109"/>
      <c r="CY58" s="10109"/>
      <c r="CZ58" s="10109"/>
      <c r="DA58" s="10109"/>
      <c r="DB58" s="10109"/>
      <c r="DC58" s="10109"/>
      <c r="DD58" s="10109"/>
      <c r="DE58" s="10109"/>
      <c r="DF58" s="10109"/>
      <c r="DG58" s="10109"/>
      <c r="DH58" s="10109"/>
      <c r="DI58" s="10109"/>
      <c r="DJ58" s="10109"/>
      <c r="DK58" s="10109"/>
      <c r="DL58" s="10109"/>
      <c r="DM58" s="10109"/>
      <c r="DN58" s="10109"/>
      <c r="DO58" s="10109"/>
      <c r="DP58" s="10109"/>
      <c r="DQ58" s="10109"/>
      <c r="DR58" s="10109"/>
      <c r="DS58" s="10109"/>
      <c r="DT58" s="10109"/>
      <c r="DU58" s="10109"/>
      <c r="DV58" s="10109"/>
      <c r="DW58" s="10109"/>
      <c r="DX58" s="10109"/>
      <c r="DY58" s="10109"/>
      <c r="DZ58" s="10109"/>
      <c r="EA58" s="10109"/>
      <c r="EB58" s="10109"/>
      <c r="EC58" s="10109"/>
      <c r="ED58" s="10109"/>
      <c r="EE58" s="10109"/>
      <c r="EF58" s="10109"/>
      <c r="EG58" s="10109"/>
      <c r="EH58" s="10109"/>
      <c r="EI58" s="10109"/>
      <c r="EJ58" s="10109"/>
      <c r="EK58" s="10109"/>
      <c r="EL58" s="10109"/>
      <c r="EM58" s="10109"/>
      <c r="EN58" s="10109"/>
      <c r="EO58" s="10109"/>
      <c r="EP58" s="10109"/>
      <c r="EQ58" s="10109"/>
      <c r="ER58" s="10109"/>
      <c r="ES58" s="10109"/>
      <c r="ET58" s="10109"/>
      <c r="EU58" s="10109"/>
      <c r="EV58" s="10109"/>
      <c r="EW58" s="10109"/>
      <c r="EX58" s="10109"/>
      <c r="EY58" s="10109"/>
      <c r="EZ58" s="10109"/>
      <c r="FA58" s="10109"/>
      <c r="FB58" s="10109"/>
      <c r="FC58" s="10109"/>
      <c r="FD58" s="10109"/>
      <c r="FE58" s="10109"/>
      <c r="FF58" s="10109"/>
      <c r="FG58" s="10109"/>
      <c r="FH58" s="10109"/>
      <c r="FI58" s="10109"/>
      <c r="FJ58" s="10109"/>
      <c r="FK58" s="10109"/>
      <c r="FL58" s="10109"/>
      <c r="FM58" s="10109"/>
      <c r="FN58" s="10109"/>
      <c r="FO58" s="10109"/>
      <c r="FP58" s="10109"/>
      <c r="FQ58" s="10109"/>
      <c r="FR58" s="10109"/>
      <c r="FS58" s="10109"/>
      <c r="FT58" s="10109"/>
      <c r="FU58" s="10109"/>
      <c r="FV58" s="10109"/>
      <c r="FW58" s="10109"/>
      <c r="FX58" s="10109"/>
      <c r="FY58" s="10109"/>
      <c r="FZ58" s="10109"/>
      <c r="GA58" s="10109"/>
      <c r="GB58" s="10109"/>
      <c r="GC58" s="10109"/>
      <c r="GD58" s="10109"/>
      <c r="GE58" s="10109"/>
      <c r="GF58" s="10109"/>
      <c r="GG58" s="10109"/>
      <c r="GH58" s="10109"/>
      <c r="GI58" s="10109"/>
      <c r="GJ58" s="10109"/>
      <c r="GK58" s="10109"/>
      <c r="GL58" s="10109"/>
      <c r="GM58" s="10109"/>
      <c r="GN58" s="10109"/>
      <c r="GO58" s="10109"/>
      <c r="GP58" s="10109"/>
      <c r="GQ58" s="10109"/>
      <c r="GR58" s="10109"/>
      <c r="GS58" s="10109"/>
      <c r="GT58" s="10109"/>
      <c r="GU58" s="10109"/>
      <c r="GV58" s="10109"/>
      <c r="GW58" s="10109"/>
      <c r="GX58" s="10109"/>
      <c r="GY58" s="10109"/>
      <c r="GZ58" s="10109"/>
      <c r="HA58" s="10109"/>
      <c r="HB58" s="10109"/>
      <c r="HC58" s="10109"/>
      <c r="HD58" s="10109"/>
      <c r="HE58" s="10109"/>
      <c r="HF58" s="10109"/>
      <c r="HG58" s="10109"/>
      <c r="HH58" s="10109"/>
      <c r="HI58" s="10109"/>
      <c r="HJ58" s="10109"/>
      <c r="HK58" s="10109"/>
      <c r="HL58" s="10109"/>
      <c r="HM58" s="10109"/>
      <c r="HN58" s="10109"/>
      <c r="HO58" s="10109"/>
      <c r="HP58" s="10109"/>
      <c r="HQ58" s="10109"/>
      <c r="HR58" s="10109"/>
      <c r="HS58" s="10109"/>
      <c r="HT58" s="10109"/>
      <c r="HU58" s="10109"/>
      <c r="HV58" s="10109"/>
      <c r="HW58" s="10109"/>
      <c r="HX58" s="10109"/>
      <c r="HY58" s="10109"/>
      <c r="HZ58" s="10109"/>
      <c r="IA58" s="10109"/>
      <c r="IB58" s="10109"/>
      <c r="IC58" s="10109"/>
      <c r="ID58" s="10109"/>
      <c r="IE58" s="10109"/>
      <c r="IF58" s="10109"/>
      <c r="IG58" s="10109"/>
      <c r="IH58" s="10109"/>
      <c r="II58" s="10109"/>
      <c r="IJ58" s="10109"/>
      <c r="IK58" s="10109"/>
      <c r="IL58" s="10109"/>
      <c r="IM58" s="10109"/>
      <c r="IN58" s="10109"/>
      <c r="IO58" s="10109"/>
      <c r="IP58" s="10109"/>
      <c r="IQ58" s="10109"/>
      <c r="IR58" s="10109"/>
      <c r="IS58" s="10109"/>
      <c r="IT58" s="10109"/>
      <c r="IU58" s="10109"/>
      <c r="IV58" s="10109"/>
      <c r="IW58" s="10109"/>
      <c r="IX58" s="10109"/>
      <c r="IY58" s="10109"/>
      <c r="IZ58" s="10109"/>
      <c r="JA58" s="10109"/>
      <c r="JB58" s="10109"/>
      <c r="JC58" s="10109"/>
      <c r="JD58" s="10109"/>
      <c r="JE58" s="10109"/>
      <c r="JF58" s="10109"/>
      <c r="JG58" s="10109"/>
      <c r="JH58" s="10109"/>
      <c r="JI58" s="10109"/>
      <c r="JJ58" s="10109"/>
      <c r="JK58" s="10109"/>
      <c r="JL58" s="10109"/>
      <c r="JM58" s="10109"/>
      <c r="JN58" s="10109"/>
      <c r="JO58" s="10109"/>
      <c r="JP58" s="10109"/>
      <c r="JQ58" s="10109"/>
      <c r="JR58" s="10109"/>
      <c r="JS58" s="10109"/>
      <c r="JT58" s="10109"/>
      <c r="JU58" s="10109"/>
      <c r="JV58" s="10109"/>
      <c r="JW58" s="10109"/>
      <c r="JX58" s="10109"/>
      <c r="JY58" s="10109"/>
      <c r="JZ58" s="10109"/>
      <c r="KA58" s="10109"/>
      <c r="KB58" s="10109"/>
      <c r="KC58" s="10109"/>
      <c r="KD58" s="10109"/>
      <c r="KE58" s="10109"/>
      <c r="KF58" s="10109"/>
      <c r="KG58" s="10109"/>
      <c r="KH58" s="10109"/>
      <c r="KI58" s="10109"/>
      <c r="KJ58" s="10109"/>
      <c r="KK58" s="10109"/>
      <c r="KL58" s="10109"/>
      <c r="KM58" s="10109"/>
      <c r="KN58" s="10109"/>
      <c r="KO58" s="10109"/>
      <c r="KP58" s="10109"/>
      <c r="KQ58" s="10109"/>
      <c r="KR58" s="10109"/>
      <c r="KS58" s="10109"/>
      <c r="KT58" s="10109"/>
      <c r="KU58" s="10109"/>
      <c r="KV58" s="15028"/>
      <c r="KW58" s="15028"/>
      <c r="KX58" s="15028"/>
      <c r="KY58" s="15028"/>
      <c r="KZ58" s="15028"/>
      <c r="LA58" s="15028"/>
      <c r="LB58" s="15028"/>
      <c r="LC58" s="15028"/>
      <c r="LD58" s="15028"/>
      <c r="LE58" s="15028"/>
      <c r="LF58" s="15028"/>
      <c r="LG58" s="15028"/>
      <c r="LH58" s="15028"/>
      <c r="LI58" s="15028"/>
      <c r="LJ58" s="15028"/>
      <c r="LK58" s="15028"/>
      <c r="LL58" s="15028"/>
      <c r="LM58" s="15028"/>
      <c r="LN58" s="15028"/>
      <c r="LO58" s="15028"/>
      <c r="LP58" s="15028"/>
      <c r="LQ58" s="15028"/>
      <c r="LR58" s="15028"/>
      <c r="LS58" s="15028"/>
      <c r="LT58" s="15028"/>
      <c r="LU58" s="15028"/>
      <c r="LV58" s="15028"/>
      <c r="LW58" s="15028"/>
      <c r="LX58" s="15028"/>
      <c r="LY58" s="15028"/>
      <c r="LZ58" s="15028"/>
      <c r="MA58" s="15028"/>
      <c r="MB58" s="15028"/>
      <c r="MC58" s="15028"/>
      <c r="MD58" s="15028"/>
      <c r="ME58" s="15028"/>
      <c r="MF58" s="15028"/>
      <c r="MG58" s="15028"/>
      <c r="MH58" s="15028"/>
      <c r="MI58" s="15028"/>
      <c r="MJ58" s="15028"/>
      <c r="MK58" s="15028"/>
      <c r="ML58" s="15028"/>
      <c r="MM58" s="15028"/>
      <c r="MN58" s="15028"/>
      <c r="MO58" s="15028"/>
      <c r="MP58" s="15028"/>
      <c r="MQ58" s="15028"/>
      <c r="MR58" s="15028"/>
      <c r="MS58" s="15028"/>
      <c r="MT58" s="15028"/>
      <c r="MU58" s="15028"/>
      <c r="MV58" s="15028"/>
      <c r="MW58" s="15028"/>
      <c r="MX58" s="15028"/>
      <c r="MY58" s="15028"/>
      <c r="MZ58" s="15028"/>
      <c r="NA58" s="15028"/>
      <c r="NB58" s="15028"/>
      <c r="NC58" s="15028"/>
      <c r="ND58" s="15028"/>
      <c r="NE58" s="15028"/>
      <c r="NF58" s="15028"/>
      <c r="NG58" s="15028"/>
      <c r="NH58" s="15028"/>
      <c r="NI58" s="15028"/>
      <c r="NJ58" s="15028"/>
      <c r="NK58" s="15028"/>
      <c r="NL58" s="15028"/>
      <c r="NM58" s="15028"/>
      <c r="NN58" s="15028"/>
      <c r="NO58" s="15028"/>
      <c r="NP58" s="15028"/>
      <c r="NQ58" s="15028"/>
      <c r="NR58" s="15028"/>
      <c r="NS58" s="15028"/>
      <c r="NT58" s="15028"/>
      <c r="NU58" s="15028"/>
      <c r="NV58" s="15028"/>
      <c r="NW58" s="15028"/>
      <c r="NX58" s="15028"/>
      <c r="NY58" s="15028"/>
      <c r="NZ58" s="15028"/>
      <c r="OA58" s="15028"/>
      <c r="OB58" s="15028"/>
      <c r="OC58" s="15028"/>
      <c r="OD58" s="15028"/>
      <c r="OE58" s="15028"/>
      <c r="OF58" s="15028"/>
      <c r="OG58" s="15028"/>
      <c r="OH58" s="15028"/>
      <c r="OI58" s="15028"/>
      <c r="OJ58" s="15028"/>
      <c r="OK58" s="15028"/>
      <c r="OL58" s="15028"/>
      <c r="OM58" s="15028"/>
      <c r="ON58" s="15028"/>
      <c r="OO58" s="15028"/>
      <c r="OP58" s="15028"/>
      <c r="OQ58" s="1552"/>
      <c r="OR58" s="1552"/>
      <c r="OT58" s="1012"/>
      <c r="OU58" s="1012" t="str">
        <f>IF(T58="","",T58)</f>
        <v>Добавить наименование тарифа</v>
      </c>
      <c r="OV58" s="1012"/>
      <c r="OW58" s="1012"/>
    </row>
    <row customHeight="1" ht="11.25">
      <c r="M59" s="1385"/>
      <c r="N59" s="1385"/>
      <c r="O59" s="760"/>
      <c r="P59" s="1380"/>
      <c r="Q59" s="1380"/>
      <c r="R59" s="1380"/>
      <c r="S59" s="1380"/>
      <c r="AR59" s="6423"/>
      <c r="AS59" s="6423"/>
      <c r="AT59" s="6423"/>
      <c r="AU59" s="6423"/>
      <c r="AV59" s="6423"/>
      <c r="AW59" s="6423"/>
      <c r="AX59" s="6423"/>
      <c r="AY59" s="6423"/>
      <c r="AZ59" s="6423"/>
      <c r="BA59" s="6423"/>
      <c r="BB59" s="6423"/>
      <c r="BC59" s="6423"/>
      <c r="BD59" s="6423"/>
      <c r="BE59" s="6423"/>
      <c r="BF59" s="6423"/>
      <c r="BG59" s="6423"/>
      <c r="BH59" s="6423"/>
      <c r="BI59" s="6423"/>
      <c r="BJ59" s="6423"/>
      <c r="BK59" s="6423"/>
      <c r="BL59" s="6423"/>
      <c r="BM59" s="6423"/>
      <c r="BN59" s="9287"/>
      <c r="BO59" s="9287"/>
      <c r="BP59" s="9287"/>
      <c r="BQ59" s="9287"/>
      <c r="BR59" s="9287"/>
      <c r="BS59" s="9287"/>
      <c r="BT59" s="9287"/>
      <c r="BU59" s="9287"/>
      <c r="BV59" s="9287"/>
      <c r="BW59" s="9287"/>
      <c r="BX59" s="9287"/>
      <c r="BY59" s="9287"/>
      <c r="BZ59" s="9287"/>
      <c r="CA59" s="9287"/>
      <c r="CB59" s="9287"/>
      <c r="CC59" s="9287"/>
      <c r="CD59" s="9287"/>
      <c r="CE59" s="9287"/>
      <c r="CF59" s="9287"/>
      <c r="CG59" s="9287"/>
      <c r="CH59" s="9287"/>
      <c r="CI59" s="9287"/>
      <c r="CJ59" s="9287"/>
      <c r="CK59" s="9287"/>
      <c r="CL59" s="9287"/>
      <c r="CM59" s="9287"/>
      <c r="CN59" s="9287"/>
      <c r="CO59" s="9287"/>
      <c r="CP59" s="9287"/>
      <c r="CQ59" s="9287"/>
      <c r="CR59" s="9287"/>
      <c r="CS59" s="9287"/>
      <c r="CT59" s="9287"/>
      <c r="CU59" s="9287"/>
      <c r="CV59" s="9287"/>
      <c r="CW59" s="9287"/>
      <c r="CX59" s="9287"/>
      <c r="CY59" s="9287"/>
      <c r="CZ59" s="9287"/>
      <c r="DA59" s="9287"/>
      <c r="DB59" s="9287"/>
      <c r="DC59" s="9287"/>
      <c r="DD59" s="9287"/>
      <c r="DE59" s="9287"/>
      <c r="DF59" s="9287"/>
      <c r="DG59" s="9287"/>
      <c r="DH59" s="9287"/>
      <c r="DI59" s="9287"/>
      <c r="DJ59" s="9287"/>
      <c r="DK59" s="9287"/>
      <c r="DL59" s="9287"/>
      <c r="DM59" s="9287"/>
      <c r="DN59" s="9287"/>
      <c r="DO59" s="9287"/>
      <c r="DP59" s="9287"/>
      <c r="DQ59" s="9287"/>
      <c r="DR59" s="9287"/>
      <c r="DS59" s="9287"/>
      <c r="DT59" s="9287"/>
      <c r="DU59" s="9287"/>
      <c r="DV59" s="9287"/>
      <c r="DW59" s="9287"/>
      <c r="DX59" s="9287"/>
      <c r="DY59" s="9287"/>
      <c r="DZ59" s="9287"/>
      <c r="EA59" s="9287"/>
      <c r="EB59" s="9287"/>
      <c r="EC59" s="9287"/>
      <c r="ED59" s="9287"/>
      <c r="EE59" s="9287"/>
      <c r="EF59" s="9287"/>
      <c r="EG59" s="9287"/>
      <c r="EH59" s="9287"/>
      <c r="EI59" s="9287"/>
      <c r="EJ59" s="9287"/>
      <c r="EK59" s="9287"/>
      <c r="EL59" s="9287"/>
      <c r="EM59" s="9287"/>
      <c r="EN59" s="9287"/>
      <c r="EO59" s="9287"/>
      <c r="EP59" s="9287"/>
      <c r="EQ59" s="9287"/>
      <c r="ER59" s="9287"/>
      <c r="ES59" s="9287"/>
      <c r="ET59" s="9287"/>
      <c r="EU59" s="9287"/>
      <c r="EV59" s="9287"/>
      <c r="EW59" s="9287"/>
      <c r="EX59" s="9287"/>
      <c r="EY59" s="9287"/>
      <c r="EZ59" s="9287"/>
      <c r="FA59" s="9287"/>
      <c r="FB59" s="9287"/>
      <c r="FC59" s="9287"/>
      <c r="FD59" s="9287"/>
      <c r="FE59" s="9287"/>
      <c r="FF59" s="9287"/>
      <c r="FG59" s="9287"/>
      <c r="FH59" s="9287"/>
      <c r="FI59" s="9287"/>
      <c r="FJ59" s="9287"/>
      <c r="FK59" s="9287"/>
      <c r="FL59" s="9287"/>
      <c r="FM59" s="9287"/>
      <c r="FN59" s="9287"/>
      <c r="FO59" s="9287"/>
      <c r="FP59" s="9287"/>
      <c r="FQ59" s="9287"/>
      <c r="FR59" s="9287"/>
      <c r="FS59" s="9287"/>
      <c r="FT59" s="9287"/>
      <c r="FU59" s="9287"/>
      <c r="FV59" s="9287"/>
      <c r="FW59" s="9287"/>
      <c r="FX59" s="9287"/>
      <c r="FY59" s="9287"/>
      <c r="FZ59" s="9287"/>
      <c r="GA59" s="9287"/>
      <c r="GB59" s="9287"/>
      <c r="GC59" s="9287"/>
      <c r="GD59" s="9287"/>
      <c r="GE59" s="9287"/>
      <c r="GF59" s="9287"/>
      <c r="GG59" s="9287"/>
      <c r="GH59" s="9287"/>
      <c r="GI59" s="9287"/>
      <c r="GJ59" s="9287"/>
      <c r="GK59" s="9287"/>
      <c r="GL59" s="9287"/>
      <c r="GM59" s="9287"/>
      <c r="GN59" s="9287"/>
      <c r="GO59" s="9287"/>
      <c r="GP59" s="9287"/>
      <c r="GQ59" s="9287"/>
      <c r="GR59" s="9287"/>
      <c r="GS59" s="9287"/>
      <c r="GT59" s="9287"/>
      <c r="GU59" s="9287"/>
      <c r="GV59" s="9287"/>
      <c r="GW59" s="9287"/>
      <c r="GX59" s="9287"/>
      <c r="GY59" s="9287"/>
      <c r="GZ59" s="9287"/>
      <c r="HA59" s="9287"/>
      <c r="HB59" s="9287"/>
      <c r="HC59" s="9287"/>
      <c r="HD59" s="9287"/>
      <c r="HE59" s="9287"/>
      <c r="HF59" s="9287"/>
      <c r="HG59" s="9287"/>
      <c r="HH59" s="9287"/>
      <c r="HI59" s="9287"/>
      <c r="HJ59" s="9287"/>
      <c r="HK59" s="9287"/>
      <c r="HL59" s="9287"/>
      <c r="HM59" s="9287"/>
      <c r="HN59" s="9287"/>
      <c r="HO59" s="9287"/>
      <c r="HP59" s="9287"/>
      <c r="HQ59" s="9287"/>
      <c r="HR59" s="9287"/>
      <c r="HS59" s="9287"/>
      <c r="HT59" s="9287"/>
      <c r="HU59" s="9287"/>
      <c r="HV59" s="9287"/>
      <c r="HW59" s="9287"/>
      <c r="HX59" s="9287"/>
      <c r="HY59" s="9287"/>
      <c r="HZ59" s="9287"/>
      <c r="IA59" s="9287"/>
      <c r="IB59" s="9287"/>
      <c r="IC59" s="9287"/>
      <c r="ID59" s="9287"/>
      <c r="IE59" s="9287"/>
      <c r="IF59" s="9287"/>
      <c r="IG59" s="9287"/>
      <c r="IH59" s="9287"/>
      <c r="II59" s="9287"/>
      <c r="IJ59" s="9287"/>
      <c r="IK59" s="9287"/>
      <c r="IL59" s="9287"/>
      <c r="IM59" s="9287"/>
      <c r="IN59" s="9287"/>
      <c r="IO59" s="9287"/>
      <c r="IP59" s="9287"/>
      <c r="IQ59" s="9287"/>
      <c r="IR59" s="9287"/>
      <c r="IS59" s="9287"/>
      <c r="IT59" s="9287"/>
      <c r="IU59" s="9287"/>
      <c r="IV59" s="9287"/>
      <c r="IW59" s="9287"/>
      <c r="IX59" s="9287"/>
      <c r="IY59" s="9287"/>
      <c r="IZ59" s="9287"/>
      <c r="JA59" s="9287"/>
      <c r="JB59" s="9287"/>
      <c r="JC59" s="9287"/>
      <c r="JD59" s="9287"/>
      <c r="JE59" s="9287"/>
      <c r="JF59" s="9287"/>
      <c r="JG59" s="9287"/>
      <c r="JH59" s="9287"/>
      <c r="JI59" s="9287"/>
      <c r="JJ59" s="9287"/>
      <c r="JK59" s="9287"/>
      <c r="JL59" s="9287"/>
      <c r="JM59" s="9287"/>
      <c r="JN59" s="9287"/>
      <c r="JO59" s="9287"/>
      <c r="JP59" s="9287"/>
      <c r="JQ59" s="9287"/>
      <c r="JR59" s="9287"/>
      <c r="JS59" s="9287"/>
      <c r="JT59" s="9287"/>
      <c r="JU59" s="9287"/>
      <c r="JV59" s="9287"/>
      <c r="JW59" s="9287"/>
      <c r="JX59" s="9287"/>
      <c r="JY59" s="9287"/>
      <c r="JZ59" s="9287"/>
      <c r="KA59" s="9287"/>
      <c r="KB59" s="9287"/>
      <c r="KC59" s="9287"/>
      <c r="KD59" s="9287"/>
      <c r="KE59" s="9287"/>
      <c r="KF59" s="9287"/>
      <c r="KG59" s="9287"/>
      <c r="KH59" s="9287"/>
      <c r="KI59" s="9287"/>
      <c r="KJ59" s="9287"/>
      <c r="KK59" s="9287"/>
      <c r="KL59" s="9287"/>
      <c r="KM59" s="9287"/>
      <c r="KN59" s="9287"/>
      <c r="KO59" s="9287"/>
      <c r="KP59" s="9287"/>
      <c r="KQ59" s="9287"/>
      <c r="KR59" s="9287"/>
      <c r="KS59" s="9287"/>
      <c r="KT59" s="9287"/>
      <c r="KU59" s="9287"/>
      <c r="KV59" s="13894"/>
      <c r="KW59" s="13894"/>
      <c r="KX59" s="13894"/>
      <c r="KY59" s="13894"/>
      <c r="KZ59" s="13894"/>
      <c r="LA59" s="13894"/>
      <c r="LB59" s="13894"/>
      <c r="LC59" s="13894"/>
      <c r="LD59" s="13894"/>
      <c r="LE59" s="13894"/>
      <c r="LF59" s="13894"/>
      <c r="LG59" s="13894"/>
      <c r="LH59" s="13894"/>
      <c r="LI59" s="13894"/>
      <c r="LJ59" s="13894"/>
      <c r="LK59" s="13894"/>
      <c r="LL59" s="13894"/>
      <c r="LM59" s="13894"/>
      <c r="LN59" s="13894"/>
      <c r="LO59" s="13894"/>
      <c r="LP59" s="13894"/>
      <c r="LQ59" s="13894"/>
      <c r="LR59" s="13894"/>
      <c r="LS59" s="13894"/>
      <c r="LT59" s="13894"/>
      <c r="LU59" s="13894"/>
      <c r="LV59" s="13894"/>
      <c r="LW59" s="13894"/>
      <c r="LX59" s="13894"/>
      <c r="LY59" s="13894"/>
      <c r="LZ59" s="13894"/>
      <c r="MA59" s="13894"/>
      <c r="MB59" s="13894"/>
      <c r="MC59" s="13894"/>
      <c r="MD59" s="13894"/>
      <c r="ME59" s="13894"/>
      <c r="MF59" s="13894"/>
      <c r="MG59" s="13894"/>
      <c r="MH59" s="13894"/>
      <c r="MI59" s="13894"/>
      <c r="MJ59" s="13894"/>
      <c r="MK59" s="13894"/>
      <c r="ML59" s="13894"/>
      <c r="MM59" s="13894"/>
      <c r="MN59" s="13894"/>
      <c r="MO59" s="13894"/>
      <c r="MP59" s="13894"/>
      <c r="MQ59" s="13894"/>
      <c r="MR59" s="13894"/>
      <c r="MS59" s="13894"/>
      <c r="MT59" s="13894"/>
      <c r="MU59" s="13894"/>
      <c r="MV59" s="13894"/>
      <c r="MW59" s="13894"/>
      <c r="MX59" s="13894"/>
      <c r="MY59" s="13894"/>
      <c r="MZ59" s="13894"/>
      <c r="NA59" s="13894"/>
      <c r="NB59" s="13894"/>
      <c r="NC59" s="13894"/>
      <c r="ND59" s="13894"/>
      <c r="NE59" s="13894"/>
      <c r="NF59" s="13894"/>
      <c r="NG59" s="13894"/>
      <c r="NH59" s="13894"/>
      <c r="NI59" s="13894"/>
      <c r="NJ59" s="13894"/>
      <c r="NK59" s="13894"/>
      <c r="NL59" s="13894"/>
      <c r="NM59" s="13894"/>
      <c r="NN59" s="13894"/>
      <c r="NO59" s="13894"/>
      <c r="NP59" s="13894"/>
      <c r="NQ59" s="13894"/>
      <c r="NR59" s="13894"/>
      <c r="NS59" s="13894"/>
      <c r="NT59" s="13894"/>
      <c r="NU59" s="13894"/>
      <c r="NV59" s="13894"/>
      <c r="NW59" s="13894"/>
      <c r="NX59" s="13894"/>
      <c r="NY59" s="13894"/>
      <c r="NZ59" s="13894"/>
      <c r="OA59" s="13894"/>
      <c r="OB59" s="13894"/>
      <c r="OC59" s="13894"/>
      <c r="OD59" s="13894"/>
      <c r="OE59" s="13894"/>
      <c r="OF59" s="13894"/>
      <c r="OG59" s="13894"/>
      <c r="OH59" s="13894"/>
      <c r="OI59" s="13894"/>
      <c r="OJ59" s="13894"/>
      <c r="OK59" s="13894"/>
      <c r="OL59" s="13894"/>
      <c r="OM59" s="13894"/>
      <c r="ON59" s="13894"/>
      <c r="OO59" s="13894"/>
      <c r="OP59" s="13894"/>
      <c r="OS59" s="1380"/>
      <c r="OT59" s="1380"/>
      <c r="OU59" s="1380"/>
      <c r="OV59" s="1380"/>
      <c r="OW59" s="1380"/>
    </row>
    <row customHeight="1" ht="14.25">
      <c r="O60" s="760"/>
      <c r="S60" s="1480"/>
      <c r="T60" s="2388"/>
      <c r="U60" s="2388"/>
      <c r="V60" s="2388"/>
      <c r="W60" s="2388"/>
      <c r="X60" s="2388"/>
      <c r="Y60" s="2388"/>
      <c r="Z60" s="2388"/>
      <c r="AA60" s="2388"/>
      <c r="AB60" s="2388"/>
      <c r="AC60" s="2388"/>
      <c r="AD60" s="2388"/>
      <c r="AE60" s="2388"/>
      <c r="AF60" s="2388"/>
      <c r="AG60" s="2388"/>
      <c r="AH60" s="2388"/>
      <c r="AI60" s="2388"/>
      <c r="AJ60" s="2388"/>
      <c r="AK60" s="2388"/>
      <c r="AL60" s="2388"/>
      <c r="AM60" s="2388"/>
      <c r="AN60" s="2388"/>
      <c r="AO60" s="2388"/>
      <c r="AP60" s="2388"/>
      <c r="AQ60" s="2388"/>
      <c r="AR60" s="6680"/>
      <c r="AS60" s="6680"/>
      <c r="AT60" s="6680"/>
      <c r="AU60" s="6680"/>
      <c r="AV60" s="6680"/>
      <c r="AW60" s="6680"/>
      <c r="AX60" s="6680"/>
      <c r="AY60" s="6680"/>
      <c r="AZ60" s="6680"/>
      <c r="BA60" s="6680"/>
      <c r="BB60" s="6680"/>
      <c r="BC60" s="6680"/>
      <c r="BD60" s="6680"/>
      <c r="BE60" s="6680"/>
      <c r="BF60" s="6680"/>
      <c r="BG60" s="6680"/>
      <c r="BH60" s="6680"/>
      <c r="BI60" s="6680"/>
      <c r="BJ60" s="6680"/>
      <c r="BK60" s="6680"/>
      <c r="BL60" s="6680"/>
      <c r="BM60" s="6680"/>
      <c r="BN60" s="11286"/>
      <c r="BO60" s="11286"/>
      <c r="BP60" s="11286"/>
      <c r="BQ60" s="11286"/>
      <c r="BR60" s="11286"/>
      <c r="BS60" s="11286"/>
      <c r="BT60" s="11286"/>
      <c r="BU60" s="11286"/>
      <c r="BV60" s="11286"/>
      <c r="BW60" s="11286"/>
      <c r="BX60" s="11286"/>
      <c r="BY60" s="11286"/>
      <c r="BZ60" s="11286"/>
      <c r="CA60" s="11286"/>
      <c r="CB60" s="11286"/>
      <c r="CC60" s="11286"/>
      <c r="CD60" s="11286"/>
      <c r="CE60" s="11286"/>
      <c r="CF60" s="11286"/>
      <c r="CG60" s="11286"/>
      <c r="CH60" s="11286"/>
      <c r="CI60" s="11286"/>
      <c r="CJ60" s="11286"/>
      <c r="CK60" s="11286"/>
      <c r="CL60" s="11286"/>
      <c r="CM60" s="11286"/>
      <c r="CN60" s="11286"/>
      <c r="CO60" s="11286"/>
      <c r="CP60" s="11286"/>
      <c r="CQ60" s="11286"/>
      <c r="CR60" s="11286"/>
      <c r="CS60" s="11286"/>
      <c r="CT60" s="11286"/>
      <c r="CU60" s="11286"/>
      <c r="CV60" s="11286"/>
      <c r="CW60" s="11286"/>
      <c r="CX60" s="11286"/>
      <c r="CY60" s="11286"/>
      <c r="CZ60" s="11286"/>
      <c r="DA60" s="11286"/>
      <c r="DB60" s="11286"/>
      <c r="DC60" s="11286"/>
      <c r="DD60" s="11286"/>
      <c r="DE60" s="11286"/>
      <c r="DF60" s="11286"/>
      <c r="DG60" s="11286"/>
      <c r="DH60" s="11286"/>
      <c r="DI60" s="11286"/>
      <c r="DJ60" s="11286"/>
      <c r="DK60" s="11286"/>
      <c r="DL60" s="11286"/>
      <c r="DM60" s="11286"/>
      <c r="DN60" s="11286"/>
      <c r="DO60" s="11286"/>
      <c r="DP60" s="11286"/>
      <c r="DQ60" s="11286"/>
      <c r="DR60" s="11286"/>
      <c r="DS60" s="11286"/>
      <c r="DT60" s="11286"/>
      <c r="DU60" s="11286"/>
      <c r="DV60" s="11286"/>
      <c r="DW60" s="11286"/>
      <c r="DX60" s="11286"/>
      <c r="DY60" s="11286"/>
      <c r="DZ60" s="11286"/>
      <c r="EA60" s="11286"/>
      <c r="EB60" s="11286"/>
      <c r="EC60" s="11286"/>
      <c r="ED60" s="11286"/>
      <c r="EE60" s="11286"/>
      <c r="EF60" s="11286"/>
      <c r="EG60" s="11286"/>
      <c r="EH60" s="11286"/>
      <c r="EI60" s="11286"/>
      <c r="EJ60" s="11286"/>
      <c r="EK60" s="11286"/>
      <c r="EL60" s="11286"/>
      <c r="EM60" s="11286"/>
      <c r="EN60" s="11286"/>
      <c r="EO60" s="11286"/>
      <c r="EP60" s="11286"/>
      <c r="EQ60" s="11286"/>
      <c r="ER60" s="11286"/>
      <c r="ES60" s="11286"/>
      <c r="ET60" s="11286"/>
      <c r="EU60" s="11286"/>
      <c r="EV60" s="11286"/>
      <c r="EW60" s="11286"/>
      <c r="EX60" s="11286"/>
      <c r="EY60" s="11286"/>
      <c r="EZ60" s="11286"/>
      <c r="FA60" s="11286"/>
      <c r="FB60" s="11286"/>
      <c r="FC60" s="11286"/>
      <c r="FD60" s="11286"/>
      <c r="FE60" s="11286"/>
      <c r="FF60" s="11286"/>
      <c r="FG60" s="11286"/>
      <c r="FH60" s="11286"/>
      <c r="FI60" s="11286"/>
      <c r="FJ60" s="11286"/>
      <c r="FK60" s="11286"/>
      <c r="FL60" s="11286"/>
      <c r="FM60" s="11286"/>
      <c r="FN60" s="11286"/>
      <c r="FO60" s="11286"/>
      <c r="FP60" s="11286"/>
      <c r="FQ60" s="11286"/>
      <c r="FR60" s="11286"/>
      <c r="FS60" s="11286"/>
      <c r="FT60" s="11286"/>
      <c r="FU60" s="11286"/>
      <c r="FV60" s="11286"/>
      <c r="FW60" s="11286"/>
      <c r="FX60" s="11286"/>
      <c r="FY60" s="11286"/>
      <c r="FZ60" s="11286"/>
      <c r="GA60" s="11286"/>
      <c r="GB60" s="11286"/>
      <c r="GC60" s="11286"/>
      <c r="GD60" s="11286"/>
      <c r="GE60" s="11286"/>
      <c r="GF60" s="11286"/>
      <c r="GG60" s="11286"/>
      <c r="GH60" s="11286"/>
      <c r="GI60" s="11286"/>
      <c r="GJ60" s="11286"/>
      <c r="GK60" s="11286"/>
      <c r="GL60" s="11286"/>
      <c r="GM60" s="11286"/>
      <c r="GN60" s="11286"/>
      <c r="GO60" s="11286"/>
      <c r="GP60" s="11286"/>
      <c r="GQ60" s="11286"/>
      <c r="GR60" s="11286"/>
      <c r="GS60" s="11286"/>
      <c r="GT60" s="11286"/>
      <c r="GU60" s="11286"/>
      <c r="GV60" s="11286"/>
      <c r="GW60" s="11286"/>
      <c r="GX60" s="11286"/>
      <c r="GY60" s="11286"/>
      <c r="GZ60" s="11286"/>
      <c r="HA60" s="11286"/>
      <c r="HB60" s="11286"/>
      <c r="HC60" s="11286"/>
      <c r="HD60" s="11286"/>
      <c r="HE60" s="11286"/>
      <c r="HF60" s="11286"/>
      <c r="HG60" s="11286"/>
      <c r="HH60" s="11286"/>
      <c r="HI60" s="11286"/>
      <c r="HJ60" s="11286"/>
      <c r="HK60" s="11286"/>
      <c r="HL60" s="11286"/>
      <c r="HM60" s="11286"/>
      <c r="HN60" s="11286"/>
      <c r="HO60" s="11286"/>
      <c r="HP60" s="11286"/>
      <c r="HQ60" s="11286"/>
      <c r="HR60" s="11286"/>
      <c r="HS60" s="11286"/>
      <c r="HT60" s="11286"/>
      <c r="HU60" s="11286"/>
      <c r="HV60" s="11286"/>
      <c r="HW60" s="11286"/>
      <c r="HX60" s="11286"/>
      <c r="HY60" s="11286"/>
      <c r="HZ60" s="11286"/>
      <c r="IA60" s="11286"/>
      <c r="IB60" s="11286"/>
      <c r="IC60" s="11286"/>
      <c r="ID60" s="11286"/>
      <c r="IE60" s="11286"/>
      <c r="IF60" s="11286"/>
      <c r="IG60" s="11286"/>
      <c r="IH60" s="11286"/>
      <c r="II60" s="11286"/>
      <c r="IJ60" s="11286"/>
      <c r="IK60" s="11286"/>
      <c r="IL60" s="11286"/>
      <c r="IM60" s="11286"/>
      <c r="IN60" s="11286"/>
      <c r="IO60" s="11286"/>
      <c r="IP60" s="11286"/>
      <c r="IQ60" s="11286"/>
      <c r="IR60" s="11286"/>
      <c r="IS60" s="11286"/>
      <c r="IT60" s="11286"/>
      <c r="IU60" s="11286"/>
      <c r="IV60" s="11286"/>
      <c r="IW60" s="11286"/>
      <c r="IX60" s="11286"/>
      <c r="IY60" s="11286"/>
      <c r="IZ60" s="11286"/>
      <c r="JA60" s="11286"/>
      <c r="JB60" s="11286"/>
      <c r="JC60" s="11286"/>
      <c r="JD60" s="11286"/>
      <c r="JE60" s="11286"/>
      <c r="JF60" s="11286"/>
      <c r="JG60" s="11286"/>
      <c r="JH60" s="11286"/>
      <c r="JI60" s="11286"/>
      <c r="JJ60" s="11286"/>
      <c r="JK60" s="11286"/>
      <c r="JL60" s="11286"/>
      <c r="JM60" s="11286"/>
      <c r="JN60" s="11286"/>
      <c r="JO60" s="11286"/>
      <c r="JP60" s="11286"/>
      <c r="JQ60" s="11286"/>
      <c r="JR60" s="11286"/>
      <c r="JS60" s="11286"/>
      <c r="JT60" s="11286"/>
      <c r="JU60" s="11286"/>
      <c r="JV60" s="11286"/>
      <c r="JW60" s="11286"/>
      <c r="JX60" s="11286"/>
      <c r="JY60" s="11286"/>
      <c r="JZ60" s="11286"/>
      <c r="KA60" s="11286"/>
      <c r="KB60" s="11286"/>
      <c r="KC60" s="11286"/>
      <c r="KD60" s="11286"/>
      <c r="KE60" s="11286"/>
      <c r="KF60" s="11286"/>
      <c r="KG60" s="11286"/>
      <c r="KH60" s="11286"/>
      <c r="KI60" s="11286"/>
      <c r="KJ60" s="11286"/>
      <c r="KK60" s="11286"/>
      <c r="KL60" s="11286"/>
      <c r="KM60" s="11286"/>
      <c r="KN60" s="11286"/>
      <c r="KO60" s="11286"/>
      <c r="KP60" s="11286"/>
      <c r="KQ60" s="11286"/>
      <c r="KR60" s="11286"/>
      <c r="KS60" s="11286"/>
      <c r="KT60" s="11286"/>
      <c r="KU60" s="11286"/>
      <c r="KV60" s="16634"/>
      <c r="KW60" s="16634"/>
      <c r="KX60" s="16634"/>
      <c r="KY60" s="16634"/>
      <c r="KZ60" s="16634"/>
      <c r="LA60" s="16634"/>
      <c r="LB60" s="16634"/>
      <c r="LC60" s="16634"/>
      <c r="LD60" s="16634"/>
      <c r="LE60" s="16634"/>
      <c r="LF60" s="16634"/>
      <c r="LG60" s="16634"/>
      <c r="LH60" s="16634"/>
      <c r="LI60" s="16634"/>
      <c r="LJ60" s="16634"/>
      <c r="LK60" s="16634"/>
      <c r="LL60" s="16634"/>
      <c r="LM60" s="16634"/>
      <c r="LN60" s="16634"/>
      <c r="LO60" s="16634"/>
      <c r="LP60" s="16634"/>
      <c r="LQ60" s="16634"/>
      <c r="LR60" s="16634"/>
      <c r="LS60" s="16634"/>
      <c r="LT60" s="16634"/>
      <c r="LU60" s="16634"/>
      <c r="LV60" s="16634"/>
      <c r="LW60" s="16634"/>
      <c r="LX60" s="16634"/>
      <c r="LY60" s="16634"/>
      <c r="LZ60" s="16634"/>
      <c r="MA60" s="16634"/>
      <c r="MB60" s="16634"/>
      <c r="MC60" s="16634"/>
      <c r="MD60" s="16634"/>
      <c r="ME60" s="16634"/>
      <c r="MF60" s="16634"/>
      <c r="MG60" s="16634"/>
      <c r="MH60" s="16634"/>
      <c r="MI60" s="16634"/>
      <c r="MJ60" s="16634"/>
      <c r="MK60" s="16634"/>
      <c r="ML60" s="16634"/>
      <c r="MM60" s="16634"/>
      <c r="MN60" s="16634"/>
      <c r="MO60" s="16634"/>
      <c r="MP60" s="16634"/>
      <c r="MQ60" s="16634"/>
      <c r="MR60" s="16634"/>
      <c r="MS60" s="16634"/>
      <c r="MT60" s="16634"/>
      <c r="MU60" s="16634"/>
      <c r="MV60" s="16634"/>
      <c r="MW60" s="16634"/>
      <c r="MX60" s="16634"/>
      <c r="MY60" s="16634"/>
      <c r="MZ60" s="16634"/>
      <c r="NA60" s="16634"/>
      <c r="NB60" s="16634"/>
      <c r="NC60" s="16634"/>
      <c r="ND60" s="16634"/>
      <c r="NE60" s="16634"/>
      <c r="NF60" s="16634"/>
      <c r="NG60" s="16634"/>
      <c r="NH60" s="16634"/>
      <c r="NI60" s="16634"/>
      <c r="NJ60" s="16634"/>
      <c r="NK60" s="16634"/>
      <c r="NL60" s="16634"/>
      <c r="NM60" s="16634"/>
      <c r="NN60" s="16634"/>
      <c r="NO60" s="16634"/>
      <c r="NP60" s="16634"/>
      <c r="NQ60" s="16634"/>
      <c r="NR60" s="16634"/>
      <c r="NS60" s="16634"/>
      <c r="NT60" s="16634"/>
      <c r="NU60" s="16634"/>
      <c r="NV60" s="16634"/>
      <c r="NW60" s="16634"/>
      <c r="NX60" s="16634"/>
      <c r="NY60" s="16634"/>
      <c r="NZ60" s="16634"/>
      <c r="OA60" s="16634"/>
      <c r="OB60" s="16634"/>
      <c r="OC60" s="16634"/>
      <c r="OD60" s="16634"/>
      <c r="OE60" s="16634"/>
      <c r="OF60" s="16634"/>
      <c r="OG60" s="16634"/>
      <c r="OH60" s="16634"/>
      <c r="OI60" s="16634"/>
      <c r="OJ60" s="16634"/>
      <c r="OK60" s="16634"/>
      <c r="OL60" s="16634"/>
      <c r="OM60" s="16634"/>
      <c r="ON60" s="16634"/>
      <c r="OO60" s="16634"/>
      <c r="OP60" s="16634"/>
      <c r="OQ60" s="2388"/>
      <c r="OR60" s="2388"/>
    </row>
    <row customHeight="1" ht="14.25">
      <c r="O61" s="760"/>
      <c r="AR61" s="6423"/>
      <c r="AS61" s="6423"/>
      <c r="AT61" s="6423"/>
      <c r="AU61" s="6423"/>
      <c r="AV61" s="6423"/>
      <c r="AW61" s="6423"/>
      <c r="AX61" s="6423"/>
      <c r="AY61" s="6423"/>
      <c r="AZ61" s="6423"/>
      <c r="BA61" s="6423"/>
      <c r="BB61" s="6423"/>
      <c r="BC61" s="6423"/>
      <c r="BD61" s="6423"/>
      <c r="BE61" s="6423"/>
      <c r="BF61" s="6423"/>
      <c r="BG61" s="6423"/>
      <c r="BH61" s="6423"/>
      <c r="BI61" s="6423"/>
      <c r="BJ61" s="6423"/>
      <c r="BK61" s="6423"/>
      <c r="BL61" s="6423"/>
      <c r="BM61" s="6423"/>
      <c r="BN61" s="9287"/>
      <c r="BO61" s="9287"/>
      <c r="BP61" s="9287"/>
      <c r="BQ61" s="9287"/>
      <c r="BR61" s="9287"/>
      <c r="BS61" s="9287"/>
      <c r="BT61" s="9287"/>
      <c r="BU61" s="9287"/>
      <c r="BV61" s="9287"/>
      <c r="BW61" s="9287"/>
      <c r="BX61" s="9287"/>
      <c r="BY61" s="9287"/>
      <c r="BZ61" s="9287"/>
      <c r="CA61" s="9287"/>
      <c r="CB61" s="9287"/>
      <c r="CC61" s="9287"/>
      <c r="CD61" s="9287"/>
      <c r="CE61" s="9287"/>
      <c r="CF61" s="9287"/>
      <c r="CG61" s="9287"/>
      <c r="CH61" s="9287"/>
      <c r="CI61" s="9287"/>
      <c r="CJ61" s="9287"/>
      <c r="CK61" s="9287"/>
      <c r="CL61" s="9287"/>
      <c r="CM61" s="9287"/>
      <c r="CN61" s="9287"/>
      <c r="CO61" s="9287"/>
      <c r="CP61" s="9287"/>
      <c r="CQ61" s="9287"/>
      <c r="CR61" s="9287"/>
      <c r="CS61" s="9287"/>
      <c r="CT61" s="9287"/>
      <c r="CU61" s="9287"/>
      <c r="CV61" s="9287"/>
      <c r="CW61" s="9287"/>
      <c r="CX61" s="9287"/>
      <c r="CY61" s="9287"/>
      <c r="CZ61" s="9287"/>
      <c r="DA61" s="9287"/>
      <c r="DB61" s="9287"/>
      <c r="DC61" s="9287"/>
      <c r="DD61" s="9287"/>
      <c r="DE61" s="9287"/>
      <c r="DF61" s="9287"/>
      <c r="DG61" s="9287"/>
      <c r="DH61" s="9287"/>
      <c r="DI61" s="9287"/>
      <c r="DJ61" s="9287"/>
      <c r="DK61" s="9287"/>
      <c r="DL61" s="9287"/>
      <c r="DM61" s="9287"/>
      <c r="DN61" s="9287"/>
      <c r="DO61" s="9287"/>
      <c r="DP61" s="9287"/>
      <c r="DQ61" s="9287"/>
      <c r="DR61" s="9287"/>
      <c r="DS61" s="9287"/>
      <c r="DT61" s="9287"/>
      <c r="DU61" s="9287"/>
      <c r="DV61" s="9287"/>
      <c r="DW61" s="9287"/>
      <c r="DX61" s="9287"/>
      <c r="DY61" s="9287"/>
      <c r="DZ61" s="9287"/>
      <c r="EA61" s="9287"/>
      <c r="EB61" s="9287"/>
      <c r="EC61" s="9287"/>
      <c r="ED61" s="9287"/>
      <c r="EE61" s="9287"/>
      <c r="EF61" s="9287"/>
      <c r="EG61" s="9287"/>
      <c r="EH61" s="9287"/>
      <c r="EI61" s="9287"/>
      <c r="EJ61" s="9287"/>
      <c r="EK61" s="9287"/>
      <c r="EL61" s="9287"/>
      <c r="EM61" s="9287"/>
      <c r="EN61" s="9287"/>
      <c r="EO61" s="9287"/>
      <c r="EP61" s="9287"/>
      <c r="EQ61" s="9287"/>
      <c r="ER61" s="9287"/>
      <c r="ES61" s="9287"/>
      <c r="ET61" s="9287"/>
      <c r="EU61" s="9287"/>
      <c r="EV61" s="9287"/>
      <c r="EW61" s="9287"/>
      <c r="EX61" s="9287"/>
      <c r="EY61" s="9287"/>
      <c r="EZ61" s="9287"/>
      <c r="FA61" s="9287"/>
      <c r="FB61" s="9287"/>
      <c r="FC61" s="9287"/>
      <c r="FD61" s="9287"/>
      <c r="FE61" s="9287"/>
      <c r="FF61" s="9287"/>
      <c r="FG61" s="9287"/>
      <c r="FH61" s="9287"/>
      <c r="FI61" s="9287"/>
      <c r="FJ61" s="9287"/>
      <c r="FK61" s="9287"/>
      <c r="FL61" s="9287"/>
      <c r="FM61" s="9287"/>
      <c r="FN61" s="9287"/>
      <c r="FO61" s="9287"/>
      <c r="FP61" s="9287"/>
      <c r="FQ61" s="9287"/>
      <c r="FR61" s="9287"/>
      <c r="FS61" s="9287"/>
      <c r="FT61" s="9287"/>
      <c r="FU61" s="9287"/>
      <c r="FV61" s="9287"/>
      <c r="FW61" s="9287"/>
      <c r="FX61" s="9287"/>
      <c r="FY61" s="9287"/>
      <c r="FZ61" s="9287"/>
      <c r="GA61" s="9287"/>
      <c r="GB61" s="9287"/>
      <c r="GC61" s="9287"/>
      <c r="GD61" s="9287"/>
      <c r="GE61" s="9287"/>
      <c r="GF61" s="9287"/>
      <c r="GG61" s="9287"/>
      <c r="GH61" s="9287"/>
      <c r="GI61" s="9287"/>
      <c r="GJ61" s="9287"/>
      <c r="GK61" s="9287"/>
      <c r="GL61" s="9287"/>
      <c r="GM61" s="9287"/>
      <c r="GN61" s="9287"/>
      <c r="GO61" s="9287"/>
      <c r="GP61" s="9287"/>
      <c r="GQ61" s="9287"/>
      <c r="GR61" s="9287"/>
      <c r="GS61" s="9287"/>
      <c r="GT61" s="9287"/>
      <c r="GU61" s="9287"/>
      <c r="GV61" s="9287"/>
      <c r="GW61" s="9287"/>
      <c r="GX61" s="9287"/>
      <c r="GY61" s="9287"/>
      <c r="GZ61" s="9287"/>
      <c r="HA61" s="9287"/>
      <c r="HB61" s="9287"/>
      <c r="HC61" s="9287"/>
      <c r="HD61" s="9287"/>
      <c r="HE61" s="9287"/>
      <c r="HF61" s="9287"/>
      <c r="HG61" s="9287"/>
      <c r="HH61" s="9287"/>
      <c r="HI61" s="9287"/>
      <c r="HJ61" s="9287"/>
      <c r="HK61" s="9287"/>
      <c r="HL61" s="9287"/>
      <c r="HM61" s="9287"/>
      <c r="HN61" s="9287"/>
      <c r="HO61" s="9287"/>
      <c r="HP61" s="9287"/>
      <c r="HQ61" s="9287"/>
      <c r="HR61" s="9287"/>
      <c r="HS61" s="9287"/>
      <c r="HT61" s="9287"/>
      <c r="HU61" s="9287"/>
      <c r="HV61" s="9287"/>
      <c r="HW61" s="9287"/>
      <c r="HX61" s="9287"/>
      <c r="HY61" s="9287"/>
      <c r="HZ61" s="9287"/>
      <c r="IA61" s="9287"/>
      <c r="IB61" s="9287"/>
      <c r="IC61" s="9287"/>
      <c r="ID61" s="9287"/>
      <c r="IE61" s="9287"/>
      <c r="IF61" s="9287"/>
      <c r="IG61" s="9287"/>
      <c r="IH61" s="9287"/>
      <c r="II61" s="9287"/>
      <c r="IJ61" s="9287"/>
      <c r="IK61" s="9287"/>
      <c r="IL61" s="9287"/>
      <c r="IM61" s="9287"/>
      <c r="IN61" s="9287"/>
      <c r="IO61" s="9287"/>
      <c r="IP61" s="9287"/>
      <c r="IQ61" s="9287"/>
      <c r="IR61" s="9287"/>
      <c r="IS61" s="9287"/>
      <c r="IT61" s="9287"/>
      <c r="IU61" s="9287"/>
      <c r="IV61" s="9287"/>
      <c r="IW61" s="9287"/>
      <c r="IX61" s="9287"/>
      <c r="IY61" s="9287"/>
      <c r="IZ61" s="9287"/>
      <c r="JA61" s="9287"/>
      <c r="JB61" s="9287"/>
      <c r="JC61" s="9287"/>
      <c r="JD61" s="9287"/>
      <c r="JE61" s="9287"/>
      <c r="JF61" s="9287"/>
      <c r="JG61" s="9287"/>
      <c r="JH61" s="9287"/>
      <c r="JI61" s="9287"/>
      <c r="JJ61" s="9287"/>
      <c r="JK61" s="9287"/>
      <c r="JL61" s="9287"/>
      <c r="JM61" s="9287"/>
      <c r="JN61" s="9287"/>
      <c r="JO61" s="9287"/>
      <c r="JP61" s="9287"/>
      <c r="JQ61" s="9287"/>
      <c r="JR61" s="9287"/>
      <c r="JS61" s="9287"/>
      <c r="JT61" s="9287"/>
      <c r="JU61" s="9287"/>
      <c r="JV61" s="9287"/>
      <c r="JW61" s="9287"/>
      <c r="JX61" s="9287"/>
      <c r="JY61" s="9287"/>
      <c r="JZ61" s="9287"/>
      <c r="KA61" s="9287"/>
      <c r="KB61" s="9287"/>
      <c r="KC61" s="9287"/>
      <c r="KD61" s="9287"/>
      <c r="KE61" s="9287"/>
      <c r="KF61" s="9287"/>
      <c r="KG61" s="9287"/>
      <c r="KH61" s="9287"/>
      <c r="KI61" s="9287"/>
      <c r="KJ61" s="9287"/>
      <c r="KK61" s="9287"/>
      <c r="KL61" s="9287"/>
      <c r="KM61" s="9287"/>
      <c r="KN61" s="9287"/>
      <c r="KO61" s="9287"/>
      <c r="KP61" s="9287"/>
      <c r="KQ61" s="9287"/>
      <c r="KR61" s="9287"/>
      <c r="KS61" s="9287"/>
      <c r="KT61" s="9287"/>
      <c r="KU61" s="9287"/>
      <c r="KV61" s="13894"/>
      <c r="KW61" s="13894"/>
      <c r="KX61" s="13894"/>
      <c r="KY61" s="13894"/>
      <c r="KZ61" s="13894"/>
      <c r="LA61" s="13894"/>
      <c r="LB61" s="13894"/>
      <c r="LC61" s="13894"/>
      <c r="LD61" s="13894"/>
      <c r="LE61" s="13894"/>
      <c r="LF61" s="13894"/>
      <c r="LG61" s="13894"/>
      <c r="LH61" s="13894"/>
      <c r="LI61" s="13894"/>
      <c r="LJ61" s="13894"/>
      <c r="LK61" s="13894"/>
      <c r="LL61" s="13894"/>
      <c r="LM61" s="13894"/>
      <c r="LN61" s="13894"/>
      <c r="LO61" s="13894"/>
      <c r="LP61" s="13894"/>
      <c r="LQ61" s="13894"/>
      <c r="LR61" s="13894"/>
      <c r="LS61" s="13894"/>
      <c r="LT61" s="13894"/>
      <c r="LU61" s="13894"/>
      <c r="LV61" s="13894"/>
      <c r="LW61" s="13894"/>
      <c r="LX61" s="13894"/>
      <c r="LY61" s="13894"/>
      <c r="LZ61" s="13894"/>
      <c r="MA61" s="13894"/>
      <c r="MB61" s="13894"/>
      <c r="MC61" s="13894"/>
      <c r="MD61" s="13894"/>
      <c r="ME61" s="13894"/>
      <c r="MF61" s="13894"/>
      <c r="MG61" s="13894"/>
      <c r="MH61" s="13894"/>
      <c r="MI61" s="13894"/>
      <c r="MJ61" s="13894"/>
      <c r="MK61" s="13894"/>
      <c r="ML61" s="13894"/>
      <c r="MM61" s="13894"/>
      <c r="MN61" s="13894"/>
      <c r="MO61" s="13894"/>
      <c r="MP61" s="13894"/>
      <c r="MQ61" s="13894"/>
      <c r="MR61" s="13894"/>
      <c r="MS61" s="13894"/>
      <c r="MT61" s="13894"/>
      <c r="MU61" s="13894"/>
      <c r="MV61" s="13894"/>
      <c r="MW61" s="13894"/>
      <c r="MX61" s="13894"/>
      <c r="MY61" s="13894"/>
      <c r="MZ61" s="13894"/>
      <c r="NA61" s="13894"/>
      <c r="NB61" s="13894"/>
      <c r="NC61" s="13894"/>
      <c r="ND61" s="13894"/>
      <c r="NE61" s="13894"/>
      <c r="NF61" s="13894"/>
      <c r="NG61" s="13894"/>
      <c r="NH61" s="13894"/>
      <c r="NI61" s="13894"/>
      <c r="NJ61" s="13894"/>
      <c r="NK61" s="13894"/>
      <c r="NL61" s="13894"/>
      <c r="NM61" s="13894"/>
      <c r="NN61" s="13894"/>
      <c r="NO61" s="13894"/>
      <c r="NP61" s="13894"/>
      <c r="NQ61" s="13894"/>
      <c r="NR61" s="13894"/>
      <c r="NS61" s="13894"/>
      <c r="NT61" s="13894"/>
      <c r="NU61" s="13894"/>
      <c r="NV61" s="13894"/>
      <c r="NW61" s="13894"/>
      <c r="NX61" s="13894"/>
      <c r="NY61" s="13894"/>
      <c r="NZ61" s="13894"/>
      <c r="OA61" s="13894"/>
      <c r="OB61" s="13894"/>
      <c r="OC61" s="13894"/>
      <c r="OD61" s="13894"/>
      <c r="OE61" s="13894"/>
      <c r="OF61" s="13894"/>
      <c r="OG61" s="13894"/>
      <c r="OH61" s="13894"/>
      <c r="OI61" s="13894"/>
      <c r="OJ61" s="13894"/>
      <c r="OK61" s="13894"/>
      <c r="OL61" s="13894"/>
      <c r="OM61" s="13894"/>
      <c r="ON61" s="13894"/>
      <c r="OO61" s="13894"/>
      <c r="OP61" s="13894"/>
    </row>
    <row customHeight="1" ht="14.25">
      <c r="O62" s="760"/>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c r="AN62" s="2388"/>
      <c r="AO62" s="2388"/>
      <c r="AP62" s="2388"/>
      <c r="AQ62" s="2388"/>
      <c r="AR62" s="6680"/>
      <c r="AS62" s="6680"/>
      <c r="AT62" s="6680"/>
      <c r="AU62" s="6680"/>
      <c r="AV62" s="6680"/>
      <c r="AW62" s="6680"/>
      <c r="AX62" s="6680"/>
      <c r="AY62" s="6680"/>
      <c r="AZ62" s="6680"/>
      <c r="BA62" s="6680"/>
      <c r="BB62" s="6680"/>
      <c r="BC62" s="6680"/>
      <c r="BD62" s="6680"/>
      <c r="BE62" s="6680"/>
      <c r="BF62" s="6680"/>
      <c r="BG62" s="6680"/>
      <c r="BH62" s="6680"/>
      <c r="BI62" s="6680"/>
      <c r="BJ62" s="6680"/>
      <c r="BK62" s="6680"/>
      <c r="BL62" s="6680"/>
      <c r="BM62" s="6680"/>
      <c r="BN62" s="11286"/>
      <c r="BO62" s="11286"/>
      <c r="BP62" s="11286"/>
      <c r="BQ62" s="11286"/>
      <c r="BR62" s="11286"/>
      <c r="BS62" s="11286"/>
      <c r="BT62" s="11286"/>
      <c r="BU62" s="11286"/>
      <c r="BV62" s="11286"/>
      <c r="BW62" s="11286"/>
      <c r="BX62" s="11286"/>
      <c r="BY62" s="11286"/>
      <c r="BZ62" s="11286"/>
      <c r="CA62" s="11286"/>
      <c r="CB62" s="11286"/>
      <c r="CC62" s="11286"/>
      <c r="CD62" s="11286"/>
      <c r="CE62" s="11286"/>
      <c r="CF62" s="11286"/>
      <c r="CG62" s="11286"/>
      <c r="CH62" s="11286"/>
      <c r="CI62" s="11286"/>
      <c r="CJ62" s="11286"/>
      <c r="CK62" s="11286"/>
      <c r="CL62" s="11286"/>
      <c r="CM62" s="11286"/>
      <c r="CN62" s="11286"/>
      <c r="CO62" s="11286"/>
      <c r="CP62" s="11286"/>
      <c r="CQ62" s="11286"/>
      <c r="CR62" s="11286"/>
      <c r="CS62" s="11286"/>
      <c r="CT62" s="11286"/>
      <c r="CU62" s="11286"/>
      <c r="CV62" s="11286"/>
      <c r="CW62" s="11286"/>
      <c r="CX62" s="11286"/>
      <c r="CY62" s="11286"/>
      <c r="CZ62" s="11286"/>
      <c r="DA62" s="11286"/>
      <c r="DB62" s="11286"/>
      <c r="DC62" s="11286"/>
      <c r="DD62" s="11286"/>
      <c r="DE62" s="11286"/>
      <c r="DF62" s="11286"/>
      <c r="DG62" s="11286"/>
      <c r="DH62" s="11286"/>
      <c r="DI62" s="11286"/>
      <c r="DJ62" s="11286"/>
      <c r="DK62" s="11286"/>
      <c r="DL62" s="11286"/>
      <c r="DM62" s="11286"/>
      <c r="DN62" s="11286"/>
      <c r="DO62" s="11286"/>
      <c r="DP62" s="11286"/>
      <c r="DQ62" s="11286"/>
      <c r="DR62" s="11286"/>
      <c r="DS62" s="11286"/>
      <c r="DT62" s="11286"/>
      <c r="DU62" s="11286"/>
      <c r="DV62" s="11286"/>
      <c r="DW62" s="11286"/>
      <c r="DX62" s="11286"/>
      <c r="DY62" s="11286"/>
      <c r="DZ62" s="11286"/>
      <c r="EA62" s="11286"/>
      <c r="EB62" s="11286"/>
      <c r="EC62" s="11286"/>
      <c r="ED62" s="11286"/>
      <c r="EE62" s="11286"/>
      <c r="EF62" s="11286"/>
      <c r="EG62" s="11286"/>
      <c r="EH62" s="11286"/>
      <c r="EI62" s="11286"/>
      <c r="EJ62" s="11286"/>
      <c r="EK62" s="11286"/>
      <c r="EL62" s="11286"/>
      <c r="EM62" s="11286"/>
      <c r="EN62" s="11286"/>
      <c r="EO62" s="11286"/>
      <c r="EP62" s="11286"/>
      <c r="EQ62" s="11286"/>
      <c r="ER62" s="11286"/>
      <c r="ES62" s="11286"/>
      <c r="ET62" s="11286"/>
      <c r="EU62" s="11286"/>
      <c r="EV62" s="11286"/>
      <c r="EW62" s="11286"/>
      <c r="EX62" s="11286"/>
      <c r="EY62" s="11286"/>
      <c r="EZ62" s="11286"/>
      <c r="FA62" s="11286"/>
      <c r="FB62" s="11286"/>
      <c r="FC62" s="11286"/>
      <c r="FD62" s="11286"/>
      <c r="FE62" s="11286"/>
      <c r="FF62" s="11286"/>
      <c r="FG62" s="11286"/>
      <c r="FH62" s="11286"/>
      <c r="FI62" s="11286"/>
      <c r="FJ62" s="11286"/>
      <c r="FK62" s="11286"/>
      <c r="FL62" s="11286"/>
      <c r="FM62" s="11286"/>
      <c r="FN62" s="11286"/>
      <c r="FO62" s="11286"/>
      <c r="FP62" s="11286"/>
      <c r="FQ62" s="11286"/>
      <c r="FR62" s="11286"/>
      <c r="FS62" s="11286"/>
      <c r="FT62" s="11286"/>
      <c r="FU62" s="11286"/>
      <c r="FV62" s="11286"/>
      <c r="FW62" s="11286"/>
      <c r="FX62" s="11286"/>
      <c r="FY62" s="11286"/>
      <c r="FZ62" s="11286"/>
      <c r="GA62" s="11286"/>
      <c r="GB62" s="11286"/>
      <c r="GC62" s="11286"/>
      <c r="GD62" s="11286"/>
      <c r="GE62" s="11286"/>
      <c r="GF62" s="11286"/>
      <c r="GG62" s="11286"/>
      <c r="GH62" s="11286"/>
      <c r="GI62" s="11286"/>
      <c r="GJ62" s="11286"/>
      <c r="GK62" s="11286"/>
      <c r="GL62" s="11286"/>
      <c r="GM62" s="11286"/>
      <c r="GN62" s="11286"/>
      <c r="GO62" s="11286"/>
      <c r="GP62" s="11286"/>
      <c r="GQ62" s="11286"/>
      <c r="GR62" s="11286"/>
      <c r="GS62" s="11286"/>
      <c r="GT62" s="11286"/>
      <c r="GU62" s="11286"/>
      <c r="GV62" s="11286"/>
      <c r="GW62" s="11286"/>
      <c r="GX62" s="11286"/>
      <c r="GY62" s="11286"/>
      <c r="GZ62" s="11286"/>
      <c r="HA62" s="11286"/>
      <c r="HB62" s="11286"/>
      <c r="HC62" s="11286"/>
      <c r="HD62" s="11286"/>
      <c r="HE62" s="11286"/>
      <c r="HF62" s="11286"/>
      <c r="HG62" s="11286"/>
      <c r="HH62" s="11286"/>
      <c r="HI62" s="11286"/>
      <c r="HJ62" s="11286"/>
      <c r="HK62" s="11286"/>
      <c r="HL62" s="11286"/>
      <c r="HM62" s="11286"/>
      <c r="HN62" s="11286"/>
      <c r="HO62" s="11286"/>
      <c r="HP62" s="11286"/>
      <c r="HQ62" s="11286"/>
      <c r="HR62" s="11286"/>
      <c r="HS62" s="11286"/>
      <c r="HT62" s="11286"/>
      <c r="HU62" s="11286"/>
      <c r="HV62" s="11286"/>
      <c r="HW62" s="11286"/>
      <c r="HX62" s="11286"/>
      <c r="HY62" s="11286"/>
      <c r="HZ62" s="11286"/>
      <c r="IA62" s="11286"/>
      <c r="IB62" s="11286"/>
      <c r="IC62" s="11286"/>
      <c r="ID62" s="11286"/>
      <c r="IE62" s="11286"/>
      <c r="IF62" s="11286"/>
      <c r="IG62" s="11286"/>
      <c r="IH62" s="11286"/>
      <c r="II62" s="11286"/>
      <c r="IJ62" s="11286"/>
      <c r="IK62" s="11286"/>
      <c r="IL62" s="11286"/>
      <c r="IM62" s="11286"/>
      <c r="IN62" s="11286"/>
      <c r="IO62" s="11286"/>
      <c r="IP62" s="11286"/>
      <c r="IQ62" s="11286"/>
      <c r="IR62" s="11286"/>
      <c r="IS62" s="11286"/>
      <c r="IT62" s="11286"/>
      <c r="IU62" s="11286"/>
      <c r="IV62" s="11286"/>
      <c r="IW62" s="11286"/>
      <c r="IX62" s="11286"/>
      <c r="IY62" s="11286"/>
      <c r="IZ62" s="11286"/>
      <c r="JA62" s="11286"/>
      <c r="JB62" s="11286"/>
      <c r="JC62" s="11286"/>
      <c r="JD62" s="11286"/>
      <c r="JE62" s="11286"/>
      <c r="JF62" s="11286"/>
      <c r="JG62" s="11286"/>
      <c r="JH62" s="11286"/>
      <c r="JI62" s="11286"/>
      <c r="JJ62" s="11286"/>
      <c r="JK62" s="11286"/>
      <c r="JL62" s="11286"/>
      <c r="JM62" s="11286"/>
      <c r="JN62" s="11286"/>
      <c r="JO62" s="11286"/>
      <c r="JP62" s="11286"/>
      <c r="JQ62" s="11286"/>
      <c r="JR62" s="11286"/>
      <c r="JS62" s="11286"/>
      <c r="JT62" s="11286"/>
      <c r="JU62" s="11286"/>
      <c r="JV62" s="11286"/>
      <c r="JW62" s="11286"/>
      <c r="JX62" s="11286"/>
      <c r="JY62" s="11286"/>
      <c r="JZ62" s="11286"/>
      <c r="KA62" s="11286"/>
      <c r="KB62" s="11286"/>
      <c r="KC62" s="11286"/>
      <c r="KD62" s="11286"/>
      <c r="KE62" s="11286"/>
      <c r="KF62" s="11286"/>
      <c r="KG62" s="11286"/>
      <c r="KH62" s="11286"/>
      <c r="KI62" s="11286"/>
      <c r="KJ62" s="11286"/>
      <c r="KK62" s="11286"/>
      <c r="KL62" s="11286"/>
      <c r="KM62" s="11286"/>
      <c r="KN62" s="11286"/>
      <c r="KO62" s="11286"/>
      <c r="KP62" s="11286"/>
      <c r="KQ62" s="11286"/>
      <c r="KR62" s="11286"/>
      <c r="KS62" s="11286"/>
      <c r="KT62" s="11286"/>
      <c r="KU62" s="11286"/>
      <c r="KV62" s="16634"/>
      <c r="KW62" s="16634"/>
      <c r="KX62" s="16634"/>
      <c r="KY62" s="16634"/>
      <c r="KZ62" s="16634"/>
      <c r="LA62" s="16634"/>
      <c r="LB62" s="16634"/>
      <c r="LC62" s="16634"/>
      <c r="LD62" s="16634"/>
      <c r="LE62" s="16634"/>
      <c r="LF62" s="16634"/>
      <c r="LG62" s="16634"/>
      <c r="LH62" s="16634"/>
      <c r="LI62" s="16634"/>
      <c r="LJ62" s="16634"/>
      <c r="LK62" s="16634"/>
      <c r="LL62" s="16634"/>
      <c r="LM62" s="16634"/>
      <c r="LN62" s="16634"/>
      <c r="LO62" s="16634"/>
      <c r="LP62" s="16634"/>
      <c r="LQ62" s="16634"/>
      <c r="LR62" s="16634"/>
      <c r="LS62" s="16634"/>
      <c r="LT62" s="16634"/>
      <c r="LU62" s="16634"/>
      <c r="LV62" s="16634"/>
      <c r="LW62" s="16634"/>
      <c r="LX62" s="16634"/>
      <c r="LY62" s="16634"/>
      <c r="LZ62" s="16634"/>
      <c r="MA62" s="16634"/>
      <c r="MB62" s="16634"/>
      <c r="MC62" s="16634"/>
      <c r="MD62" s="16634"/>
      <c r="ME62" s="16634"/>
      <c r="MF62" s="16634"/>
      <c r="MG62" s="16634"/>
      <c r="MH62" s="16634"/>
      <c r="MI62" s="16634"/>
      <c r="MJ62" s="16634"/>
      <c r="MK62" s="16634"/>
      <c r="ML62" s="16634"/>
      <c r="MM62" s="16634"/>
      <c r="MN62" s="16634"/>
      <c r="MO62" s="16634"/>
      <c r="MP62" s="16634"/>
      <c r="MQ62" s="16634"/>
      <c r="MR62" s="16634"/>
      <c r="MS62" s="16634"/>
      <c r="MT62" s="16634"/>
      <c r="MU62" s="16634"/>
      <c r="MV62" s="16634"/>
      <c r="MW62" s="16634"/>
      <c r="MX62" s="16634"/>
      <c r="MY62" s="16634"/>
      <c r="MZ62" s="16634"/>
      <c r="NA62" s="16634"/>
      <c r="NB62" s="16634"/>
      <c r="NC62" s="16634"/>
      <c r="ND62" s="16634"/>
      <c r="NE62" s="16634"/>
      <c r="NF62" s="16634"/>
      <c r="NG62" s="16634"/>
      <c r="NH62" s="16634"/>
      <c r="NI62" s="16634"/>
      <c r="NJ62" s="16634"/>
      <c r="NK62" s="16634"/>
      <c r="NL62" s="16634"/>
      <c r="NM62" s="16634"/>
      <c r="NN62" s="16634"/>
      <c r="NO62" s="16634"/>
      <c r="NP62" s="16634"/>
      <c r="NQ62" s="16634"/>
      <c r="NR62" s="16634"/>
      <c r="NS62" s="16634"/>
      <c r="NT62" s="16634"/>
      <c r="NU62" s="16634"/>
      <c r="NV62" s="16634"/>
      <c r="NW62" s="16634"/>
      <c r="NX62" s="16634"/>
      <c r="NY62" s="16634"/>
      <c r="NZ62" s="16634"/>
      <c r="OA62" s="16634"/>
      <c r="OB62" s="16634"/>
      <c r="OC62" s="16634"/>
      <c r="OD62" s="16634"/>
      <c r="OE62" s="16634"/>
      <c r="OF62" s="16634"/>
      <c r="OG62" s="16634"/>
      <c r="OH62" s="16634"/>
      <c r="OI62" s="16634"/>
      <c r="OJ62" s="16634"/>
      <c r="OK62" s="16634"/>
      <c r="OL62" s="16634"/>
      <c r="OM62" s="16634"/>
      <c r="ON62" s="16634"/>
      <c r="OO62" s="16634"/>
      <c r="OP62" s="16634"/>
      <c r="OQ62" s="2388"/>
      <c r="OR62" s="2388"/>
    </row>
  </sheetData>
  <sheetProtection formatColumns="0" formatRows="0" autoFilter="0" sort="0" insertRows="0" insertColumns="1" deleteRows="0" deleteColumns="0"/>
  <mergeCells count="1150">
    <mergeCell ref="AH38:AJ38"/>
    <mergeCell ref="AK38:AM38"/>
    <mergeCell ref="AH39:AH40"/>
    <mergeCell ref="AI39:AJ39"/>
    <mergeCell ref="AK39:AK40"/>
    <mergeCell ref="X39:Y39"/>
    <mergeCell ref="W39:W40"/>
    <mergeCell ref="Z39:Z40"/>
    <mergeCell ref="AA39:AB39"/>
    <mergeCell ref="W38:Y38"/>
    <mergeCell ref="E2:E13"/>
    <mergeCell ref="V2:AF2"/>
    <mergeCell ref="AG2:OQ2"/>
    <mergeCell ref="F3:F12"/>
    <mergeCell ref="V3:AF3"/>
    <mergeCell ref="AG3:OQ3"/>
    <mergeCell ref="G4:G11"/>
    <mergeCell ref="V4:AF4"/>
    <mergeCell ref="AG4:OQ4"/>
    <mergeCell ref="H5:H11"/>
    <mergeCell ref="I5:I10"/>
    <mergeCell ref="P5:P10"/>
    <mergeCell ref="V5:AF5"/>
    <mergeCell ref="AG5:OQ5"/>
    <mergeCell ref="J6:J9"/>
    <mergeCell ref="Q6:Q9"/>
    <mergeCell ref="V6:AF6"/>
    <mergeCell ref="AG6:OQ6"/>
    <mergeCell ref="K7:K8"/>
    <mergeCell ref="AC7:AC8"/>
    <mergeCell ref="AQ7:AQ8"/>
    <mergeCell ref="S29:T29"/>
    <mergeCell ref="AG38:AG40"/>
    <mergeCell ref="OR7:OR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OR36:OR40"/>
    <mergeCell ref="S37:S40"/>
    <mergeCell ref="T37:T40"/>
    <mergeCell ref="V37:AE37"/>
    <mergeCell ref="AF37:AF40"/>
    <mergeCell ref="AG37:AP37"/>
    <mergeCell ref="AQ37:AQ40"/>
    <mergeCell ref="S32:T32"/>
    <mergeCell ref="V32:AE32"/>
    <mergeCell ref="AG32:AP32"/>
    <mergeCell ref="S33:T33"/>
    <mergeCell ref="V33:AE33"/>
    <mergeCell ref="AG33:AP33"/>
    <mergeCell ref="OQ37:OQ40"/>
    <mergeCell ref="AD40:AE40"/>
    <mergeCell ref="AO40:AP40"/>
    <mergeCell ref="V35:AF35"/>
    <mergeCell ref="AG35:AQ35"/>
    <mergeCell ref="S36:OQ36"/>
    <mergeCell ref="AN38:AP39"/>
    <mergeCell ref="AC38:AE39"/>
    <mergeCell ref="AL39:AM39"/>
    <mergeCell ref="Z38:AB38"/>
    <mergeCell ref="V38:V40"/>
    <mergeCell ref="AD41:AE41"/>
    <mergeCell ref="AO41:AP41"/>
    <mergeCell ref="E42:E57"/>
    <mergeCell ref="V42:AF42"/>
    <mergeCell ref="AG42:OQ42"/>
    <mergeCell ref="F43:F56"/>
    <mergeCell ref="V43:AF43"/>
    <mergeCell ref="AG43:OQ43"/>
    <mergeCell ref="G44:G55"/>
    <mergeCell ref="V44:AF44"/>
    <mergeCell ref="AG44:OQ44"/>
    <mergeCell ref="H45:H55"/>
    <mergeCell ref="I45:I54"/>
    <mergeCell ref="P45:P54"/>
    <mergeCell ref="V45:AF45"/>
    <mergeCell ref="AG45:OQ45"/>
    <mergeCell ref="J46:J49"/>
    <mergeCell ref="Q46:Q49"/>
    <mergeCell ref="V46:AF46"/>
    <mergeCell ref="AG46:OQ46"/>
    <mergeCell ref="AO47:AO48"/>
    <mergeCell ref="AP47:AP48"/>
    <mergeCell ref="AQ47:AQ48"/>
    <mergeCell ref="OR47:OR48"/>
    <mergeCell ref="T60:OR60"/>
    <mergeCell ref="T62:OR62"/>
    <mergeCell ref="K47:K48"/>
    <mergeCell ref="AN47:AN48"/>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BB47:BB48"/>
    <mergeCell ref="AY47:AY48"/>
    <mergeCell ref="AZ47:AZ48"/>
    <mergeCell ref="BA47:BA48"/>
    <mergeCell ref="AF47:AF48"/>
    <mergeCell ref="AC47:AC48"/>
    <mergeCell ref="AD47:AD48"/>
    <mergeCell ref="AE47:AE48"/>
    <mergeCell ref="BE39:BF39"/>
    <mergeCell ref="BD39:BD40"/>
    <mergeCell ref="BG39:BG40"/>
    <mergeCell ref="BH39:BI39"/>
    <mergeCell ref="BD38:BF38"/>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C38:BC40"/>
    <mergeCell ref="BG38:BI38"/>
    <mergeCell ref="BJ38:BL39"/>
    <mergeCell ref="BK40:BL40"/>
    <mergeCell ref="BK41:BL41"/>
    <mergeCell ref="BJ47:BJ48"/>
    <mergeCell ref="BK47:BK48"/>
    <mergeCell ref="BL47:BL48"/>
    <mergeCell ref="BM47:BM48"/>
    <mergeCell ref="J50:J53"/>
    <mergeCell ref="Q50:Q53"/>
    <mergeCell ref="V50:AF50"/>
    <mergeCell ref="AG50:OQ50"/>
    <mergeCell ref="K51:K52"/>
    <mergeCell ref="AC51:AC52"/>
    <mergeCell ref="AQ51:AQ52"/>
    <mergeCell ref="OR51:OR52"/>
    <mergeCell ref="AD51:AD52"/>
    <mergeCell ref="AE51:AE52"/>
    <mergeCell ref="AF51:AF52"/>
    <mergeCell ref="AN51:AN52"/>
    <mergeCell ref="AO51:AO52"/>
    <mergeCell ref="AP51:AP52"/>
    <mergeCell ref="AY51:AY52"/>
    <mergeCell ref="AZ51:AZ52"/>
    <mergeCell ref="BA51:BA52"/>
    <mergeCell ref="BB51:BB52"/>
    <mergeCell ref="BJ51:BJ52"/>
    <mergeCell ref="BK51:BK52"/>
    <mergeCell ref="BL51:BL52"/>
    <mergeCell ref="BM51:BM52"/>
    <mergeCell ref="BP39:BQ39"/>
    <mergeCell ref="BO39:BO40"/>
    <mergeCell ref="BR39:BR40"/>
    <mergeCell ref="BS39:BT39"/>
    <mergeCell ref="BO38:BQ38"/>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N38:BN40"/>
    <mergeCell ref="BR38:BT38"/>
    <mergeCell ref="BU38:BW39"/>
    <mergeCell ref="BV40:BW40"/>
    <mergeCell ref="BV41:BW41"/>
    <mergeCell ref="BU47:BU48"/>
    <mergeCell ref="BV47:BV48"/>
    <mergeCell ref="BW47:BW48"/>
    <mergeCell ref="BX47:BX48"/>
    <mergeCell ref="BU51:BU52"/>
    <mergeCell ref="BV51:BV52"/>
    <mergeCell ref="BW51:BW52"/>
    <mergeCell ref="BX51:BX52"/>
    <mergeCell ref="CA39:CB39"/>
    <mergeCell ref="BZ39:BZ40"/>
    <mergeCell ref="CC39:CC40"/>
    <mergeCell ref="CD39:CE39"/>
    <mergeCell ref="BZ38:CB38"/>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Y38:BY40"/>
    <mergeCell ref="CC38:CE38"/>
    <mergeCell ref="CF38:CH39"/>
    <mergeCell ref="CG40:CH40"/>
    <mergeCell ref="CG41:CH41"/>
    <mergeCell ref="CF47:CF48"/>
    <mergeCell ref="CG47:CG48"/>
    <mergeCell ref="CH47:CH48"/>
    <mergeCell ref="CI47:CI48"/>
    <mergeCell ref="CF51:CF52"/>
    <mergeCell ref="CG51:CG52"/>
    <mergeCell ref="CH51:CH52"/>
    <mergeCell ref="CI51:CI52"/>
    <mergeCell ref="CL39:CM39"/>
    <mergeCell ref="CK39:CK40"/>
    <mergeCell ref="CN39:CN40"/>
    <mergeCell ref="CO39:CP39"/>
    <mergeCell ref="CK38:CM38"/>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J38:CJ40"/>
    <mergeCell ref="CN38:CP38"/>
    <mergeCell ref="CQ38:CS39"/>
    <mergeCell ref="CR40:CS40"/>
    <mergeCell ref="CR41:CS41"/>
    <mergeCell ref="CQ47:CQ48"/>
    <mergeCell ref="CR47:CR48"/>
    <mergeCell ref="CS47:CS48"/>
    <mergeCell ref="CT47:CT48"/>
    <mergeCell ref="CQ51:CQ52"/>
    <mergeCell ref="CR51:CR52"/>
    <mergeCell ref="CS51:CS52"/>
    <mergeCell ref="CT51:CT52"/>
    <mergeCell ref="CW39:CX39"/>
    <mergeCell ref="CV39:CV40"/>
    <mergeCell ref="CY39:CY40"/>
    <mergeCell ref="CZ39:DA39"/>
    <mergeCell ref="CV38:CX38"/>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U38:CU40"/>
    <mergeCell ref="CY38:DA38"/>
    <mergeCell ref="DB38:DD39"/>
    <mergeCell ref="DC40:DD40"/>
    <mergeCell ref="DC41:DD41"/>
    <mergeCell ref="DB47:DB48"/>
    <mergeCell ref="DC47:DC48"/>
    <mergeCell ref="DD47:DD48"/>
    <mergeCell ref="DE47:DE48"/>
    <mergeCell ref="DB51:DB52"/>
    <mergeCell ref="DC51:DC52"/>
    <mergeCell ref="DD51:DD52"/>
    <mergeCell ref="DE51:DE52"/>
    <mergeCell ref="DH39:DI39"/>
    <mergeCell ref="DG39:DG40"/>
    <mergeCell ref="DJ39:DJ40"/>
    <mergeCell ref="DK39:DL39"/>
    <mergeCell ref="DG38:DI38"/>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F38:DF40"/>
    <mergeCell ref="DJ38:DL38"/>
    <mergeCell ref="DM38:DO39"/>
    <mergeCell ref="DN40:DO40"/>
    <mergeCell ref="DN41:DO41"/>
    <mergeCell ref="DM47:DM48"/>
    <mergeCell ref="DN47:DN48"/>
    <mergeCell ref="DO47:DO48"/>
    <mergeCell ref="DP47:DP48"/>
    <mergeCell ref="DM51:DM52"/>
    <mergeCell ref="DN51:DN52"/>
    <mergeCell ref="DO51:DO52"/>
    <mergeCell ref="DP51:DP52"/>
    <mergeCell ref="DS39:DT39"/>
    <mergeCell ref="DR39:DR40"/>
    <mergeCell ref="DU39:DU40"/>
    <mergeCell ref="DV39:DW39"/>
    <mergeCell ref="DR38:DT38"/>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Q38:DQ40"/>
    <mergeCell ref="DU38:DW38"/>
    <mergeCell ref="DX38:DZ39"/>
    <mergeCell ref="DY40:DZ40"/>
    <mergeCell ref="DY41:DZ41"/>
    <mergeCell ref="DX47:DX48"/>
    <mergeCell ref="DY47:DY48"/>
    <mergeCell ref="DZ47:DZ48"/>
    <mergeCell ref="EA47:EA48"/>
    <mergeCell ref="DX51:DX52"/>
    <mergeCell ref="DY51:DY52"/>
    <mergeCell ref="DZ51:DZ52"/>
    <mergeCell ref="EA51:EA52"/>
    <mergeCell ref="ED39:EE39"/>
    <mergeCell ref="EC39:EC40"/>
    <mergeCell ref="EF39:EF40"/>
    <mergeCell ref="EG39:EH39"/>
    <mergeCell ref="EC38:EE38"/>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B38:EB40"/>
    <mergeCell ref="EF38:EH38"/>
    <mergeCell ref="EI38:EK39"/>
    <mergeCell ref="EJ40:EK40"/>
    <mergeCell ref="EJ41:EK41"/>
    <mergeCell ref="EI47:EI48"/>
    <mergeCell ref="EJ47:EJ48"/>
    <mergeCell ref="EK47:EK48"/>
    <mergeCell ref="EL47:EL48"/>
    <mergeCell ref="EI51:EI52"/>
    <mergeCell ref="EJ51:EJ52"/>
    <mergeCell ref="EK51:EK52"/>
    <mergeCell ref="EL51:EL52"/>
    <mergeCell ref="EO39:EP39"/>
    <mergeCell ref="EN39:EN40"/>
    <mergeCell ref="EQ39:EQ40"/>
    <mergeCell ref="ER39:ES39"/>
    <mergeCell ref="EN38:EP38"/>
    <mergeCell ref="ET7:ET8"/>
    <mergeCell ref="EU7:EU8"/>
    <mergeCell ref="EV7:EV8"/>
    <mergeCell ref="EW7:EW8"/>
    <mergeCell ref="EM27:EV27"/>
    <mergeCell ref="EM28:EV28"/>
    <mergeCell ref="EM29:EV29"/>
    <mergeCell ref="EM30:EV30"/>
    <mergeCell ref="EM32:EV32"/>
    <mergeCell ref="EM33:EV33"/>
    <mergeCell ref="EM35:EW35"/>
    <mergeCell ref="EM37:EV37"/>
    <mergeCell ref="EW37:EW40"/>
    <mergeCell ref="EM38:EM40"/>
    <mergeCell ref="EQ38:ES38"/>
    <mergeCell ref="ET38:EV39"/>
    <mergeCell ref="EU40:EV40"/>
    <mergeCell ref="EU41:EV41"/>
    <mergeCell ref="ET47:ET48"/>
    <mergeCell ref="EU47:EU48"/>
    <mergeCell ref="EV47:EV48"/>
    <mergeCell ref="EW47:EW48"/>
    <mergeCell ref="ET51:ET52"/>
    <mergeCell ref="EU51:EU52"/>
    <mergeCell ref="EV51:EV52"/>
    <mergeCell ref="EW51:EW52"/>
    <mergeCell ref="EZ39:FA39"/>
    <mergeCell ref="EY39:EY40"/>
    <mergeCell ref="FB39:FB40"/>
    <mergeCell ref="FC39:FD39"/>
    <mergeCell ref="EY38:FA38"/>
    <mergeCell ref="FE7:FE8"/>
    <mergeCell ref="FF7:FF8"/>
    <mergeCell ref="FG7:FG8"/>
    <mergeCell ref="FH7:FH8"/>
    <mergeCell ref="EX27:FG27"/>
    <mergeCell ref="EX28:FG28"/>
    <mergeCell ref="EX29:FG29"/>
    <mergeCell ref="EX30:FG30"/>
    <mergeCell ref="EX32:FG32"/>
    <mergeCell ref="EX33:FG33"/>
    <mergeCell ref="EX35:FH35"/>
    <mergeCell ref="EX37:FG37"/>
    <mergeCell ref="FH37:FH40"/>
    <mergeCell ref="EX38:EX40"/>
    <mergeCell ref="FB38:FD38"/>
    <mergeCell ref="FE38:FG39"/>
    <mergeCell ref="FF40:FG40"/>
    <mergeCell ref="FF41:FG41"/>
    <mergeCell ref="FE47:FE48"/>
    <mergeCell ref="FF47:FF48"/>
    <mergeCell ref="FG47:FG48"/>
    <mergeCell ref="FH47:FH48"/>
    <mergeCell ref="FE51:FE52"/>
    <mergeCell ref="FF51:FF52"/>
    <mergeCell ref="FG51:FG52"/>
    <mergeCell ref="FH51:FH52"/>
    <mergeCell ref="FK39:FL39"/>
    <mergeCell ref="FJ39:FJ40"/>
    <mergeCell ref="FM39:FM40"/>
    <mergeCell ref="FN39:FO39"/>
    <mergeCell ref="FJ38:FL38"/>
    <mergeCell ref="FP7:FP8"/>
    <mergeCell ref="FQ7:FQ8"/>
    <mergeCell ref="FR7:FR8"/>
    <mergeCell ref="FS7:FS8"/>
    <mergeCell ref="FI27:FR27"/>
    <mergeCell ref="FI28:FR28"/>
    <mergeCell ref="FI29:FR29"/>
    <mergeCell ref="FI30:FR30"/>
    <mergeCell ref="FI32:FR32"/>
    <mergeCell ref="FI33:FR33"/>
    <mergeCell ref="FI35:FS35"/>
    <mergeCell ref="FI37:FR37"/>
    <mergeCell ref="FS37:FS40"/>
    <mergeCell ref="FI38:FI40"/>
    <mergeCell ref="FM38:FO38"/>
    <mergeCell ref="FP38:FR39"/>
    <mergeCell ref="FQ40:FR40"/>
    <mergeCell ref="FQ41:FR41"/>
    <mergeCell ref="FP47:FP48"/>
    <mergeCell ref="FQ47:FQ48"/>
    <mergeCell ref="FR47:FR48"/>
    <mergeCell ref="FS47:FS48"/>
    <mergeCell ref="FP51:FP52"/>
    <mergeCell ref="FQ51:FQ52"/>
    <mergeCell ref="FR51:FR52"/>
    <mergeCell ref="FS51:FS52"/>
    <mergeCell ref="FV39:FW39"/>
    <mergeCell ref="FU39:FU40"/>
    <mergeCell ref="FX39:FX40"/>
    <mergeCell ref="FY39:FZ39"/>
    <mergeCell ref="FU38:FW38"/>
    <mergeCell ref="GA7:GA8"/>
    <mergeCell ref="GB7:GB8"/>
    <mergeCell ref="GC7:GC8"/>
    <mergeCell ref="GD7:GD8"/>
    <mergeCell ref="FT27:GC27"/>
    <mergeCell ref="FT28:GC28"/>
    <mergeCell ref="FT29:GC29"/>
    <mergeCell ref="FT30:GC30"/>
    <mergeCell ref="FT32:GC32"/>
    <mergeCell ref="FT33:GC33"/>
    <mergeCell ref="FT35:GD35"/>
    <mergeCell ref="FT37:GC37"/>
    <mergeCell ref="GD37:GD40"/>
    <mergeCell ref="FT38:FT40"/>
    <mergeCell ref="FX38:FZ38"/>
    <mergeCell ref="GA38:GC39"/>
    <mergeCell ref="GB40:GC40"/>
    <mergeCell ref="GB41:GC41"/>
    <mergeCell ref="GA47:GA48"/>
    <mergeCell ref="GB47:GB48"/>
    <mergeCell ref="GC47:GC48"/>
    <mergeCell ref="GD47:GD48"/>
    <mergeCell ref="GA51:GA52"/>
    <mergeCell ref="GB51:GB52"/>
    <mergeCell ref="GC51:GC52"/>
    <mergeCell ref="GD51:GD52"/>
    <mergeCell ref="GG39:GH39"/>
    <mergeCell ref="GF39:GF40"/>
    <mergeCell ref="GI39:GI40"/>
    <mergeCell ref="GJ39:GK39"/>
    <mergeCell ref="GF38:GH38"/>
    <mergeCell ref="GL7:GL8"/>
    <mergeCell ref="GM7:GM8"/>
    <mergeCell ref="GN7:GN8"/>
    <mergeCell ref="GO7:GO8"/>
    <mergeCell ref="GE27:GN27"/>
    <mergeCell ref="GE28:GN28"/>
    <mergeCell ref="GE29:GN29"/>
    <mergeCell ref="GE30:GN30"/>
    <mergeCell ref="GE32:GN32"/>
    <mergeCell ref="GE33:GN33"/>
    <mergeCell ref="GE35:GO35"/>
    <mergeCell ref="GE37:GN37"/>
    <mergeCell ref="GO37:GO40"/>
    <mergeCell ref="GE38:GE40"/>
    <mergeCell ref="GI38:GK38"/>
    <mergeCell ref="GL38:GN39"/>
    <mergeCell ref="GM40:GN40"/>
    <mergeCell ref="GM41:GN41"/>
    <mergeCell ref="GL47:GL48"/>
    <mergeCell ref="GM47:GM48"/>
    <mergeCell ref="GN47:GN48"/>
    <mergeCell ref="GO47:GO48"/>
    <mergeCell ref="GL51:GL52"/>
    <mergeCell ref="GM51:GM52"/>
    <mergeCell ref="GN51:GN52"/>
    <mergeCell ref="GO51:GO52"/>
    <mergeCell ref="GR39:GS39"/>
    <mergeCell ref="GQ39:GQ40"/>
    <mergeCell ref="GT39:GT40"/>
    <mergeCell ref="GU39:GV39"/>
    <mergeCell ref="GQ38:GS38"/>
    <mergeCell ref="GW7:GW8"/>
    <mergeCell ref="GX7:GX8"/>
    <mergeCell ref="GY7:GY8"/>
    <mergeCell ref="GZ7:GZ8"/>
    <mergeCell ref="GP27:GY27"/>
    <mergeCell ref="GP28:GY28"/>
    <mergeCell ref="GP29:GY29"/>
    <mergeCell ref="GP30:GY30"/>
    <mergeCell ref="GP32:GY32"/>
    <mergeCell ref="GP33:GY33"/>
    <mergeCell ref="GP35:GZ35"/>
    <mergeCell ref="GP37:GY37"/>
    <mergeCell ref="GZ37:GZ40"/>
    <mergeCell ref="GP38:GP40"/>
    <mergeCell ref="GT38:GV38"/>
    <mergeCell ref="GW38:GY39"/>
    <mergeCell ref="GX40:GY40"/>
    <mergeCell ref="GX41:GY41"/>
    <mergeCell ref="GW47:GW48"/>
    <mergeCell ref="GX47:GX48"/>
    <mergeCell ref="GY47:GY48"/>
    <mergeCell ref="GZ47:GZ48"/>
    <mergeCell ref="GW51:GW52"/>
    <mergeCell ref="GX51:GX52"/>
    <mergeCell ref="GY51:GY52"/>
    <mergeCell ref="GZ51:GZ52"/>
    <mergeCell ref="HC39:HD39"/>
    <mergeCell ref="HB39:HB40"/>
    <mergeCell ref="HE39:HE40"/>
    <mergeCell ref="HF39:HG39"/>
    <mergeCell ref="HB38:HD38"/>
    <mergeCell ref="HH7:HH8"/>
    <mergeCell ref="HI7:HI8"/>
    <mergeCell ref="HJ7:HJ8"/>
    <mergeCell ref="HK7:HK8"/>
    <mergeCell ref="HA27:HJ27"/>
    <mergeCell ref="HA28:HJ28"/>
    <mergeCell ref="HA29:HJ29"/>
    <mergeCell ref="HA30:HJ30"/>
    <mergeCell ref="HA32:HJ32"/>
    <mergeCell ref="HA33:HJ33"/>
    <mergeCell ref="HA35:HK35"/>
    <mergeCell ref="HA37:HJ37"/>
    <mergeCell ref="HK37:HK40"/>
    <mergeCell ref="HA38:HA40"/>
    <mergeCell ref="HE38:HG38"/>
    <mergeCell ref="HH38:HJ39"/>
    <mergeCell ref="HI40:HJ40"/>
    <mergeCell ref="HI41:HJ41"/>
    <mergeCell ref="HH47:HH48"/>
    <mergeCell ref="HI47:HI48"/>
    <mergeCell ref="HJ47:HJ48"/>
    <mergeCell ref="HK47:HK48"/>
    <mergeCell ref="HH51:HH52"/>
    <mergeCell ref="HI51:HI52"/>
    <mergeCell ref="HJ51:HJ52"/>
    <mergeCell ref="HK51:HK52"/>
    <mergeCell ref="HN39:HO39"/>
    <mergeCell ref="HM39:HM40"/>
    <mergeCell ref="HP39:HP40"/>
    <mergeCell ref="HQ39:HR39"/>
    <mergeCell ref="HM38:HO38"/>
    <mergeCell ref="HS7:HS8"/>
    <mergeCell ref="HT7:HT8"/>
    <mergeCell ref="HU7:HU8"/>
    <mergeCell ref="HV7:HV8"/>
    <mergeCell ref="HL27:HU27"/>
    <mergeCell ref="HL28:HU28"/>
    <mergeCell ref="HL29:HU29"/>
    <mergeCell ref="HL30:HU30"/>
    <mergeCell ref="HL32:HU32"/>
    <mergeCell ref="HL33:HU33"/>
    <mergeCell ref="HL35:HV35"/>
    <mergeCell ref="HL37:HU37"/>
    <mergeCell ref="HV37:HV40"/>
    <mergeCell ref="HL38:HL40"/>
    <mergeCell ref="HP38:HR38"/>
    <mergeCell ref="HS38:HU39"/>
    <mergeCell ref="HT40:HU40"/>
    <mergeCell ref="HT41:HU41"/>
    <mergeCell ref="HS47:HS48"/>
    <mergeCell ref="HT47:HT48"/>
    <mergeCell ref="HU47:HU48"/>
    <mergeCell ref="HV47:HV48"/>
    <mergeCell ref="HS51:HS52"/>
    <mergeCell ref="HT51:HT52"/>
    <mergeCell ref="HU51:HU52"/>
    <mergeCell ref="HV51:HV52"/>
    <mergeCell ref="HY39:HZ39"/>
    <mergeCell ref="HX39:HX40"/>
    <mergeCell ref="IA39:IA40"/>
    <mergeCell ref="IB39:IC39"/>
    <mergeCell ref="HX38:HZ38"/>
    <mergeCell ref="ID7:ID8"/>
    <mergeCell ref="IE7:IE8"/>
    <mergeCell ref="IF7:IF8"/>
    <mergeCell ref="IG7:IG8"/>
    <mergeCell ref="HW27:IF27"/>
    <mergeCell ref="HW28:IF28"/>
    <mergeCell ref="HW29:IF29"/>
    <mergeCell ref="HW30:IF30"/>
    <mergeCell ref="HW32:IF32"/>
    <mergeCell ref="HW33:IF33"/>
    <mergeCell ref="HW35:IG35"/>
    <mergeCell ref="HW37:IF37"/>
    <mergeCell ref="IG37:IG40"/>
    <mergeCell ref="HW38:HW40"/>
    <mergeCell ref="IA38:IC38"/>
    <mergeCell ref="ID38:IF39"/>
    <mergeCell ref="IE40:IF40"/>
    <mergeCell ref="IE41:IF41"/>
    <mergeCell ref="ID47:ID48"/>
    <mergeCell ref="IE47:IE48"/>
    <mergeCell ref="IF47:IF48"/>
    <mergeCell ref="IG47:IG48"/>
    <mergeCell ref="ID51:ID52"/>
    <mergeCell ref="IE51:IE52"/>
    <mergeCell ref="IF51:IF52"/>
    <mergeCell ref="IG51:IG52"/>
    <mergeCell ref="IJ39:IK39"/>
    <mergeCell ref="II39:II40"/>
    <mergeCell ref="IL39:IL40"/>
    <mergeCell ref="IM39:IN39"/>
    <mergeCell ref="II38:IK38"/>
    <mergeCell ref="IO7:IO8"/>
    <mergeCell ref="IP7:IP8"/>
    <mergeCell ref="IQ7:IQ8"/>
    <mergeCell ref="IR7:IR8"/>
    <mergeCell ref="IH27:IQ27"/>
    <mergeCell ref="IH28:IQ28"/>
    <mergeCell ref="IH29:IQ29"/>
    <mergeCell ref="IH30:IQ30"/>
    <mergeCell ref="IH32:IQ32"/>
    <mergeCell ref="IH33:IQ33"/>
    <mergeCell ref="IH35:IR35"/>
    <mergeCell ref="IH37:IQ37"/>
    <mergeCell ref="IR37:IR40"/>
    <mergeCell ref="IH38:IH40"/>
    <mergeCell ref="IL38:IN38"/>
    <mergeCell ref="IO38:IQ39"/>
    <mergeCell ref="IP40:IQ40"/>
    <mergeCell ref="IP41:IQ41"/>
    <mergeCell ref="IO47:IO48"/>
    <mergeCell ref="IP47:IP48"/>
    <mergeCell ref="IQ47:IQ48"/>
    <mergeCell ref="IR47:IR48"/>
    <mergeCell ref="IO51:IO52"/>
    <mergeCell ref="IP51:IP52"/>
    <mergeCell ref="IQ51:IQ52"/>
    <mergeCell ref="IR51:IR52"/>
    <mergeCell ref="IU39:IV39"/>
    <mergeCell ref="IT39:IT40"/>
    <mergeCell ref="IW39:IW40"/>
    <mergeCell ref="IX39:IY39"/>
    <mergeCell ref="IT38:IV38"/>
    <mergeCell ref="IZ7:IZ8"/>
    <mergeCell ref="JA7:JA8"/>
    <mergeCell ref="JB7:JB8"/>
    <mergeCell ref="JC7:JC8"/>
    <mergeCell ref="IS27:JB27"/>
    <mergeCell ref="IS28:JB28"/>
    <mergeCell ref="IS29:JB29"/>
    <mergeCell ref="IS30:JB30"/>
    <mergeCell ref="IS32:JB32"/>
    <mergeCell ref="IS33:JB33"/>
    <mergeCell ref="IS35:JC35"/>
    <mergeCell ref="IS37:JB37"/>
    <mergeCell ref="JC37:JC40"/>
    <mergeCell ref="IS38:IS40"/>
    <mergeCell ref="IW38:IY38"/>
    <mergeCell ref="IZ38:JB39"/>
    <mergeCell ref="JA40:JB40"/>
    <mergeCell ref="JA41:JB41"/>
    <mergeCell ref="IZ47:IZ48"/>
    <mergeCell ref="JA47:JA48"/>
    <mergeCell ref="JB47:JB48"/>
    <mergeCell ref="JC47:JC48"/>
    <mergeCell ref="IZ51:IZ52"/>
    <mergeCell ref="JA51:JA52"/>
    <mergeCell ref="JB51:JB52"/>
    <mergeCell ref="JC51:JC52"/>
    <mergeCell ref="JF39:JG39"/>
    <mergeCell ref="JE39:JE40"/>
    <mergeCell ref="JH39:JH40"/>
    <mergeCell ref="JI39:JJ39"/>
    <mergeCell ref="JE38:JG38"/>
    <mergeCell ref="JK7:JK8"/>
    <mergeCell ref="JL7:JL8"/>
    <mergeCell ref="JM7:JM8"/>
    <mergeCell ref="JN7:JN8"/>
    <mergeCell ref="JD27:JM27"/>
    <mergeCell ref="JD28:JM28"/>
    <mergeCell ref="JD29:JM29"/>
    <mergeCell ref="JD30:JM30"/>
    <mergeCell ref="JD32:JM32"/>
    <mergeCell ref="JD33:JM33"/>
    <mergeCell ref="JD35:JN35"/>
    <mergeCell ref="JD37:JM37"/>
    <mergeCell ref="JN37:JN40"/>
    <mergeCell ref="JD38:JD40"/>
    <mergeCell ref="JH38:JJ38"/>
    <mergeCell ref="JK38:JM39"/>
    <mergeCell ref="JL40:JM40"/>
    <mergeCell ref="JL41:JM41"/>
    <mergeCell ref="JK47:JK48"/>
    <mergeCell ref="JL47:JL48"/>
    <mergeCell ref="JM47:JM48"/>
    <mergeCell ref="JN47:JN48"/>
    <mergeCell ref="JK51:JK52"/>
    <mergeCell ref="JL51:JL52"/>
    <mergeCell ref="JM51:JM52"/>
    <mergeCell ref="JN51:JN52"/>
    <mergeCell ref="JQ39:JR39"/>
    <mergeCell ref="JP39:JP40"/>
    <mergeCell ref="JS39:JS40"/>
    <mergeCell ref="JT39:JU39"/>
    <mergeCell ref="JP38:JR38"/>
    <mergeCell ref="JV7:JV8"/>
    <mergeCell ref="JW7:JW8"/>
    <mergeCell ref="JX7:JX8"/>
    <mergeCell ref="JY7:JY8"/>
    <mergeCell ref="JO27:JX27"/>
    <mergeCell ref="JO28:JX28"/>
    <mergeCell ref="JO29:JX29"/>
    <mergeCell ref="JO30:JX30"/>
    <mergeCell ref="JO32:JX32"/>
    <mergeCell ref="JO33:JX33"/>
    <mergeCell ref="JO35:JY35"/>
    <mergeCell ref="JO37:JX37"/>
    <mergeCell ref="JY37:JY40"/>
    <mergeCell ref="JO38:JO40"/>
    <mergeCell ref="JS38:JU38"/>
    <mergeCell ref="JV38:JX39"/>
    <mergeCell ref="JW40:JX40"/>
    <mergeCell ref="JW41:JX41"/>
    <mergeCell ref="JV47:JV48"/>
    <mergeCell ref="JW47:JW48"/>
    <mergeCell ref="JX47:JX48"/>
    <mergeCell ref="JY47:JY48"/>
    <mergeCell ref="JV51:JV52"/>
    <mergeCell ref="JW51:JW52"/>
    <mergeCell ref="JX51:JX52"/>
    <mergeCell ref="JY51:JY52"/>
    <mergeCell ref="KB39:KC39"/>
    <mergeCell ref="KA39:KA40"/>
    <mergeCell ref="KD39:KD40"/>
    <mergeCell ref="KE39:KF39"/>
    <mergeCell ref="KA38:KC38"/>
    <mergeCell ref="KG7:KG8"/>
    <mergeCell ref="KH7:KH8"/>
    <mergeCell ref="KI7:KI8"/>
    <mergeCell ref="KJ7:KJ8"/>
    <mergeCell ref="JZ27:KI27"/>
    <mergeCell ref="JZ28:KI28"/>
    <mergeCell ref="JZ29:KI29"/>
    <mergeCell ref="JZ30:KI30"/>
    <mergeCell ref="JZ32:KI32"/>
    <mergeCell ref="JZ33:KI33"/>
    <mergeCell ref="JZ35:KJ35"/>
    <mergeCell ref="JZ37:KI37"/>
    <mergeCell ref="KJ37:KJ40"/>
    <mergeCell ref="JZ38:JZ40"/>
    <mergeCell ref="KD38:KF38"/>
    <mergeCell ref="KG38:KI39"/>
    <mergeCell ref="KH40:KI40"/>
    <mergeCell ref="KH41:KI41"/>
    <mergeCell ref="KG47:KG48"/>
    <mergeCell ref="KH47:KH48"/>
    <mergeCell ref="KI47:KI48"/>
    <mergeCell ref="KJ47:KJ48"/>
    <mergeCell ref="KG51:KG52"/>
    <mergeCell ref="KH51:KH52"/>
    <mergeCell ref="KI51:KI52"/>
    <mergeCell ref="KJ51:KJ52"/>
    <mergeCell ref="KM39:KN39"/>
    <mergeCell ref="KL39:KL40"/>
    <mergeCell ref="KO39:KO40"/>
    <mergeCell ref="KP39:KQ39"/>
    <mergeCell ref="KL38:KN38"/>
    <mergeCell ref="KR7:KR8"/>
    <mergeCell ref="KS7:KS8"/>
    <mergeCell ref="KT7:KT8"/>
    <mergeCell ref="KU7:KU8"/>
    <mergeCell ref="KK27:KT27"/>
    <mergeCell ref="KK28:KT28"/>
    <mergeCell ref="KK29:KT29"/>
    <mergeCell ref="KK30:KT30"/>
    <mergeCell ref="KK32:KT32"/>
    <mergeCell ref="KK33:KT33"/>
    <mergeCell ref="KK35:KU35"/>
    <mergeCell ref="KK37:KT37"/>
    <mergeCell ref="KU37:KU40"/>
    <mergeCell ref="KK38:KK40"/>
    <mergeCell ref="KO38:KQ38"/>
    <mergeCell ref="KR38:KT39"/>
    <mergeCell ref="KS40:KT40"/>
    <mergeCell ref="KS41:KT41"/>
    <mergeCell ref="KR47:KR48"/>
    <mergeCell ref="KS47:KS48"/>
    <mergeCell ref="KT47:KT48"/>
    <mergeCell ref="KU47:KU48"/>
    <mergeCell ref="KR51:KR52"/>
    <mergeCell ref="KS51:KS52"/>
    <mergeCell ref="KT51:KT52"/>
    <mergeCell ref="KU51:KU52"/>
    <mergeCell ref="KX39:KY39"/>
    <mergeCell ref="KW39:KW40"/>
    <mergeCell ref="KZ39:KZ40"/>
    <mergeCell ref="LA39:LB39"/>
    <mergeCell ref="KW38:KY38"/>
    <mergeCell ref="LC7:LC8"/>
    <mergeCell ref="LD7:LD8"/>
    <mergeCell ref="LE7:LE8"/>
    <mergeCell ref="LF7:LF8"/>
    <mergeCell ref="KV27:LE27"/>
    <mergeCell ref="KV28:LE28"/>
    <mergeCell ref="KV29:LE29"/>
    <mergeCell ref="KV30:LE30"/>
    <mergeCell ref="KV32:LE32"/>
    <mergeCell ref="KV33:LE33"/>
    <mergeCell ref="KV35:LF35"/>
    <mergeCell ref="KV37:LE37"/>
    <mergeCell ref="LF37:LF40"/>
    <mergeCell ref="KV38:KV40"/>
    <mergeCell ref="KZ38:LB38"/>
    <mergeCell ref="LC38:LE39"/>
    <mergeCell ref="LD40:LE40"/>
    <mergeCell ref="LD41:LE41"/>
    <mergeCell ref="LC47:LC48"/>
    <mergeCell ref="LD47:LD48"/>
    <mergeCell ref="LE47:LE48"/>
    <mergeCell ref="LF47:LF48"/>
    <mergeCell ref="LC51:LC52"/>
    <mergeCell ref="LD51:LD52"/>
    <mergeCell ref="LE51:LE52"/>
    <mergeCell ref="LF51:LF52"/>
    <mergeCell ref="LI39:LJ39"/>
    <mergeCell ref="LH39:LH40"/>
    <mergeCell ref="LK39:LK40"/>
    <mergeCell ref="LL39:LM39"/>
    <mergeCell ref="LH38:LJ38"/>
    <mergeCell ref="LN7:LN8"/>
    <mergeCell ref="LO7:LO8"/>
    <mergeCell ref="LP7:LP8"/>
    <mergeCell ref="LQ7:LQ8"/>
    <mergeCell ref="LG27:LP27"/>
    <mergeCell ref="LG28:LP28"/>
    <mergeCell ref="LG29:LP29"/>
    <mergeCell ref="LG30:LP30"/>
    <mergeCell ref="LG32:LP32"/>
    <mergeCell ref="LG33:LP33"/>
    <mergeCell ref="LG35:LQ35"/>
    <mergeCell ref="LG37:LP37"/>
    <mergeCell ref="LQ37:LQ40"/>
    <mergeCell ref="LG38:LG40"/>
    <mergeCell ref="LK38:LM38"/>
    <mergeCell ref="LN38:LP39"/>
    <mergeCell ref="LO40:LP40"/>
    <mergeCell ref="LO41:LP41"/>
    <mergeCell ref="LN47:LN48"/>
    <mergeCell ref="LO47:LO48"/>
    <mergeCell ref="LP47:LP48"/>
    <mergeCell ref="LQ47:LQ48"/>
    <mergeCell ref="LN51:LN52"/>
    <mergeCell ref="LO51:LO52"/>
    <mergeCell ref="LP51:LP52"/>
    <mergeCell ref="LQ51:LQ52"/>
    <mergeCell ref="LT39:LU39"/>
    <mergeCell ref="LS39:LS40"/>
    <mergeCell ref="LV39:LV40"/>
    <mergeCell ref="LW39:LX39"/>
    <mergeCell ref="LS38:LU38"/>
    <mergeCell ref="LY7:LY8"/>
    <mergeCell ref="LZ7:LZ8"/>
    <mergeCell ref="MA7:MA8"/>
    <mergeCell ref="MB7:MB8"/>
    <mergeCell ref="LR27:MA27"/>
    <mergeCell ref="LR28:MA28"/>
    <mergeCell ref="LR29:MA29"/>
    <mergeCell ref="LR30:MA30"/>
    <mergeCell ref="LR32:MA32"/>
    <mergeCell ref="LR33:MA33"/>
    <mergeCell ref="LR35:MB35"/>
    <mergeCell ref="LR37:MA37"/>
    <mergeCell ref="MB37:MB40"/>
    <mergeCell ref="LR38:LR40"/>
    <mergeCell ref="LV38:LX38"/>
    <mergeCell ref="LY38:MA39"/>
    <mergeCell ref="LZ40:MA40"/>
    <mergeCell ref="LZ41:MA41"/>
    <mergeCell ref="LY47:LY48"/>
    <mergeCell ref="LZ47:LZ48"/>
    <mergeCell ref="MA47:MA48"/>
    <mergeCell ref="MB47:MB48"/>
    <mergeCell ref="LY51:LY52"/>
    <mergeCell ref="LZ51:LZ52"/>
    <mergeCell ref="MA51:MA52"/>
    <mergeCell ref="MB51:MB52"/>
    <mergeCell ref="ME39:MF39"/>
    <mergeCell ref="MD39:MD40"/>
    <mergeCell ref="MG39:MG40"/>
    <mergeCell ref="MH39:MI39"/>
    <mergeCell ref="MD38:MF38"/>
    <mergeCell ref="MJ7:MJ8"/>
    <mergeCell ref="MK7:MK8"/>
    <mergeCell ref="ML7:ML8"/>
    <mergeCell ref="MM7:MM8"/>
    <mergeCell ref="MC27:ML27"/>
    <mergeCell ref="MC28:ML28"/>
    <mergeCell ref="MC29:ML29"/>
    <mergeCell ref="MC30:ML30"/>
    <mergeCell ref="MC32:ML32"/>
    <mergeCell ref="MC33:ML33"/>
    <mergeCell ref="MC35:MM35"/>
    <mergeCell ref="MC37:ML37"/>
    <mergeCell ref="MM37:MM40"/>
    <mergeCell ref="MC38:MC40"/>
    <mergeCell ref="MG38:MI38"/>
    <mergeCell ref="MJ38:ML39"/>
    <mergeCell ref="MK40:ML40"/>
    <mergeCell ref="MK41:ML41"/>
    <mergeCell ref="MJ47:MJ48"/>
    <mergeCell ref="MK47:MK48"/>
    <mergeCell ref="ML47:ML48"/>
    <mergeCell ref="MM47:MM48"/>
    <mergeCell ref="MJ51:MJ52"/>
    <mergeCell ref="MK51:MK52"/>
    <mergeCell ref="ML51:ML52"/>
    <mergeCell ref="MM51:MM52"/>
    <mergeCell ref="MP39:MQ39"/>
    <mergeCell ref="MO39:MO40"/>
    <mergeCell ref="MR39:MR40"/>
    <mergeCell ref="MS39:MT39"/>
    <mergeCell ref="MO38:MQ38"/>
    <mergeCell ref="MU7:MU8"/>
    <mergeCell ref="MV7:MV8"/>
    <mergeCell ref="MW7:MW8"/>
    <mergeCell ref="MX7:MX8"/>
    <mergeCell ref="MN27:MW27"/>
    <mergeCell ref="MN28:MW28"/>
    <mergeCell ref="MN29:MW29"/>
    <mergeCell ref="MN30:MW30"/>
    <mergeCell ref="MN32:MW32"/>
    <mergeCell ref="MN33:MW33"/>
    <mergeCell ref="MN35:MX35"/>
    <mergeCell ref="MN37:MW37"/>
    <mergeCell ref="MX37:MX40"/>
    <mergeCell ref="MN38:MN40"/>
    <mergeCell ref="MR38:MT38"/>
    <mergeCell ref="MU38:MW39"/>
    <mergeCell ref="MV40:MW40"/>
    <mergeCell ref="MV41:MW41"/>
    <mergeCell ref="MU47:MU48"/>
    <mergeCell ref="MV47:MV48"/>
    <mergeCell ref="MW47:MW48"/>
    <mergeCell ref="MX47:MX48"/>
    <mergeCell ref="MU51:MU52"/>
    <mergeCell ref="MV51:MV52"/>
    <mergeCell ref="MW51:MW52"/>
    <mergeCell ref="MX51:MX52"/>
    <mergeCell ref="NA39:NB39"/>
    <mergeCell ref="MZ39:MZ40"/>
    <mergeCell ref="NC39:NC40"/>
    <mergeCell ref="ND39:NE39"/>
    <mergeCell ref="MZ38:NB38"/>
    <mergeCell ref="NF7:NF8"/>
    <mergeCell ref="NG7:NG8"/>
    <mergeCell ref="NH7:NH8"/>
    <mergeCell ref="NI7:NI8"/>
    <mergeCell ref="MY27:NH27"/>
    <mergeCell ref="MY28:NH28"/>
    <mergeCell ref="MY29:NH29"/>
    <mergeCell ref="MY30:NH30"/>
    <mergeCell ref="MY32:NH32"/>
    <mergeCell ref="MY33:NH33"/>
    <mergeCell ref="MY35:NI35"/>
    <mergeCell ref="MY37:NH37"/>
    <mergeCell ref="NI37:NI40"/>
    <mergeCell ref="MY38:MY40"/>
    <mergeCell ref="NC38:NE38"/>
    <mergeCell ref="NF38:NH39"/>
    <mergeCell ref="NG40:NH40"/>
    <mergeCell ref="NG41:NH41"/>
    <mergeCell ref="NF47:NF48"/>
    <mergeCell ref="NG47:NG48"/>
    <mergeCell ref="NH47:NH48"/>
    <mergeCell ref="NI47:NI48"/>
    <mergeCell ref="NF51:NF52"/>
    <mergeCell ref="NG51:NG52"/>
    <mergeCell ref="NH51:NH52"/>
    <mergeCell ref="NI51:NI52"/>
    <mergeCell ref="NL39:NM39"/>
    <mergeCell ref="NK39:NK40"/>
    <mergeCell ref="NN39:NN40"/>
    <mergeCell ref="NO39:NP39"/>
    <mergeCell ref="NK38:NM38"/>
    <mergeCell ref="NQ7:NQ8"/>
    <mergeCell ref="NR7:NR8"/>
    <mergeCell ref="NS7:NS8"/>
    <mergeCell ref="NT7:NT8"/>
    <mergeCell ref="NJ27:NS27"/>
    <mergeCell ref="NJ28:NS28"/>
    <mergeCell ref="NJ29:NS29"/>
    <mergeCell ref="NJ30:NS30"/>
    <mergeCell ref="NJ32:NS32"/>
    <mergeCell ref="NJ33:NS33"/>
    <mergeCell ref="NJ35:NT35"/>
    <mergeCell ref="NJ37:NS37"/>
    <mergeCell ref="NT37:NT40"/>
    <mergeCell ref="NJ38:NJ40"/>
    <mergeCell ref="NN38:NP38"/>
    <mergeCell ref="NQ38:NS39"/>
    <mergeCell ref="NR40:NS40"/>
    <mergeCell ref="NR41:NS41"/>
    <mergeCell ref="NQ47:NQ48"/>
    <mergeCell ref="NR47:NR48"/>
    <mergeCell ref="NS47:NS48"/>
    <mergeCell ref="NT47:NT48"/>
    <mergeCell ref="NQ51:NQ52"/>
    <mergeCell ref="NR51:NR52"/>
    <mergeCell ref="NS51:NS52"/>
    <mergeCell ref="NT51:NT52"/>
    <mergeCell ref="NW39:NX39"/>
    <mergeCell ref="NV39:NV40"/>
    <mergeCell ref="NY39:NY40"/>
    <mergeCell ref="NZ39:OA39"/>
    <mergeCell ref="NV38:NX38"/>
    <mergeCell ref="OB7:OB8"/>
    <mergeCell ref="OC7:OC8"/>
    <mergeCell ref="OD7:OD8"/>
    <mergeCell ref="OE7:OE8"/>
    <mergeCell ref="NU27:OD27"/>
    <mergeCell ref="NU28:OD28"/>
    <mergeCell ref="NU29:OD29"/>
    <mergeCell ref="NU30:OD30"/>
    <mergeCell ref="NU32:OD32"/>
    <mergeCell ref="NU33:OD33"/>
    <mergeCell ref="NU35:OE35"/>
    <mergeCell ref="NU37:OD37"/>
    <mergeCell ref="OE37:OE40"/>
    <mergeCell ref="NU38:NU40"/>
    <mergeCell ref="NY38:OA38"/>
    <mergeCell ref="OB38:OD39"/>
    <mergeCell ref="OC40:OD40"/>
    <mergeCell ref="OC41:OD41"/>
    <mergeCell ref="OB47:OB48"/>
    <mergeCell ref="OC47:OC48"/>
    <mergeCell ref="OD47:OD48"/>
    <mergeCell ref="OE47:OE48"/>
    <mergeCell ref="OB51:OB52"/>
    <mergeCell ref="OC51:OC52"/>
    <mergeCell ref="OD51:OD52"/>
    <mergeCell ref="OE51:OE52"/>
    <mergeCell ref="OH39:OI39"/>
    <mergeCell ref="OG39:OG40"/>
    <mergeCell ref="OJ39:OJ40"/>
    <mergeCell ref="OK39:OL39"/>
    <mergeCell ref="OG38:OI38"/>
    <mergeCell ref="OM7:OM8"/>
    <mergeCell ref="ON7:ON8"/>
    <mergeCell ref="OO7:OO8"/>
    <mergeCell ref="OP7:OP8"/>
    <mergeCell ref="OF27:OO27"/>
    <mergeCell ref="OF28:OO28"/>
    <mergeCell ref="OF29:OO29"/>
    <mergeCell ref="OF30:OO30"/>
    <mergeCell ref="OF32:OO32"/>
    <mergeCell ref="OF33:OO33"/>
    <mergeCell ref="OF35:OP35"/>
    <mergeCell ref="OF37:OO37"/>
    <mergeCell ref="OP37:OP40"/>
    <mergeCell ref="OF38:OF40"/>
    <mergeCell ref="OJ38:OL38"/>
    <mergeCell ref="OM38:OO39"/>
    <mergeCell ref="ON40:OO40"/>
    <mergeCell ref="ON41:OO41"/>
    <mergeCell ref="OM47:OM48"/>
    <mergeCell ref="ON47:ON48"/>
    <mergeCell ref="OO47:OO48"/>
    <mergeCell ref="OP47:OP48"/>
    <mergeCell ref="OM51:OM52"/>
    <mergeCell ref="ON51:ON52"/>
    <mergeCell ref="OO51:OO52"/>
    <mergeCell ref="OP51:OP52"/>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OP524335 AQ196655:OP196655 AQ589871:OP589871 AQ655407:OP655407 AQ15 AQ720943:OP720943 AQ786479:OP786479 AQ852015:OP852015 AQ917551:OP917551 AQ983087:OP983087 AQ65583:OP65583 AQ131119:OP131119 AQ458799:OP458799 AQ262191:OP262191 AQ7 AZ7 BB7 BK7 BM7 BV7 BX7 CG7 CI7 CR7 CT7 DC7 DE7 DN7 DP7 DY7 EA7 EJ7 EL7 EU7 EW7 FF7 FH7 FQ7 FS7 GB7 GD7 GM7 GO7 GX7 GZ7 HI7 HK7 HT7 HV7 IE7 IG7 IP7 IR7 JA7 JC7 JL7 JN7 JW7 JY7 KH7 KJ7 KS7 KU7 LD7 LF7 LO7 LQ7 LZ7 MB7 MK7 MM7 MV7 MX7 NG7 NI7 NR7 NT7 OC7 OE7 ON7 OP7 AO47 AQ327727:OP327727 AO15 AO7 AD7 AF7 AQ393263:OP393263 AQ47 AZ47 BB47 BK47 BM47 BV47 BX47 CG47 CI47 CR47 CT47 DC47 DE47 DN47 DP47 DY47 EA47 EJ47 EL47 EU47 EW47 FF47 FH47 FQ47 FS47 GB47 GD47 GM47 GO47 GX47 GZ47 HI47 HK47 HT47 HV47 IE47 IG47 IP47 IR47 JA47 JC47 JL47 JN47 JW47 JY47 KH47 KJ47 KS47 KU47 LD47 LF47 LO47 LQ47 LZ47 MB47 MK47 MM47 MV47 MX47 NG47 NI47 NR47 NT47 OC47 OE47 ON47 OP47 AD47 AF47 AD51 AF51 AO51 AQ51 AZ51 BB51 BK51 BM51 BV51 BX51 CG51 CI51 CR51 CT51 DC51 DE51 DN51 DP51 DY51 EA51 EJ51 EL51 EU51 EW51 FF51 FH51 FQ51 FS51 GB51 GD51 GM51 GO51 GX51 GZ51 HI51 HK51 HT51 HV51 IE51 IG51 IP51 IR51 JA51 JC51 JL51 JN51 JW51 JY51 KH51 KJ51 KS51 KU51 LD51 LF51 LO51 LQ51 LZ51 MB51 MK51 MM51 MV51 MX51 NG51 NI51 NR51 NT51 OC51 OE51 ON51 OP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Y7 BA7 AY47 BA47 BJ7 BL7 BJ47 BL47 AC51 AE51 AN51 AP51 AY51 BA51 BJ51 BL51 BU7 BW7 BU47 BW47 BU51 BW51 CF7 CH7 CF47 CH47 CF51 CH51 CQ7 CS7 CQ47 CS47 CQ51 CS51 DB7 DD7 DB47 DD47 DB51 DD51 DM7 DO7 DM47 DO47 DM51 DO51 DX7 DZ7 DX47 DZ47 DX51 DZ51 EI7 EK7 EI47 EK47 EI51 EK51 ET7 EV7 ET47 EV47 ET51 EV51 FE7 FG7 FE47 FG47 FE51 FG51 FP7 FR7 FP47 FR47 FP51 FR51 GA7 GC7 GA47 GC47 GA51 GC51 GL7 GN7 GL47 GN47 GL51 GN51 GW7 GY7 GW47 GY47 GW51 GY51 HH7 HJ7 HH47 HJ47 HH51 HJ51 HS7 HU7 HS47 HU47 HS51 HU51 ID7 IF7 ID47 IF47 ID51 IF51 IO7 IQ7 IO47 IQ47 IO51 IQ51 IZ7 JB7 IZ47 JB47 IZ51 JB51 JK7 JM7 JK47 JM47 JK51 JM51 JV7 JX7 JV47 JX47 JV51 JX51 KG7 KI7 KG47 KI47 KG51 KI51 KR7 KT7 KR47 KT47 KR51 KT51 LC7 LE7 LC47 LE47 LC51 LE51 LN7 LP7 LN47 LP47 LN51 LP51 LY7 MA7 LY47 MA47 LY51 MA51 MJ7 ML7 MJ47 ML47 MJ51 ML51 MU7 MW7 MU47 MW47 MU51 MW51 NF7 NH7 NF47 NH47 NF51 NH51 NQ7 NS7 NQ47 NS47 NQ51 NS51 OB7 OD7 OB47 OD47 OB51 OD51 OM7 OO7 OM47 OO47 OM51 OO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OR65577:OR65584 OR131113:OR131120 OR196649:OR196656 OR262185:OR262192 OR327721:OR327728 OR393257:OR393264 OR458793:OR458800 OR524329:OR524336 OR589865:OR589872 OR655401:OR655408 OR720937:OR720944 OR786473:OR786480 OR852009:OR852016 OR917545:OR917552 OR983081:OR983088 T47 T7 AG45:AQ45 OQ45 AG5:AQ5 OQ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OQ983086 V65582:OQ65582 V131118:OQ131118 V196654:OQ196654 V262190:OQ262190 V327726:OQ327726 V393262:OQ393262 V458798:OQ458798 V524334:OQ524334 V589870:OQ589870 V655406:OQ655406 V720942:OQ720942 V786478:OQ786478 V852014:OQ852014 V917550:OQ917550">
      <formula1>kind_of_cons</formula1>
    </dataValidation>
    <dataValidation allowBlank="1" sqref="S131121:OR131127 S196657:OR196663 S262193:OR262199 S327729:OR327735 S393265:OR393271 S458801:OR458807 S524337:OR524343 S589873:OR589879 S655409:OR655415 S720945:OR720951 S786481:OR786487 S852017:OR852023 S917553:OR917559 S983089:OR983095 S65585:OR6559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7EBA1-9D44-6E8B-35DE-77F534671E75}"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3533" width="10.57421875" hidden="1"/>
    <col min="2" max="2" style="13533" width="11.00390625" hidden="1" customWidth="1"/>
    <col min="3" max="3" style="13533" width="10.57421875" hidden="1"/>
    <col min="4" max="4" style="13533" width="11.8515625" hidden="1" customWidth="1"/>
    <col min="5" max="5" style="13533" width="10.00390625" hidden="1" customWidth="1"/>
    <col min="6" max="6" style="13533" width="8.7109375" hidden="1" customWidth="1"/>
    <col min="7" max="7" style="13533" width="7.57421875" hidden="1" customWidth="1"/>
    <col min="8" max="8" style="13533" width="11.421875" hidden="1" customWidth="1"/>
    <col min="9" max="9" style="13533" width="14.140625" hidden="1" customWidth="1"/>
    <col min="10" max="10" style="13533" width="9.8515625" hidden="1" customWidth="1"/>
    <col min="11" max="11" style="13533" width="14.7109375" hidden="1" customWidth="1"/>
    <col min="12" max="12" style="13884" width="19.140625" hidden="1" customWidth="1"/>
    <col min="13" max="14" style="13615" width="12.28125" hidden="1" customWidth="1"/>
    <col min="15" max="15" style="13615" width="23.421875" hidden="1" customWidth="1"/>
    <col min="16" max="16" style="13885" width="3.7109375" customWidth="1"/>
    <col min="17" max="18" style="13617" width="3.7109375" customWidth="1"/>
    <col min="19" max="19" style="13618" width="12.7109375" customWidth="1"/>
    <col min="20" max="20" style="13619" width="35.7109375" customWidth="1"/>
    <col min="21" max="21" style="13619" width="0.140625" customWidth="1"/>
    <col min="22" max="22" style="13619" width="19.7109375" hidden="1" customWidth="1"/>
    <col min="23" max="27" style="13661" width="19.7109375" hidden="1" customWidth="1"/>
    <col min="28" max="28" style="13619" width="19.7109375" hidden="1" customWidth="1"/>
    <col min="29" max="29" style="13619" width="11.7109375" hidden="1" customWidth="1"/>
    <col min="30" max="30" style="13619" width="3.7109375" hidden="1" customWidth="1"/>
    <col min="31" max="31" style="13619" width="11.7109375" hidden="1" customWidth="1"/>
    <col min="32" max="32" style="13619" width="8.57421875" hidden="1" customWidth="1"/>
    <col min="33" max="33" style="13619" width="19.7109375" customWidth="1"/>
    <col min="34" max="38" style="13661" width="19.7109375" customWidth="1"/>
    <col min="39" max="39" style="13619" width="19.7109375" customWidth="1"/>
    <col min="40" max="40" style="13619" width="11.7109375" customWidth="1"/>
    <col min="41" max="41" style="13619" width="3.7109375" customWidth="1"/>
    <col min="42" max="42" style="13619" width="11.7109375" customWidth="1"/>
    <col min="43" max="43" style="13619" width="8.57421875" hidden="1" customWidth="1"/>
    <col min="44" max="44" style="13619" width="4.7109375" customWidth="1"/>
    <col min="45" max="45" style="13619" width="115.7109375" customWidth="1"/>
    <col min="46" max="47" style="13606" width="10.57421875"/>
    <col min="48" max="48" style="13606" width="11.140625" customWidth="1"/>
    <col min="49" max="50" style="13606" width="10.57421875"/>
  </cols>
  <sheetData>
    <row customHeight="1" ht="14.25" hidden="1">
      <c r="AB1" s="550"/>
      <c r="AC1" s="550"/>
      <c r="AM1" s="550"/>
      <c r="AN1" s="550"/>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122</v>
      </c>
      <c r="U2" s="523"/>
      <c r="V2" s="2383"/>
      <c r="W2" s="2384"/>
      <c r="X2" s="2384"/>
      <c r="Y2" s="2384"/>
      <c r="Z2" s="2384"/>
      <c r="AA2" s="2384"/>
      <c r="AB2" s="2384"/>
      <c r="AC2" s="2384"/>
      <c r="AD2" s="2384"/>
      <c r="AE2" s="2384"/>
      <c r="AF2" s="2385"/>
      <c r="AG2" s="2383">
        <f>INDEX(PT_DIFFERENTIATION_NTAR,MATCH(A2,PT_DIFFERENTIATION_NTAR_ID,0))</f>
      </c>
      <c r="AH2" s="2384"/>
      <c r="AI2" s="2384"/>
      <c r="AJ2" s="2384"/>
      <c r="AK2" s="2384"/>
      <c r="AL2" s="2384"/>
      <c r="AM2" s="2384"/>
      <c r="AN2" s="2384"/>
      <c r="AO2" s="2384"/>
      <c r="AP2" s="2384"/>
      <c r="AQ2" s="2384"/>
      <c r="AR2" s="2385"/>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3"/>
      <c r="AV2" s="723" t="str">
        <f>IF(T2="","",T2)</f>
        <v>Наименование тарифа</v>
      </c>
      <c r="AW2" s="723"/>
      <c r="AX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398</v>
      </c>
      <c r="U3" s="523"/>
      <c r="V3" s="2383"/>
      <c r="W3" s="2384"/>
      <c r="X3" s="2384"/>
      <c r="Y3" s="2384"/>
      <c r="Z3" s="2384"/>
      <c r="AA3" s="2384"/>
      <c r="AB3" s="2384"/>
      <c r="AC3" s="2384"/>
      <c r="AD3" s="2384"/>
      <c r="AE3" s="2384"/>
      <c r="AF3" s="2385"/>
      <c r="AG3" s="2383">
        <f>INDEX(PT_DIFFERENTIATION_TER,MATCH(B3,PT_DIFFERENTIATION_TER_ID,0))</f>
      </c>
      <c r="AH3" s="2384"/>
      <c r="AI3" s="2384"/>
      <c r="AJ3" s="2384"/>
      <c r="AK3" s="2384"/>
      <c r="AL3" s="2384"/>
      <c r="AM3" s="2384"/>
      <c r="AN3" s="2384"/>
      <c r="AO3" s="2384"/>
      <c r="AP3" s="2384"/>
      <c r="AQ3" s="2384"/>
      <c r="AR3" s="2385"/>
      <c r="AS3" s="1485" t="s">
        <v>399</v>
      </c>
      <c r="AU3" s="723"/>
      <c r="AV3" s="723" t="str">
        <f>IF(T3="","",T3)</f>
        <v>Территория действия тарифа</v>
      </c>
      <c r="AW3" s="723"/>
      <c r="AX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529</v>
      </c>
      <c r="U4" s="523"/>
      <c r="V4" s="2383"/>
      <c r="W4" s="2384"/>
      <c r="X4" s="2384"/>
      <c r="Y4" s="2384"/>
      <c r="Z4" s="2384"/>
      <c r="AA4" s="2384"/>
      <c r="AB4" s="2384"/>
      <c r="AC4" s="2384"/>
      <c r="AD4" s="2384"/>
      <c r="AE4" s="2384"/>
      <c r="AF4" s="2385"/>
      <c r="AG4" s="2383">
        <f>INDEX(PT_DIFFERENTIATION_CS,MATCH(C4,PT_DIFFERENTIATION_CS_ID,0))</f>
      </c>
      <c r="AH4" s="2384"/>
      <c r="AI4" s="2384"/>
      <c r="AJ4" s="2384"/>
      <c r="AK4" s="2384"/>
      <c r="AL4" s="2384"/>
      <c r="AM4" s="2384"/>
      <c r="AN4" s="2384"/>
      <c r="AO4" s="2384"/>
      <c r="AP4" s="2384"/>
      <c r="AQ4" s="2384"/>
      <c r="AR4" s="2385"/>
      <c r="AS4" s="1485" t="s">
        <v>530</v>
      </c>
      <c r="AU4" s="723"/>
      <c r="AV4" s="723" t="str">
        <f>IF(T4="","",T4)</f>
        <v>Наименование централизованной системы горячего водоснабжения</v>
      </c>
      <c r="AW4" s="723"/>
      <c r="AX4" s="723"/>
    </row>
    <row customHeight="1" ht="23.25" hidden="1">
      <c r="A5" s="1591"/>
      <c r="B5" s="1591"/>
      <c r="C5" s="1591"/>
      <c r="D5" s="1591"/>
      <c r="E5" s="2390"/>
      <c r="F5" s="2390"/>
      <c r="G5" s="2390"/>
      <c r="H5" s="2390"/>
      <c r="I5" s="2391">
        <f>S4&amp;".1"</f>
      </c>
      <c r="J5" s="1591"/>
      <c r="K5" s="1591"/>
      <c r="L5" s="1592"/>
      <c r="P5" s="2393">
        <v>1</v>
      </c>
      <c r="Q5" s="1709"/>
      <c r="R5" s="579"/>
      <c r="S5" s="1721">
        <f>$I5</f>
      </c>
      <c r="T5" s="508" t="s">
        <v>482</v>
      </c>
      <c r="U5" s="523"/>
      <c r="V5" s="2476"/>
      <c r="W5" s="2477"/>
      <c r="X5" s="2477"/>
      <c r="Y5" s="2477"/>
      <c r="Z5" s="2477"/>
      <c r="AA5" s="2477"/>
      <c r="AB5" s="2477"/>
      <c r="AC5" s="2477"/>
      <c r="AD5" s="2477"/>
      <c r="AE5" s="2477"/>
      <c r="AF5" s="2478"/>
      <c r="AG5" s="2479"/>
      <c r="AH5" s="2480"/>
      <c r="AI5" s="2480"/>
      <c r="AJ5" s="2480"/>
      <c r="AK5" s="2480"/>
      <c r="AL5" s="2480"/>
      <c r="AM5" s="2480"/>
      <c r="AN5" s="2480"/>
      <c r="AO5" s="2480"/>
      <c r="AP5" s="2480"/>
      <c r="AQ5" s="2480"/>
      <c r="AR5" s="2481"/>
      <c r="AS5" s="1485" t="s">
        <v>483</v>
      </c>
      <c r="AU5" s="723"/>
      <c r="AV5" s="723" t="str">
        <f>IF(T5="","",T5)</f>
        <v>Наименование признака дифференциации</v>
      </c>
      <c r="AW5" s="723"/>
      <c r="AX5" s="723"/>
    </row>
    <row customHeight="1" ht="23.25" hidden="1">
      <c r="A6" s="1591"/>
      <c r="B6" s="1591"/>
      <c r="C6" s="1591"/>
      <c r="D6" s="1591"/>
      <c r="E6" s="2390"/>
      <c r="F6" s="2390"/>
      <c r="G6" s="2390"/>
      <c r="H6" s="2390"/>
      <c r="I6" s="2392"/>
      <c r="J6" s="2391">
        <f>I5&amp;".1"</f>
      </c>
      <c r="K6" s="1591"/>
      <c r="L6" s="1592" t="s">
        <v>407</v>
      </c>
      <c r="P6" s="2393"/>
      <c r="Q6" s="2393">
        <v>1</v>
      </c>
      <c r="R6" s="580"/>
      <c r="S6" s="1721">
        <f>$J6</f>
      </c>
      <c r="T6" s="509" t="s">
        <v>408</v>
      </c>
      <c r="U6" s="523"/>
      <c r="V6" s="2377"/>
      <c r="W6" s="2378"/>
      <c r="X6" s="2378"/>
      <c r="Y6" s="2378"/>
      <c r="Z6" s="2378"/>
      <c r="AA6" s="2378"/>
      <c r="AB6" s="2378"/>
      <c r="AC6" s="2378"/>
      <c r="AD6" s="2378"/>
      <c r="AE6" s="2378"/>
      <c r="AF6" s="2379"/>
      <c r="AG6" s="2377"/>
      <c r="AH6" s="2378"/>
      <c r="AI6" s="2378"/>
      <c r="AJ6" s="2378"/>
      <c r="AK6" s="2378"/>
      <c r="AL6" s="2378"/>
      <c r="AM6" s="2378"/>
      <c r="AN6" s="2378"/>
      <c r="AO6" s="2378"/>
      <c r="AP6" s="2378"/>
      <c r="AQ6" s="2378"/>
      <c r="AR6" s="2379"/>
      <c r="AS6" s="1535" t="s">
        <v>484</v>
      </c>
      <c r="AU6" s="723"/>
      <c r="AV6" s="723" t="str">
        <f>IF(T6="","",T6)</f>
        <v>Группа потребителей</v>
      </c>
      <c r="AW6" s="723"/>
      <c r="AX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974"/>
      <c r="Y7" s="974"/>
      <c r="Z7" s="974"/>
      <c r="AA7" s="974"/>
      <c r="AB7" s="1484"/>
      <c r="AC7" s="2394"/>
      <c r="AD7" s="2264" t="s">
        <v>66</v>
      </c>
      <c r="AE7" s="2394"/>
      <c r="AF7" s="2264" t="s">
        <v>66</v>
      </c>
      <c r="AG7" s="974"/>
      <c r="AH7" s="974"/>
      <c r="AI7" s="974"/>
      <c r="AJ7" s="974"/>
      <c r="AK7" s="974"/>
      <c r="AL7" s="974"/>
      <c r="AM7" s="1484"/>
      <c r="AN7" s="2394"/>
      <c r="AO7" s="2264" t="s">
        <v>66</v>
      </c>
      <c r="AP7" s="2396"/>
      <c r="AQ7" s="2264" t="s">
        <v>66</v>
      </c>
      <c r="AR7" s="1666"/>
      <c r="AS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4">
        <f>STRCHECKDATE(V8:AR8)</f>
      </c>
      <c r="AU7" s="723"/>
      <c r="AV7" s="723" t="str">
        <f>IF(T7="","",T7)</f>
        <v/>
      </c>
      <c r="AW7" s="723"/>
      <c r="AX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48"/>
      <c r="Y8" s="548"/>
      <c r="Z8" s="548"/>
      <c r="AA8" s="548"/>
      <c r="AB8" s="551" t="str">
        <f>AC7&amp;"-"&amp;AE7</f>
        <v>-</v>
      </c>
      <c r="AC8" s="2395"/>
      <c r="AD8" s="2264"/>
      <c r="AE8" s="2395"/>
      <c r="AF8" s="2264"/>
      <c r="AG8" s="548"/>
      <c r="AH8" s="548"/>
      <c r="AI8" s="548"/>
      <c r="AJ8" s="548"/>
      <c r="AK8" s="548"/>
      <c r="AL8" s="548"/>
      <c r="AM8" s="551" t="str">
        <f>AN7&amp;"-"&amp;AP7</f>
        <v>-</v>
      </c>
      <c r="AN8" s="2395"/>
      <c r="AO8" s="2264"/>
      <c r="AP8" s="2397"/>
      <c r="AQ8" s="2264"/>
      <c r="AR8" s="1667"/>
      <c r="AS8" s="2482"/>
      <c r="AU8" s="723"/>
      <c r="AV8" s="723" t="str">
        <f>IF(T8="","",T8)</f>
        <v/>
      </c>
      <c r="AW8" s="723"/>
      <c r="AX8" s="723"/>
    </row>
    <row customHeight="1" ht="21" hidden="1">
      <c r="A9" s="1591"/>
      <c r="B9" s="1591"/>
      <c r="C9" s="1591"/>
      <c r="D9" s="1591"/>
      <c r="E9" s="2390"/>
      <c r="F9" s="2390"/>
      <c r="G9" s="2390"/>
      <c r="H9" s="2390"/>
      <c r="I9" s="2392"/>
      <c r="J9" s="2391"/>
      <c r="K9" s="1591"/>
      <c r="L9" s="1592"/>
      <c r="P9" s="2393"/>
      <c r="Q9" s="2393"/>
      <c r="R9" s="579"/>
      <c r="S9" s="1506"/>
      <c r="T9" s="510" t="s">
        <v>485</v>
      </c>
      <c r="U9" s="590"/>
      <c r="V9" s="590"/>
      <c r="W9" s="823"/>
      <c r="X9" s="823"/>
      <c r="Y9" s="823"/>
      <c r="Z9" s="823"/>
      <c r="AA9" s="823"/>
      <c r="AB9" s="590"/>
      <c r="AC9" s="590"/>
      <c r="AD9" s="590"/>
      <c r="AE9" s="590"/>
      <c r="AF9" s="590"/>
      <c r="AG9" s="590"/>
      <c r="AH9" s="823"/>
      <c r="AI9" s="823"/>
      <c r="AJ9" s="823"/>
      <c r="AK9" s="823"/>
      <c r="AL9" s="823"/>
      <c r="AM9" s="590"/>
      <c r="AN9" s="590"/>
      <c r="AO9" s="590"/>
      <c r="AP9" s="590"/>
      <c r="AQ9" s="590"/>
      <c r="AR9" s="590"/>
      <c r="AS9" s="1485" t="s">
        <v>486</v>
      </c>
      <c r="AU9" s="723"/>
      <c r="AV9" s="723" t="str">
        <f>IF(T9="","",T9)</f>
        <v>Добавить значение признака дифференциации</v>
      </c>
      <c r="AW9" s="723"/>
      <c r="AX9" s="723"/>
    </row>
    <row customHeight="1" ht="21" hidden="1">
      <c r="A10" s="1591"/>
      <c r="B10" s="1591"/>
      <c r="C10" s="1591"/>
      <c r="D10" s="1591"/>
      <c r="E10" s="2390"/>
      <c r="F10" s="2390"/>
      <c r="G10" s="2390"/>
      <c r="H10" s="2390"/>
      <c r="I10" s="2391"/>
      <c r="J10" s="1591"/>
      <c r="K10" s="1591"/>
      <c r="L10" s="1592"/>
      <c r="P10" s="2393"/>
      <c r="Q10" s="1709"/>
      <c r="R10" s="579"/>
      <c r="S10" s="1506"/>
      <c r="T10" s="588" t="s">
        <v>413</v>
      </c>
      <c r="U10" s="590"/>
      <c r="V10" s="590"/>
      <c r="W10" s="823"/>
      <c r="X10" s="823"/>
      <c r="Y10" s="823"/>
      <c r="Z10" s="823"/>
      <c r="AA10" s="823"/>
      <c r="AB10" s="590"/>
      <c r="AC10" s="590"/>
      <c r="AD10" s="590"/>
      <c r="AE10" s="590"/>
      <c r="AF10" s="589"/>
      <c r="AG10" s="590"/>
      <c r="AH10" s="823"/>
      <c r="AI10" s="823"/>
      <c r="AJ10" s="823"/>
      <c r="AK10" s="823"/>
      <c r="AL10" s="823"/>
      <c r="AM10" s="590"/>
      <c r="AN10" s="590"/>
      <c r="AO10" s="590"/>
      <c r="AP10" s="590"/>
      <c r="AQ10" s="589"/>
      <c r="AR10" s="590"/>
      <c r="AS10" s="1668"/>
      <c r="AU10" s="723"/>
      <c r="AV10" s="723" t="str">
        <f>IF(T10="","",T10)</f>
        <v>Добавить группу потребителей</v>
      </c>
      <c r="AW10" s="723"/>
      <c r="AX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487</v>
      </c>
      <c r="U11" s="590"/>
      <c r="V11" s="590"/>
      <c r="W11" s="823"/>
      <c r="X11" s="823"/>
      <c r="Y11" s="823"/>
      <c r="Z11" s="823"/>
      <c r="AA11" s="823"/>
      <c r="AB11" s="590"/>
      <c r="AC11" s="590"/>
      <c r="AD11" s="590"/>
      <c r="AE11" s="590"/>
      <c r="AF11" s="589"/>
      <c r="AG11" s="590"/>
      <c r="AH11" s="823"/>
      <c r="AI11" s="823"/>
      <c r="AJ11" s="823"/>
      <c r="AK11" s="823"/>
      <c r="AL11" s="823"/>
      <c r="AM11" s="590"/>
      <c r="AN11" s="590"/>
      <c r="AO11" s="590"/>
      <c r="AP11" s="590"/>
      <c r="AQ11" s="589"/>
      <c r="AR11" s="590"/>
      <c r="AS11" s="526"/>
      <c r="AU11" s="723"/>
      <c r="AV11" s="723" t="str">
        <f>IF(T11="","",T11)</f>
        <v>Добавить наименование признака дифференциации</v>
      </c>
      <c r="AW11" s="723"/>
      <c r="AX11" s="723"/>
    </row>
    <row s="13514"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252</v>
      </c>
      <c r="U12" s="1552"/>
      <c r="V12" s="1552"/>
      <c r="W12" s="1552"/>
      <c r="X12" s="1552"/>
      <c r="Y12" s="1552"/>
      <c r="Z12" s="1552"/>
      <c r="AA12" s="1552"/>
      <c r="AB12" s="1552"/>
      <c r="AC12" s="1552"/>
      <c r="AD12" s="1552"/>
      <c r="AE12" s="1552"/>
      <c r="AF12" s="1552"/>
      <c r="AG12" s="1552"/>
      <c r="AH12" s="1552"/>
      <c r="AI12" s="1552"/>
      <c r="AJ12" s="1552"/>
      <c r="AK12" s="1552"/>
      <c r="AL12" s="1552"/>
      <c r="AM12" s="1552"/>
      <c r="AN12" s="1552"/>
      <c r="AO12" s="1552"/>
      <c r="AP12" s="1552"/>
      <c r="AQ12" s="1552"/>
      <c r="AR12" s="1552"/>
      <c r="AS12" s="1552"/>
      <c r="AU12" s="1012"/>
      <c r="AV12" s="1012" t="str">
        <f>IF(T12="","",T12)</f>
        <v>Добавить централизованную систему для дифференциации</v>
      </c>
      <c r="AW12" s="1012"/>
      <c r="AX12" s="1012"/>
    </row>
    <row s="13606"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253</v>
      </c>
      <c r="U13" s="1552"/>
      <c r="V13" s="1552"/>
      <c r="W13" s="1552"/>
      <c r="X13" s="1552"/>
      <c r="Y13" s="1552"/>
      <c r="Z13" s="1552"/>
      <c r="AA13" s="1552"/>
      <c r="AB13" s="1552"/>
      <c r="AC13" s="1552"/>
      <c r="AD13" s="1552"/>
      <c r="AE13" s="1552"/>
      <c r="AF13" s="1552"/>
      <c r="AG13" s="1552"/>
      <c r="AH13" s="1552"/>
      <c r="AI13" s="1552"/>
      <c r="AJ13" s="1552"/>
      <c r="AK13" s="1552"/>
      <c r="AL13" s="1552"/>
      <c r="AM13" s="1552"/>
      <c r="AN13" s="1552"/>
      <c r="AO13" s="1552"/>
      <c r="AP13" s="1552"/>
      <c r="AQ13" s="1552"/>
      <c r="AR13" s="1552"/>
      <c r="AS13" s="1552"/>
      <c r="AU13" s="723"/>
      <c r="AV13" s="723" t="str">
        <f>IF(T13="","",T13)</f>
        <v>Добавить территорию для дифференциации</v>
      </c>
      <c r="AW13" s="723"/>
      <c r="AX13" s="723"/>
    </row>
    <row customHeight="1" ht="14.25" hidden="1">
      <c r="AF14" s="550"/>
      <c r="AQ14" s="550"/>
    </row>
    <row customHeight="1" ht="14.25" hidden="1">
      <c r="AG15" s="1588"/>
      <c r="AH15" s="1588"/>
      <c r="AI15" s="1588"/>
      <c r="AJ15" s="1588"/>
      <c r="AK15" s="1588"/>
      <c r="AL15" s="1588"/>
      <c r="AM15" s="1589"/>
      <c r="AN15" s="2387"/>
      <c r="AO15" s="2386" t="s">
        <v>66</v>
      </c>
      <c r="AP15" s="2387"/>
      <c r="AQ15" s="2386" t="s">
        <v>66</v>
      </c>
    </row>
    <row customHeight="1" ht="14.25" hidden="1">
      <c r="AG16" s="1588"/>
      <c r="AH16" s="1588"/>
      <c r="AI16" s="1588"/>
      <c r="AJ16" s="1588"/>
      <c r="AK16" s="1588"/>
      <c r="AL16" s="1588"/>
      <c r="AM16" s="551" t="str">
        <f>AN15&amp;"-"&amp;AP15</f>
        <v>-</v>
      </c>
      <c r="AN16" s="2386"/>
      <c r="AO16" s="2386"/>
      <c r="AP16" s="2386"/>
      <c r="AQ16" s="2386"/>
    </row>
    <row customHeight="1" ht="14.25" hidden="1">
      <c r="AQ17" s="550"/>
    </row>
    <row s="13533" customFormat="1" customHeight="1" ht="22.5" hidden="1">
      <c r="L18" s="1706"/>
      <c r="M18" s="1590"/>
      <c r="N18" s="1590"/>
      <c r="O18" s="1595" t="s">
        <v>416</v>
      </c>
      <c r="P18" s="1590"/>
      <c r="Q18" s="1599"/>
      <c r="R18" s="1599"/>
      <c r="S18" s="952"/>
      <c r="W18" s="1594"/>
      <c r="X18" s="1594"/>
      <c r="Y18" s="1594"/>
      <c r="Z18" s="1594"/>
      <c r="AA18" s="1594"/>
      <c r="AC18" s="1595"/>
      <c r="AE18" s="1595"/>
      <c r="AF18" s="1594"/>
      <c r="AH18" s="1594"/>
      <c r="AI18" s="1594"/>
      <c r="AJ18" s="1594"/>
      <c r="AK18" s="1594"/>
      <c r="AL18" s="1594"/>
      <c r="AN18" s="1595"/>
      <c r="AP18" s="1595"/>
      <c r="AQ18" s="1594"/>
      <c r="AT18" s="734"/>
      <c r="AU18" s="734"/>
      <c r="AV18" s="734"/>
      <c r="AW18" s="734"/>
      <c r="AX18" s="734"/>
    </row>
    <row s="13533" customFormat="1" customHeight="1" ht="14.25" hidden="1">
      <c r="L19" s="1706"/>
      <c r="M19" s="1590"/>
      <c r="N19" s="1590"/>
      <c r="O19" s="1590"/>
      <c r="P19" s="1590"/>
      <c r="Q19" s="1599"/>
      <c r="R19" s="1599"/>
      <c r="S19" s="952"/>
      <c r="W19" s="1594"/>
      <c r="X19" s="1594"/>
      <c r="Y19" s="1594"/>
      <c r="Z19" s="1594"/>
      <c r="AA19" s="1594"/>
      <c r="AF19" s="1594"/>
      <c r="AH19" s="1594"/>
      <c r="AI19" s="1594"/>
      <c r="AJ19" s="1594"/>
      <c r="AK19" s="1594"/>
      <c r="AL19" s="1594"/>
      <c r="AQ19" s="1594"/>
      <c r="AT19" s="734"/>
      <c r="AU19" s="734"/>
      <c r="AV19" s="734"/>
      <c r="AW19" s="734"/>
      <c r="AX19" s="734"/>
    </row>
    <row s="13533" customFormat="1" customHeight="1" ht="12" hidden="1">
      <c r="L20" s="1706"/>
      <c r="M20" s="1590"/>
      <c r="N20" s="1590"/>
      <c r="O20" s="1592" t="s">
        <v>417</v>
      </c>
      <c r="P20" s="1590"/>
      <c r="Q20" s="1670"/>
      <c r="R20" s="1670"/>
      <c r="S20" s="952"/>
      <c r="T20" s="1385" t="s">
        <v>418</v>
      </c>
      <c r="W20" s="1594"/>
      <c r="X20" s="1594"/>
      <c r="Y20" s="1594"/>
      <c r="Z20" s="1594"/>
      <c r="AA20" s="1594"/>
      <c r="AD20" s="409" t="s">
        <v>419</v>
      </c>
      <c r="AF20" s="409" t="s">
        <v>420</v>
      </c>
      <c r="AG20" s="1385" t="s">
        <v>418</v>
      </c>
      <c r="AH20" s="1594"/>
      <c r="AI20" s="1594"/>
      <c r="AJ20" s="1594"/>
      <c r="AK20" s="1594"/>
      <c r="AL20" s="1594"/>
      <c r="AO20" s="409" t="s">
        <v>421</v>
      </c>
      <c r="AQ20" s="409" t="s">
        <v>420</v>
      </c>
    </row>
    <row customHeight="1" ht="14.25" hidden="1">
      <c r="O21" s="1592"/>
    </row>
    <row customHeight="1" ht="14.25" hidden="1">
      <c r="O22" s="1592"/>
    </row>
    <row customHeight="1" ht="14.25">
      <c r="Q23" s="599"/>
      <c r="R23" s="599"/>
      <c r="S23" s="1503"/>
      <c r="T23" s="586"/>
      <c r="U23" s="586"/>
      <c r="V23" s="732"/>
      <c r="W23" s="1863"/>
      <c r="X23" s="1863"/>
      <c r="Y23" s="1863"/>
      <c r="Z23" s="1863"/>
      <c r="AA23" s="1863"/>
      <c r="AB23" s="732"/>
      <c r="AC23" s="732"/>
      <c r="AD23" s="732"/>
      <c r="AE23" s="732"/>
      <c r="AF23" s="732"/>
      <c r="AG23" s="732"/>
      <c r="AH23" s="1863"/>
      <c r="AI23" s="1863"/>
      <c r="AJ23" s="1863"/>
      <c r="AK23" s="1863"/>
      <c r="AL23" s="1863"/>
      <c r="AM23" s="732"/>
      <c r="AN23" s="732"/>
      <c r="AO23" s="732"/>
      <c r="AP23" s="732"/>
      <c r="AQ23" s="732"/>
    </row>
    <row customHeight="1" ht="24.75">
      <c r="Q24" s="599"/>
      <c r="R24" s="599"/>
      <c r="S24" s="24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2422"/>
      <c r="AJ24" s="2422"/>
      <c r="AK24" s="2422"/>
      <c r="AL24" s="2422"/>
      <c r="AM24" s="2422"/>
      <c r="AN24" s="2422"/>
      <c r="AO24" s="2422"/>
      <c r="AP24" s="2422"/>
      <c r="AQ24" s="1470"/>
    </row>
    <row customHeight="1" ht="14.25">
      <c r="Q25" s="599"/>
      <c r="R25" s="599"/>
      <c r="S25" s="2423" t="str">
        <f>IF(org=0,"Не определено",org)</f>
        <v>ООО "Новая Энергетика"</v>
      </c>
      <c r="T25" s="2423"/>
      <c r="U25" s="2423"/>
      <c r="V25" s="2423"/>
      <c r="W25" s="2423"/>
      <c r="X25" s="2423"/>
      <c r="Y25" s="2423"/>
      <c r="Z25" s="2423"/>
      <c r="AA25" s="2423"/>
      <c r="AB25" s="2423"/>
      <c r="AC25" s="2423"/>
      <c r="AD25" s="2423"/>
      <c r="AE25" s="2423"/>
      <c r="AF25" s="2423"/>
      <c r="AG25" s="2423"/>
      <c r="AH25" s="2423"/>
      <c r="AI25" s="2423"/>
      <c r="AJ25" s="2423"/>
      <c r="AK25" s="2423"/>
      <c r="AL25" s="2423"/>
      <c r="AM25" s="2423"/>
      <c r="AN25" s="2423"/>
      <c r="AO25" s="2423"/>
      <c r="AP25" s="2423"/>
      <c r="AQ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732"/>
    </row>
    <row s="13547"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Агенство по тарифам Приморского края</v>
      </c>
      <c r="W27" s="2382"/>
      <c r="X27" s="2382"/>
      <c r="Y27" s="2382"/>
      <c r="Z27" s="2382"/>
      <c r="AA27" s="2382"/>
      <c r="AB27" s="2382"/>
      <c r="AC27" s="2382"/>
      <c r="AD27" s="2382"/>
      <c r="AE27" s="2382"/>
      <c r="AF27" s="549"/>
      <c r="AG27" s="2382" t="str">
        <f>IF(TITLE_NAME_OR_PR_CHANGE="",IF(TITLE_NAME_OR_PR="","",TITLE_NAME_OR_PR),TITLE_NAME_OR_PR_CHANGE)</f>
        <v>Агенство по тарифам Приморского края</v>
      </c>
      <c r="AH27" s="2382"/>
      <c r="AI27" s="2382"/>
      <c r="AJ27" s="2382"/>
      <c r="AK27" s="2382"/>
      <c r="AL27" s="2382"/>
      <c r="AM27" s="2382"/>
      <c r="AN27" s="2382"/>
      <c r="AO27" s="2382"/>
      <c r="AP27" s="2382"/>
      <c r="AQ27" s="549"/>
      <c r="AR27" s="549"/>
      <c r="AS27" s="503"/>
      <c r="AT27" s="591"/>
      <c r="AU27" s="591"/>
      <c r="AV27" s="591"/>
      <c r="AW27" s="591"/>
      <c r="AX27" s="591"/>
    </row>
    <row s="13547" customFormat="1" customHeight="1" ht="18.75">
      <c r="A28" s="1596"/>
      <c r="B28" s="1596"/>
      <c r="C28" s="1596"/>
      <c r="D28" s="1596"/>
      <c r="E28" s="1596"/>
      <c r="F28" s="1596"/>
      <c r="G28" s="1596"/>
      <c r="H28" s="1596"/>
      <c r="I28" s="1596"/>
      <c r="J28" s="1596"/>
      <c r="K28" s="1596"/>
      <c r="L28" s="1597"/>
      <c r="M28" s="1596"/>
      <c r="N28" s="1596"/>
      <c r="O28" s="1596"/>
      <c r="S28" s="2380" t="s">
        <v>422</v>
      </c>
      <c r="T28" s="2380"/>
      <c r="U28" s="1600"/>
      <c r="V28" s="2381" t="str">
        <f>IF(TITLE_DATE_PR_CHANGE="",IF(TITLE_DATE_PR="","",TITLE_DATE_PR),TITLE_DATE_PR_CHANGE)</f>
        <v>45281.66994212963</v>
      </c>
      <c r="W28" s="2381"/>
      <c r="X28" s="2381"/>
      <c r="Y28" s="2381"/>
      <c r="Z28" s="2381"/>
      <c r="AA28" s="2381"/>
      <c r="AB28" s="2381"/>
      <c r="AC28" s="2381"/>
      <c r="AD28" s="2381"/>
      <c r="AE28" s="2381"/>
      <c r="AF28" s="549"/>
      <c r="AG28" s="2381" t="str">
        <f>IF(TITLE_DATE_PR_CHANGE="",IF(TITLE_DATE_PR="","",TITLE_DATE_PR),TITLE_DATE_PR_CHANGE)</f>
        <v>45281.66994212963</v>
      </c>
      <c r="AH28" s="2381"/>
      <c r="AI28" s="2381"/>
      <c r="AJ28" s="2381"/>
      <c r="AK28" s="2381"/>
      <c r="AL28" s="2381"/>
      <c r="AM28" s="2381"/>
      <c r="AN28" s="2381"/>
      <c r="AO28" s="2381"/>
      <c r="AP28" s="2381"/>
      <c r="AQ28" s="549"/>
      <c r="AR28" s="549"/>
      <c r="AS28" s="503"/>
      <c r="AT28" s="591"/>
      <c r="AU28" s="591"/>
      <c r="AV28" s="591"/>
      <c r="AW28" s="591"/>
      <c r="AX28" s="591"/>
    </row>
    <row s="13547" customFormat="1" customHeight="1" ht="18.75">
      <c r="A29" s="1596"/>
      <c r="B29" s="1596"/>
      <c r="C29" s="1596"/>
      <c r="D29" s="1596"/>
      <c r="E29" s="1596"/>
      <c r="F29" s="1596"/>
      <c r="G29" s="1596"/>
      <c r="H29" s="1596"/>
      <c r="I29" s="1596"/>
      <c r="J29" s="1596"/>
      <c r="K29" s="1596"/>
      <c r="L29" s="1597"/>
      <c r="M29" s="1596"/>
      <c r="N29" s="1596"/>
      <c r="O29" s="1596"/>
      <c r="S29" s="2380" t="s">
        <v>423</v>
      </c>
      <c r="T29" s="2380"/>
      <c r="U29" s="1600"/>
      <c r="V29" s="2382" t="str">
        <f>IF(TITLE_NUMBER_PR_CHANGE="",IF(TITLE_NUMBER_PR="","",TITLE_NUMBER_PR),TITLE_NUMBER_PR_CHANGE)</f>
        <v>72/1</v>
      </c>
      <c r="W29" s="2382"/>
      <c r="X29" s="2382"/>
      <c r="Y29" s="2382"/>
      <c r="Z29" s="2382"/>
      <c r="AA29" s="2382"/>
      <c r="AB29" s="2382"/>
      <c r="AC29" s="2382"/>
      <c r="AD29" s="2382"/>
      <c r="AE29" s="2382"/>
      <c r="AF29" s="549"/>
      <c r="AG29" s="2382" t="str">
        <f>IF(TITLE_NUMBER_PR_CHANGE="",IF(TITLE_NUMBER_PR="","",TITLE_NUMBER_PR),TITLE_NUMBER_PR_CHANGE)</f>
        <v>72/1</v>
      </c>
      <c r="AH29" s="2382"/>
      <c r="AI29" s="2382"/>
      <c r="AJ29" s="2382"/>
      <c r="AK29" s="2382"/>
      <c r="AL29" s="2382"/>
      <c r="AM29" s="2382"/>
      <c r="AN29" s="2382"/>
      <c r="AO29" s="2382"/>
      <c r="AP29" s="2382"/>
      <c r="AQ29" s="549"/>
      <c r="AR29" s="549"/>
      <c r="AS29" s="503"/>
      <c r="AT29" s="591"/>
      <c r="AU29" s="591"/>
      <c r="AV29" s="591"/>
      <c r="AW29" s="591"/>
      <c r="AX29" s="591"/>
    </row>
    <row s="13547"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http://pravo.gov.ru Номер опубликования: 2501202312270032 Дата опубликования: 27.12.2023</v>
      </c>
      <c r="W30" s="2382"/>
      <c r="X30" s="2382"/>
      <c r="Y30" s="2382"/>
      <c r="Z30" s="2382"/>
      <c r="AA30" s="2382"/>
      <c r="AB30" s="2382"/>
      <c r="AC30" s="2382"/>
      <c r="AD30" s="2382"/>
      <c r="AE30" s="2382"/>
      <c r="AF30" s="549"/>
      <c r="AG30" s="2382" t="str">
        <f>IF(TITLE_IST_PUB_CHANGE="",IF(TITLE_IST_PUB="","",TITLE_IST_PUB),TITLE_IST_PUB_CHANGE)</f>
        <v>http://pravo.gov.ru Номер опубликования: 2501202312270032 Дата опубликования: 27.12.2023</v>
      </c>
      <c r="AH30" s="2382"/>
      <c r="AI30" s="2382"/>
      <c r="AJ30" s="2382"/>
      <c r="AK30" s="2382"/>
      <c r="AL30" s="2382"/>
      <c r="AM30" s="2382"/>
      <c r="AN30" s="2382"/>
      <c r="AO30" s="2382"/>
      <c r="AP30" s="2382"/>
      <c r="AQ30" s="549"/>
      <c r="AR30" s="549"/>
      <c r="AS30" s="503"/>
      <c r="AT30" s="591"/>
      <c r="AU30" s="591"/>
      <c r="AV30" s="591"/>
      <c r="AW30" s="591"/>
      <c r="AX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732"/>
    </row>
    <row s="13547" customFormat="1" customHeight="1" ht="18.75" hidden="1">
      <c r="A32" s="1596"/>
      <c r="B32" s="1596"/>
      <c r="C32" s="1596"/>
      <c r="D32" s="1596"/>
      <c r="E32" s="1596"/>
      <c r="F32" s="1596"/>
      <c r="G32" s="1596"/>
      <c r="H32" s="1596"/>
      <c r="I32" s="1596"/>
      <c r="J32" s="1596"/>
      <c r="K32" s="1596"/>
      <c r="L32" s="1597"/>
      <c r="M32" s="1596"/>
      <c r="N32" s="1596"/>
      <c r="O32" s="1596"/>
      <c r="S32" s="2380" t="s">
        <v>424</v>
      </c>
      <c r="T32" s="2380"/>
      <c r="U32" s="1600"/>
      <c r="V32" s="2381" t="str">
        <f>IF(TITLE_DATE_PR_CHANGE="",IF(TITLE_DATE_PR="","",TITLE_DATE_PR),TITLE_DATE_PR_CHANGE)</f>
        <v>45281.66994212963</v>
      </c>
      <c r="W32" s="2381"/>
      <c r="X32" s="2381"/>
      <c r="Y32" s="2381"/>
      <c r="Z32" s="2381"/>
      <c r="AA32" s="2381"/>
      <c r="AB32" s="2381"/>
      <c r="AC32" s="2381"/>
      <c r="AD32" s="2381"/>
      <c r="AE32" s="2381"/>
      <c r="AF32" s="549"/>
      <c r="AG32" s="2381" t="str">
        <f>IF(TITLE_DATE_PR_CHANGE="",IF(TITLE_DATE_PR="","",TITLE_DATE_PR),TITLE_DATE_PR_CHANGE)</f>
        <v>45281.66994212963</v>
      </c>
      <c r="AH32" s="2381"/>
      <c r="AI32" s="2381"/>
      <c r="AJ32" s="2381"/>
      <c r="AK32" s="2381"/>
      <c r="AL32" s="2381"/>
      <c r="AM32" s="2381"/>
      <c r="AN32" s="2381"/>
      <c r="AO32" s="2381"/>
      <c r="AP32" s="2381"/>
      <c r="AQ32" s="549"/>
      <c r="AR32" s="549"/>
      <c r="AS32" s="503"/>
      <c r="AT32" s="591"/>
      <c r="AU32" s="591"/>
      <c r="AV32" s="591"/>
      <c r="AW32" s="591"/>
      <c r="AX32" s="591"/>
    </row>
    <row s="13547" customFormat="1" customHeight="1" ht="18.75" hidden="1">
      <c r="A33" s="1596"/>
      <c r="B33" s="1596"/>
      <c r="C33" s="1596"/>
      <c r="D33" s="1596"/>
      <c r="E33" s="1596"/>
      <c r="F33" s="1596"/>
      <c r="G33" s="1596"/>
      <c r="H33" s="1596"/>
      <c r="I33" s="1596"/>
      <c r="J33" s="1596"/>
      <c r="K33" s="1596"/>
      <c r="L33" s="1597"/>
      <c r="M33" s="1596"/>
      <c r="N33" s="1596"/>
      <c r="O33" s="1596"/>
      <c r="S33" s="2380" t="s">
        <v>425</v>
      </c>
      <c r="T33" s="2380"/>
      <c r="U33" s="1600"/>
      <c r="V33" s="2382" t="str">
        <f>IF(TITLE_NUMBER_PR_CHANGE="",IF(TITLE_NUMBER_PR="","",TITLE_NUMBER_PR),TITLE_NUMBER_PR_CHANGE)</f>
        <v>72/1</v>
      </c>
      <c r="W33" s="2382"/>
      <c r="X33" s="2382"/>
      <c r="Y33" s="2382"/>
      <c r="Z33" s="2382"/>
      <c r="AA33" s="2382"/>
      <c r="AB33" s="2382"/>
      <c r="AC33" s="2382"/>
      <c r="AD33" s="2382"/>
      <c r="AE33" s="2382"/>
      <c r="AF33" s="549"/>
      <c r="AG33" s="2382" t="str">
        <f>IF(TITLE_NUMBER_PR_CHANGE="",IF(TITLE_NUMBER_PR="","",TITLE_NUMBER_PR),TITLE_NUMBER_PR_CHANGE)</f>
        <v>72/1</v>
      </c>
      <c r="AH33" s="2382"/>
      <c r="AI33" s="2382"/>
      <c r="AJ33" s="2382"/>
      <c r="AK33" s="2382"/>
      <c r="AL33" s="2382"/>
      <c r="AM33" s="2382"/>
      <c r="AN33" s="2382"/>
      <c r="AO33" s="2382"/>
      <c r="AP33" s="2382"/>
      <c r="AQ33" s="549"/>
      <c r="AR33" s="549"/>
      <c r="AS33" s="503"/>
      <c r="AT33" s="591"/>
      <c r="AU33" s="591"/>
      <c r="AV33" s="591"/>
      <c r="AW33" s="591"/>
      <c r="AX33" s="591"/>
    </row>
    <row s="13547"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1863"/>
      <c r="X34" s="1863"/>
      <c r="Y34" s="1863"/>
      <c r="Z34" s="1863"/>
      <c r="AA34" s="1863"/>
      <c r="AB34" s="549"/>
      <c r="AC34" s="549"/>
      <c r="AD34" s="549"/>
      <c r="AE34" s="549"/>
      <c r="AF34" s="501" t="s">
        <v>426</v>
      </c>
      <c r="AG34" s="549"/>
      <c r="AH34" s="1863"/>
      <c r="AI34" s="1863"/>
      <c r="AJ34" s="1863"/>
      <c r="AK34" s="1863"/>
      <c r="AL34" s="1863"/>
      <c r="AM34" s="549"/>
      <c r="AN34" s="549"/>
      <c r="AO34" s="549"/>
      <c r="AP34" s="549"/>
      <c r="AQ34" s="501" t="s">
        <v>426</v>
      </c>
      <c r="AT34" s="591"/>
      <c r="AU34" s="591"/>
      <c r="AV34" s="591"/>
      <c r="AW34" s="591"/>
      <c r="AX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c r="AJ35" s="2406"/>
      <c r="AK35" s="2406"/>
      <c r="AL35" s="2406"/>
      <c r="AM35" s="2406"/>
      <c r="AN35" s="2406"/>
      <c r="AO35" s="2406"/>
      <c r="AP35" s="2406"/>
      <c r="AQ35" s="2406"/>
    </row>
    <row customHeight="1" ht="14.25">
      <c r="Q36" s="599"/>
      <c r="R36" s="599"/>
      <c r="S36" s="2254" t="s">
        <v>301</v>
      </c>
      <c r="T36" s="2254"/>
      <c r="U36" s="2254"/>
      <c r="V36" s="2254"/>
      <c r="W36" s="2254"/>
      <c r="X36" s="2254"/>
      <c r="Y36" s="2254"/>
      <c r="Z36" s="2254"/>
      <c r="AA36" s="2254"/>
      <c r="AB36" s="2254"/>
      <c r="AC36" s="2254"/>
      <c r="AD36" s="2254"/>
      <c r="AE36" s="2254"/>
      <c r="AF36" s="2254"/>
      <c r="AG36" s="2254"/>
      <c r="AH36" s="2254"/>
      <c r="AI36" s="2254"/>
      <c r="AJ36" s="2254"/>
      <c r="AK36" s="2254"/>
      <c r="AL36" s="2254"/>
      <c r="AM36" s="2254"/>
      <c r="AN36" s="2254"/>
      <c r="AO36" s="2254"/>
      <c r="AP36" s="2254"/>
      <c r="AQ36" s="2254"/>
      <c r="AR36" s="2254"/>
      <c r="AS36" s="2254" t="s">
        <v>302</v>
      </c>
    </row>
    <row customHeight="1" ht="14.25">
      <c r="Q37" s="599"/>
      <c r="R37" s="599"/>
      <c r="S37" s="2407" t="s">
        <v>87</v>
      </c>
      <c r="T37" s="2344" t="s">
        <v>427</v>
      </c>
      <c r="U37" s="524"/>
      <c r="V37" s="2408" t="s">
        <v>428</v>
      </c>
      <c r="W37" s="2409"/>
      <c r="X37" s="2409"/>
      <c r="Y37" s="2409"/>
      <c r="Z37" s="2409"/>
      <c r="AA37" s="2409"/>
      <c r="AB37" s="2409"/>
      <c r="AC37" s="2409"/>
      <c r="AD37" s="2409"/>
      <c r="AE37" s="2410"/>
      <c r="AF37" s="2411" t="s">
        <v>429</v>
      </c>
      <c r="AG37" s="2408" t="s">
        <v>428</v>
      </c>
      <c r="AH37" s="2409"/>
      <c r="AI37" s="2409"/>
      <c r="AJ37" s="2409"/>
      <c r="AK37" s="2409"/>
      <c r="AL37" s="2409"/>
      <c r="AM37" s="2409"/>
      <c r="AN37" s="2409"/>
      <c r="AO37" s="2409"/>
      <c r="AP37" s="2410"/>
      <c r="AQ37" s="2411" t="s">
        <v>430</v>
      </c>
      <c r="AR37" s="2414" t="s">
        <v>431</v>
      </c>
      <c r="AS37" s="2254"/>
    </row>
    <row s="13661" customFormat="1" customHeight="1" ht="18.75">
      <c r="A38" s="1594"/>
      <c r="B38" s="1594"/>
      <c r="C38" s="1594"/>
      <c r="D38" s="1594"/>
      <c r="E38" s="1594"/>
      <c r="F38" s="1594"/>
      <c r="G38" s="1594"/>
      <c r="H38" s="1594"/>
      <c r="I38" s="1594"/>
      <c r="J38" s="1594"/>
      <c r="K38" s="1594"/>
      <c r="L38" s="2210"/>
      <c r="M38" s="1590"/>
      <c r="N38" s="1590"/>
      <c r="O38" s="1590"/>
      <c r="P38" s="2211"/>
      <c r="Q38" s="599"/>
      <c r="R38" s="599"/>
      <c r="S38" s="2407"/>
      <c r="T38" s="2344"/>
      <c r="U38" s="1255"/>
      <c r="V38" s="2494" t="s">
        <v>532</v>
      </c>
      <c r="W38" s="2493" t="s">
        <v>533</v>
      </c>
      <c r="X38" s="2493"/>
      <c r="Y38" s="2493"/>
      <c r="Z38" s="2493" t="s">
        <v>534</v>
      </c>
      <c r="AA38" s="2493"/>
      <c r="AB38" s="2493"/>
      <c r="AC38" s="2428" t="s">
        <v>435</v>
      </c>
      <c r="AD38" s="2446"/>
      <c r="AE38" s="2447"/>
      <c r="AF38" s="2412"/>
      <c r="AG38" s="2494" t="s">
        <v>532</v>
      </c>
      <c r="AH38" s="2493" t="s">
        <v>533</v>
      </c>
      <c r="AI38" s="2493"/>
      <c r="AJ38" s="2493"/>
      <c r="AK38" s="2493" t="s">
        <v>534</v>
      </c>
      <c r="AL38" s="2493"/>
      <c r="AM38" s="2493"/>
      <c r="AN38" s="2428" t="s">
        <v>435</v>
      </c>
      <c r="AO38" s="2446"/>
      <c r="AP38" s="2447"/>
      <c r="AQ38" s="2412"/>
      <c r="AR38" s="2415"/>
      <c r="AS38" s="2254"/>
      <c r="AT38" s="1864"/>
      <c r="AU38" s="1864"/>
      <c r="AV38" s="1864"/>
      <c r="AW38" s="1864"/>
      <c r="AX38" s="1864"/>
    </row>
    <row customHeight="1" ht="18.75">
      <c r="Q39" s="599"/>
      <c r="R39" s="599"/>
      <c r="S39" s="2407"/>
      <c r="T39" s="2344"/>
      <c r="U39" s="1255"/>
      <c r="V39" s="2494"/>
      <c r="W39" s="2493" t="s">
        <v>535</v>
      </c>
      <c r="X39" s="2493" t="s">
        <v>536</v>
      </c>
      <c r="Y39" s="2493"/>
      <c r="Z39" s="2493" t="s">
        <v>537</v>
      </c>
      <c r="AA39" s="2493" t="s">
        <v>536</v>
      </c>
      <c r="AB39" s="2493"/>
      <c r="AC39" s="2429"/>
      <c r="AD39" s="2448"/>
      <c r="AE39" s="2449"/>
      <c r="AF39" s="2412"/>
      <c r="AG39" s="2494"/>
      <c r="AH39" s="2493" t="s">
        <v>535</v>
      </c>
      <c r="AI39" s="2493" t="s">
        <v>536</v>
      </c>
      <c r="AJ39" s="2493"/>
      <c r="AK39" s="2493" t="s">
        <v>537</v>
      </c>
      <c r="AL39" s="2493" t="s">
        <v>536</v>
      </c>
      <c r="AM39" s="2493"/>
      <c r="AN39" s="2429"/>
      <c r="AO39" s="2448"/>
      <c r="AP39" s="2449"/>
      <c r="AQ39" s="2412"/>
      <c r="AR39" s="2415"/>
      <c r="AS39" s="2254"/>
    </row>
    <row customHeight="1" ht="59.25">
      <c r="A40" s="1598"/>
      <c r="B40" s="1598" t="s">
        <v>134</v>
      </c>
      <c r="C40" s="1598" t="s">
        <v>135</v>
      </c>
      <c r="D40" s="1598" t="s">
        <v>136</v>
      </c>
      <c r="E40" s="1592" t="s">
        <v>436</v>
      </c>
      <c r="F40" s="1592" t="s">
        <v>437</v>
      </c>
      <c r="G40" s="1592" t="s">
        <v>438</v>
      </c>
      <c r="H40" s="1592"/>
      <c r="I40" s="1592" t="s">
        <v>489</v>
      </c>
      <c r="J40" s="1592" t="s">
        <v>441</v>
      </c>
      <c r="K40" s="1592" t="s">
        <v>490</v>
      </c>
      <c r="L40" s="1592" t="s">
        <v>417</v>
      </c>
      <c r="Q40" s="599"/>
      <c r="R40" s="599"/>
      <c r="S40" s="2407"/>
      <c r="T40" s="2344"/>
      <c r="U40" s="525"/>
      <c r="V40" s="2494"/>
      <c r="W40" s="2493"/>
      <c r="X40" s="2213" t="s">
        <v>538</v>
      </c>
      <c r="Y40" s="2213" t="s">
        <v>539</v>
      </c>
      <c r="Z40" s="2493"/>
      <c r="AA40" s="2213" t="s">
        <v>540</v>
      </c>
      <c r="AB40" s="2213" t="s">
        <v>541</v>
      </c>
      <c r="AC40" s="1717" t="s">
        <v>445</v>
      </c>
      <c r="AD40" s="2403" t="s">
        <v>446</v>
      </c>
      <c r="AE40" s="2404"/>
      <c r="AF40" s="2413"/>
      <c r="AG40" s="2494"/>
      <c r="AH40" s="2493"/>
      <c r="AI40" s="2213" t="s">
        <v>538</v>
      </c>
      <c r="AJ40" s="2213" t="s">
        <v>539</v>
      </c>
      <c r="AK40" s="2493"/>
      <c r="AL40" s="2213" t="s">
        <v>540</v>
      </c>
      <c r="AM40" s="2213" t="s">
        <v>541</v>
      </c>
      <c r="AN40" s="1717" t="s">
        <v>445</v>
      </c>
      <c r="AO40" s="2403" t="s">
        <v>446</v>
      </c>
      <c r="AP40" s="2404"/>
      <c r="AQ40" s="2413"/>
      <c r="AR40" s="2416"/>
      <c r="AS40" s="2254"/>
    </row>
    <row s="13364" customFormat="1" customHeight="1" ht="11.25" hidden="1">
      <c r="A41" s="1598"/>
      <c r="B41" s="1598"/>
      <c r="C41" s="1598"/>
      <c r="D41" s="1598"/>
      <c r="E41" s="1598"/>
      <c r="F41" s="1598"/>
      <c r="G41" s="1598"/>
      <c r="H41" s="1598"/>
      <c r="I41" s="1598"/>
      <c r="J41" s="1598"/>
      <c r="K41" s="1598"/>
      <c r="L41" s="1592"/>
      <c r="M41" s="1590"/>
      <c r="N41" s="1590"/>
      <c r="O41" s="1590"/>
      <c r="P41" s="1473"/>
      <c r="Q41" s="1474"/>
      <c r="R41" s="1481">
        <v>1</v>
      </c>
      <c r="S41" s="1505" t="s">
        <v>108</v>
      </c>
      <c r="T41" s="1482" t="s">
        <v>109</v>
      </c>
      <c r="U41" s="1472" t="str">
        <f>OFFSET(U41,0,-1)</f>
        <v>2</v>
      </c>
      <c r="V41" s="1710">
        <f>OFFSET(V41,0,-1)+1</f>
        <v>3</v>
      </c>
      <c r="W41" s="2209"/>
      <c r="X41" s="2209"/>
      <c r="Y41" s="2209"/>
      <c r="Z41" s="2209"/>
      <c r="AA41" s="2209"/>
      <c r="AB41" s="1710">
        <f>OFFSET(AB41,0,-1)+1</f>
        <v>1</v>
      </c>
      <c r="AC41" s="1710">
        <f>OFFSET(AC41,0,-1)+1</f>
        <v>2</v>
      </c>
      <c r="AD41" s="2405">
        <f>OFFSET(AD41,0,-1)+1</f>
        <v>3</v>
      </c>
      <c r="AE41" s="2405"/>
      <c r="AF41" s="1710">
        <f>OFFSET(AF41,0,-2)+1</f>
        <v>4</v>
      </c>
      <c r="AG41" s="1710">
        <f>OFFSET(AG41,0,-1)+1</f>
        <v>5</v>
      </c>
      <c r="AH41" s="2209"/>
      <c r="AI41" s="2209"/>
      <c r="AJ41" s="2209"/>
      <c r="AK41" s="2209"/>
      <c r="AL41" s="2209"/>
      <c r="AM41" s="1710">
        <f>OFFSET(AM41,0,-1)+1</f>
        <v>1</v>
      </c>
      <c r="AN41" s="1710">
        <f>OFFSET(AN41,0,-1)+1</f>
        <v>2</v>
      </c>
      <c r="AO41" s="2405">
        <f>OFFSET(AO41,0,-1)+1</f>
        <v>3</v>
      </c>
      <c r="AP41" s="2405"/>
      <c r="AQ41" s="1710">
        <f>OFFSET(AQ41,0,-2)+1</f>
        <v>4</v>
      </c>
      <c r="AR41" s="1472">
        <f>OFFSET(AR41,0,-1)</f>
        <v>4</v>
      </c>
      <c r="AS41" s="1710">
        <f>OFFSET(AS41,0,-1)+1</f>
        <v>5</v>
      </c>
      <c r="AT41" s="734"/>
      <c r="AU41" s="734"/>
      <c r="AV41" s="734"/>
      <c r="AW41" s="734"/>
      <c r="AX41" s="734"/>
    </row>
    <row customHeight="1" ht="23.25">
      <c r="A42" s="1591" t="s">
        <v>257</v>
      </c>
      <c r="B42" s="1591"/>
      <c r="C42" s="1591"/>
      <c r="D42" s="1591"/>
      <c r="E42" s="2389">
        <v>1</v>
      </c>
      <c r="F42" s="1591"/>
      <c r="G42" s="1591"/>
      <c r="H42" s="1591"/>
      <c r="I42" s="1591"/>
      <c r="J42" s="1591"/>
      <c r="K42" s="1591"/>
      <c r="L42" s="1592"/>
      <c r="M42" s="1593"/>
      <c r="N42" s="1593"/>
      <c r="O42" s="1593"/>
      <c r="P42" s="584"/>
      <c r="Q42" s="583"/>
      <c r="R42" s="578"/>
      <c r="S42" s="1721">
        <f>INDEX(PT_DIFFERENTIATION_NUM_NTAR,MATCH(A42,PT_DIFFERENTIATION_NTAR_ID,0))</f>
        <v>0</v>
      </c>
      <c r="T42" s="521" t="s">
        <v>122</v>
      </c>
      <c r="U42" s="523"/>
      <c r="V42" s="2383"/>
      <c r="W42" s="2384"/>
      <c r="X42" s="2384"/>
      <c r="Y42" s="2384"/>
      <c r="Z42" s="2384"/>
      <c r="AA42" s="2384"/>
      <c r="AB42" s="2384"/>
      <c r="AC42" s="2384"/>
      <c r="AD42" s="2384"/>
      <c r="AE42" s="2384"/>
      <c r="AF42" s="2385"/>
      <c r="AG42" s="2383" t="str">
        <f>INDEX(PT_DIFFERENTIATION_NTAR,MATCH(A42,PT_DIFFERENTIATION_NTAR_ID,0))</f>
        <v/>
      </c>
      <c r="AH42" s="2384"/>
      <c r="AI42" s="2384"/>
      <c r="AJ42" s="2384"/>
      <c r="AK42" s="2384"/>
      <c r="AL42" s="2384"/>
      <c r="AM42" s="2384"/>
      <c r="AN42" s="2384"/>
      <c r="AO42" s="2384"/>
      <c r="AP42" s="2384"/>
      <c r="AQ42" s="2384"/>
      <c r="AR42" s="2385"/>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3"/>
      <c r="AV42" s="723" t="str">
        <f>IF(T42="","",T42)</f>
        <v>Наименование тарифа</v>
      </c>
      <c r="AW42" s="723"/>
      <c r="AX42" s="723"/>
    </row>
    <row customHeight="1" ht="23.25">
      <c r="A43" s="1591" t="s">
        <v>257</v>
      </c>
      <c r="B43" s="1591" t="s">
        <v>258</v>
      </c>
      <c r="C43" s="1591"/>
      <c r="D43" s="1591"/>
      <c r="E43" s="2390"/>
      <c r="F43" s="2389">
        <v>1</v>
      </c>
      <c r="G43" s="1591"/>
      <c r="H43" s="1591"/>
      <c r="I43" s="1591"/>
      <c r="J43" s="1591"/>
      <c r="K43" s="1591"/>
      <c r="L43" s="1592"/>
      <c r="M43" s="1593"/>
      <c r="N43" s="1593"/>
      <c r="O43" s="1593"/>
      <c r="P43" s="1715"/>
      <c r="Q43" s="575"/>
      <c r="R43" s="576"/>
      <c r="S43" s="1721" t="str">
        <f>INDEX(PT_DIFFERENTIATION_NUM_TER,MATCH(B43,PT_DIFFERENTIATION_TER_ID,0))</f>
        <v>.</v>
      </c>
      <c r="T43" s="531" t="s">
        <v>398</v>
      </c>
      <c r="U43" s="523"/>
      <c r="V43" s="2383"/>
      <c r="W43" s="2384"/>
      <c r="X43" s="2384"/>
      <c r="Y43" s="2384"/>
      <c r="Z43" s="2384"/>
      <c r="AA43" s="2384"/>
      <c r="AB43" s="2384"/>
      <c r="AC43" s="2384"/>
      <c r="AD43" s="2384"/>
      <c r="AE43" s="2384"/>
      <c r="AF43" s="2385"/>
      <c r="AG43" s="2383" t="str">
        <f>INDEX(PT_DIFFERENTIATION_TER,MATCH(B43,PT_DIFFERENTIATION_TER_ID,0))</f>
        <v/>
      </c>
      <c r="AH43" s="2384"/>
      <c r="AI43" s="2384"/>
      <c r="AJ43" s="2384"/>
      <c r="AK43" s="2384"/>
      <c r="AL43" s="2384"/>
      <c r="AM43" s="2384"/>
      <c r="AN43" s="2384"/>
      <c r="AO43" s="2384"/>
      <c r="AP43" s="2384"/>
      <c r="AQ43" s="2384"/>
      <c r="AR43" s="2385"/>
      <c r="AS43" s="1485" t="s">
        <v>399</v>
      </c>
      <c r="AU43" s="723"/>
      <c r="AV43" s="723" t="str">
        <f>IF(T43="","",T43)</f>
        <v>Территория действия тарифа</v>
      </c>
      <c r="AW43" s="723"/>
      <c r="AX43" s="723"/>
    </row>
    <row customHeight="1" ht="23.25">
      <c r="A44" s="1591" t="s">
        <v>257</v>
      </c>
      <c r="B44" s="1591" t="s">
        <v>258</v>
      </c>
      <c r="C44" s="1591" t="s">
        <v>259</v>
      </c>
      <c r="D44" s="1591"/>
      <c r="E44" s="2390"/>
      <c r="F44" s="2390"/>
      <c r="G44" s="2389">
        <v>1</v>
      </c>
      <c r="H44" s="1591"/>
      <c r="I44" s="1591"/>
      <c r="J44" s="1591"/>
      <c r="K44" s="1591"/>
      <c r="L44" s="1592"/>
      <c r="M44" s="1593"/>
      <c r="N44" s="1593"/>
      <c r="O44" s="1593"/>
      <c r="P44" s="577"/>
      <c r="Q44" s="575"/>
      <c r="R44" s="576"/>
      <c r="S44" s="1721" t="str">
        <f>INDEX(PT_DIFFERENTIATION_NUM_CS,MATCH(C44,PT_DIFFERENTIATION_CS_ID,0))</f>
        <v>..</v>
      </c>
      <c r="T44" s="532" t="s">
        <v>529</v>
      </c>
      <c r="U44" s="523"/>
      <c r="V44" s="2383"/>
      <c r="W44" s="2384"/>
      <c r="X44" s="2384"/>
      <c r="Y44" s="2384"/>
      <c r="Z44" s="2384"/>
      <c r="AA44" s="2384"/>
      <c r="AB44" s="2384"/>
      <c r="AC44" s="2384"/>
      <c r="AD44" s="2384"/>
      <c r="AE44" s="2384"/>
      <c r="AF44" s="2385"/>
      <c r="AG44" s="2383" t="str">
        <f>INDEX(PT_DIFFERENTIATION_CS,MATCH(C44,PT_DIFFERENTIATION_CS_ID,0))</f>
        <v/>
      </c>
      <c r="AH44" s="2384"/>
      <c r="AI44" s="2384"/>
      <c r="AJ44" s="2384"/>
      <c r="AK44" s="2384"/>
      <c r="AL44" s="2384"/>
      <c r="AM44" s="2384"/>
      <c r="AN44" s="2384"/>
      <c r="AO44" s="2384"/>
      <c r="AP44" s="2384"/>
      <c r="AQ44" s="2384"/>
      <c r="AR44" s="2385"/>
      <c r="AS44" s="1485" t="s">
        <v>530</v>
      </c>
      <c r="AU44" s="723"/>
      <c r="AV44" s="723" t="str">
        <f>IF(T44="","",T44)</f>
        <v>Наименование централизованной системы горячего водоснабжения</v>
      </c>
      <c r="AW44" s="723"/>
      <c r="AX44" s="723"/>
    </row>
    <row customHeight="1" ht="23.25">
      <c r="A45" s="1591" t="s">
        <v>257</v>
      </c>
      <c r="B45" s="1591" t="s">
        <v>258</v>
      </c>
      <c r="C45" s="1591" t="s">
        <v>259</v>
      </c>
      <c r="D45" s="1591" t="s">
        <v>546</v>
      </c>
      <c r="E45" s="2390"/>
      <c r="F45" s="2390"/>
      <c r="G45" s="2390"/>
      <c r="H45" s="2390"/>
      <c r="I45" s="2391" t="str">
        <f>S44&amp;".1"</f>
        <v>...1</v>
      </c>
      <c r="J45" s="1591"/>
      <c r="K45" s="1591"/>
      <c r="L45" s="1592"/>
      <c r="P45" s="2393">
        <v>1</v>
      </c>
      <c r="Q45" s="1709"/>
      <c r="R45" s="579"/>
      <c r="S45" s="1721" t="str">
        <f>$I45</f>
        <v>...1</v>
      </c>
      <c r="T45" s="508" t="s">
        <v>482</v>
      </c>
      <c r="U45" s="523"/>
      <c r="V45" s="2476"/>
      <c r="W45" s="2477"/>
      <c r="X45" s="2477"/>
      <c r="Y45" s="2477"/>
      <c r="Z45" s="2477"/>
      <c r="AA45" s="2477"/>
      <c r="AB45" s="2477"/>
      <c r="AC45" s="2477"/>
      <c r="AD45" s="2477"/>
      <c r="AE45" s="2477"/>
      <c r="AF45" s="2478"/>
      <c r="AG45" s="2479"/>
      <c r="AH45" s="2480"/>
      <c r="AI45" s="2480"/>
      <c r="AJ45" s="2480"/>
      <c r="AK45" s="2480"/>
      <c r="AL45" s="2480"/>
      <c r="AM45" s="2480"/>
      <c r="AN45" s="2480"/>
      <c r="AO45" s="2480"/>
      <c r="AP45" s="2480"/>
      <c r="AQ45" s="2480"/>
      <c r="AR45" s="2481"/>
      <c r="AS45" s="1485" t="s">
        <v>483</v>
      </c>
      <c r="AU45" s="723"/>
      <c r="AV45" s="723" t="str">
        <f>IF(T45="","",T45)</f>
        <v>Наименование признака дифференциации</v>
      </c>
      <c r="AW45" s="723"/>
      <c r="AX45" s="723"/>
    </row>
    <row customHeight="1" ht="23.25">
      <c r="A46" s="1591" t="s">
        <v>257</v>
      </c>
      <c r="B46" s="1591" t="s">
        <v>258</v>
      </c>
      <c r="C46" s="1591" t="s">
        <v>259</v>
      </c>
      <c r="D46" s="1591" t="s">
        <v>546</v>
      </c>
      <c r="E46" s="2390"/>
      <c r="F46" s="2390"/>
      <c r="G46" s="2390"/>
      <c r="H46" s="2390"/>
      <c r="I46" s="2392"/>
      <c r="J46" s="2391" t="str">
        <f>I45&amp;".1"</f>
        <v>...1.1</v>
      </c>
      <c r="K46" s="1591"/>
      <c r="L46" s="1592" t="s">
        <v>407</v>
      </c>
      <c r="P46" s="2393"/>
      <c r="Q46" s="2393">
        <v>1</v>
      </c>
      <c r="R46" s="580"/>
      <c r="S46" s="1721" t="str">
        <f>$J46</f>
        <v>...1.1</v>
      </c>
      <c r="T46" s="509" t="s">
        <v>408</v>
      </c>
      <c r="U46" s="523"/>
      <c r="V46" s="2377"/>
      <c r="W46" s="2378"/>
      <c r="X46" s="2378"/>
      <c r="Y46" s="2378"/>
      <c r="Z46" s="2378"/>
      <c r="AA46" s="2378"/>
      <c r="AB46" s="2378"/>
      <c r="AC46" s="2378"/>
      <c r="AD46" s="2378"/>
      <c r="AE46" s="2378"/>
      <c r="AF46" s="2379"/>
      <c r="AG46" s="2377"/>
      <c r="AH46" s="2378"/>
      <c r="AI46" s="2378"/>
      <c r="AJ46" s="2378"/>
      <c r="AK46" s="2378"/>
      <c r="AL46" s="2378"/>
      <c r="AM46" s="2378"/>
      <c r="AN46" s="2378"/>
      <c r="AO46" s="2378"/>
      <c r="AP46" s="2378"/>
      <c r="AQ46" s="2378"/>
      <c r="AR46" s="2379"/>
      <c r="AS46" s="1535" t="s">
        <v>484</v>
      </c>
      <c r="AU46" s="723"/>
      <c r="AV46" s="723" t="str">
        <f>IF(T46="","",T46)</f>
        <v>Группа потребителей</v>
      </c>
      <c r="AW46" s="723"/>
      <c r="AX46" s="723"/>
    </row>
    <row customHeight="1" ht="23.25">
      <c r="A47" s="1591" t="s">
        <v>257</v>
      </c>
      <c r="B47" s="1591" t="s">
        <v>258</v>
      </c>
      <c r="C47" s="1591" t="s">
        <v>259</v>
      </c>
      <c r="D47" s="1591" t="s">
        <v>546</v>
      </c>
      <c r="E47" s="2390"/>
      <c r="F47" s="2390"/>
      <c r="G47" s="2390"/>
      <c r="H47" s="2390"/>
      <c r="I47" s="2392"/>
      <c r="J47" s="2392"/>
      <c r="K47" s="2391" t="str">
        <f>J46&amp;".1"</f>
        <v>...1.1.1</v>
      </c>
      <c r="L47" s="1592"/>
      <c r="P47" s="2393"/>
      <c r="Q47" s="2393"/>
      <c r="R47" s="580">
        <v>1</v>
      </c>
      <c r="S47" s="1721" t="str">
        <f>$K47</f>
        <v>...1.1.1</v>
      </c>
      <c r="T47" s="1665"/>
      <c r="U47" s="523"/>
      <c r="V47" s="1588"/>
      <c r="W47" s="1588"/>
      <c r="X47" s="1588"/>
      <c r="Y47" s="1588"/>
      <c r="Z47" s="1588"/>
      <c r="AA47" s="1588"/>
      <c r="AB47" s="1589"/>
      <c r="AC47" s="2387"/>
      <c r="AD47" s="2386" t="s">
        <v>66</v>
      </c>
      <c r="AE47" s="2387"/>
      <c r="AF47" s="2386" t="s">
        <v>66</v>
      </c>
      <c r="AG47" s="974"/>
      <c r="AH47" s="974"/>
      <c r="AI47" s="974"/>
      <c r="AJ47" s="974"/>
      <c r="AK47" s="974"/>
      <c r="AL47" s="974"/>
      <c r="AM47" s="1484"/>
      <c r="AN47" s="2394"/>
      <c r="AO47" s="2264" t="s">
        <v>66</v>
      </c>
      <c r="AP47" s="2396"/>
      <c r="AQ47" s="2264" t="s">
        <v>56</v>
      </c>
      <c r="AR47" s="1666"/>
      <c r="AS4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4">
        <f>STRCHECKDATE(V48:AR48)</f>
      </c>
      <c r="AU47" s="723"/>
      <c r="AV47" s="723" t="str">
        <f>IF(T47="","",T47)</f>
        <v/>
      </c>
      <c r="AW47" s="723"/>
      <c r="AX47" s="723"/>
    </row>
    <row customHeight="1" ht="0">
      <c r="A48" s="1591" t="s">
        <v>257</v>
      </c>
      <c r="B48" s="1591" t="s">
        <v>258</v>
      </c>
      <c r="C48" s="1591" t="s">
        <v>259</v>
      </c>
      <c r="D48" s="1591" t="s">
        <v>546</v>
      </c>
      <c r="E48" s="2390"/>
      <c r="F48" s="2390"/>
      <c r="G48" s="2390"/>
      <c r="H48" s="2390"/>
      <c r="I48" s="2392"/>
      <c r="J48" s="2392"/>
      <c r="K48" s="2391"/>
      <c r="L48" s="1592"/>
      <c r="P48" s="2393"/>
      <c r="Q48" s="2393"/>
      <c r="R48" s="580"/>
      <c r="S48" s="1718"/>
      <c r="T48" s="523"/>
      <c r="U48" s="523"/>
      <c r="V48" s="1588"/>
      <c r="W48" s="1588"/>
      <c r="X48" s="1588"/>
      <c r="Y48" s="1588"/>
      <c r="Z48" s="1588"/>
      <c r="AA48" s="1588"/>
      <c r="AB48" s="551" t="str">
        <f>AC47&amp;"-"&amp;AE47</f>
        <v>-</v>
      </c>
      <c r="AC48" s="2386"/>
      <c r="AD48" s="2386"/>
      <c r="AE48" s="2386"/>
      <c r="AF48" s="2386"/>
      <c r="AG48" s="548"/>
      <c r="AH48" s="548"/>
      <c r="AI48" s="548"/>
      <c r="AJ48" s="548"/>
      <c r="AK48" s="548"/>
      <c r="AL48" s="548"/>
      <c r="AM48" s="551" t="str">
        <f>AN47&amp;"-"&amp;AP47</f>
        <v>-</v>
      </c>
      <c r="AN48" s="2395"/>
      <c r="AO48" s="2264"/>
      <c r="AP48" s="2397"/>
      <c r="AQ48" s="2264"/>
      <c r="AR48" s="1667"/>
      <c r="AS48" s="2482"/>
      <c r="AU48" s="723"/>
      <c r="AV48" s="723" t="str">
        <f>IF(T48="","",T48)</f>
        <v/>
      </c>
      <c r="AW48" s="723"/>
      <c r="AX48" s="723"/>
    </row>
    <row customHeight="1" ht="21">
      <c r="A49" s="1591" t="s">
        <v>257</v>
      </c>
      <c r="B49" s="1591" t="s">
        <v>258</v>
      </c>
      <c r="C49" s="1591" t="s">
        <v>259</v>
      </c>
      <c r="D49" s="1591" t="s">
        <v>546</v>
      </c>
      <c r="E49" s="2390"/>
      <c r="F49" s="2390"/>
      <c r="G49" s="2390"/>
      <c r="H49" s="2390"/>
      <c r="I49" s="2392"/>
      <c r="J49" s="2391"/>
      <c r="K49" s="1591"/>
      <c r="L49" s="1592"/>
      <c r="P49" s="2393"/>
      <c r="Q49" s="2393"/>
      <c r="R49" s="579"/>
      <c r="S49" s="1506"/>
      <c r="T49" s="510" t="s">
        <v>485</v>
      </c>
      <c r="U49" s="590"/>
      <c r="V49" s="590"/>
      <c r="W49" s="823"/>
      <c r="X49" s="823"/>
      <c r="Y49" s="823"/>
      <c r="Z49" s="823"/>
      <c r="AA49" s="823"/>
      <c r="AB49" s="590"/>
      <c r="AC49" s="590"/>
      <c r="AD49" s="590"/>
      <c r="AE49" s="590"/>
      <c r="AF49" s="590"/>
      <c r="AG49" s="590"/>
      <c r="AH49" s="823"/>
      <c r="AI49" s="823"/>
      <c r="AJ49" s="823"/>
      <c r="AK49" s="823"/>
      <c r="AL49" s="823"/>
      <c r="AM49" s="590"/>
      <c r="AN49" s="590"/>
      <c r="AO49" s="590"/>
      <c r="AP49" s="590"/>
      <c r="AQ49" s="590"/>
      <c r="AR49" s="590"/>
      <c r="AS49" s="1485" t="s">
        <v>486</v>
      </c>
      <c r="AU49" s="723"/>
      <c r="AV49" s="723" t="str">
        <f>IF(T49="","",T49)</f>
        <v>Добавить значение признака дифференциации</v>
      </c>
      <c r="AW49" s="723"/>
      <c r="AX49" s="723"/>
    </row>
    <row customHeight="1" ht="21">
      <c r="A50" s="1591" t="s">
        <v>257</v>
      </c>
      <c r="B50" s="1591" t="s">
        <v>258</v>
      </c>
      <c r="C50" s="1591" t="s">
        <v>259</v>
      </c>
      <c r="D50" s="1591" t="s">
        <v>546</v>
      </c>
      <c r="E50" s="2390"/>
      <c r="F50" s="2390"/>
      <c r="G50" s="2390"/>
      <c r="H50" s="2390"/>
      <c r="I50" s="2391"/>
      <c r="J50" s="1591"/>
      <c r="K50" s="1591"/>
      <c r="L50" s="1592"/>
      <c r="P50" s="2393"/>
      <c r="Q50" s="1709"/>
      <c r="R50" s="579"/>
      <c r="S50" s="1506"/>
      <c r="T50" s="588" t="s">
        <v>413</v>
      </c>
      <c r="U50" s="590"/>
      <c r="V50" s="590"/>
      <c r="W50" s="823"/>
      <c r="X50" s="823"/>
      <c r="Y50" s="823"/>
      <c r="Z50" s="823"/>
      <c r="AA50" s="823"/>
      <c r="AB50" s="590"/>
      <c r="AC50" s="590"/>
      <c r="AD50" s="590"/>
      <c r="AE50" s="590"/>
      <c r="AF50" s="589"/>
      <c r="AG50" s="590"/>
      <c r="AH50" s="823"/>
      <c r="AI50" s="823"/>
      <c r="AJ50" s="823"/>
      <c r="AK50" s="823"/>
      <c r="AL50" s="823"/>
      <c r="AM50" s="590"/>
      <c r="AN50" s="590"/>
      <c r="AO50" s="590"/>
      <c r="AP50" s="590"/>
      <c r="AQ50" s="589"/>
      <c r="AR50" s="590"/>
      <c r="AS50" s="1668"/>
      <c r="AU50" s="723"/>
      <c r="AV50" s="723" t="str">
        <f>IF(T50="","",T50)</f>
        <v>Добавить группу потребителей</v>
      </c>
      <c r="AW50" s="723"/>
      <c r="AX50" s="723"/>
    </row>
    <row customHeight="1" ht="21">
      <c r="A51" s="1591" t="s">
        <v>257</v>
      </c>
      <c r="B51" s="1591" t="s">
        <v>258</v>
      </c>
      <c r="C51" s="1591" t="s">
        <v>259</v>
      </c>
      <c r="D51" s="1591" t="s">
        <v>546</v>
      </c>
      <c r="E51" s="2390"/>
      <c r="F51" s="2390"/>
      <c r="G51" s="2390"/>
      <c r="H51" s="2389"/>
      <c r="I51" s="1591"/>
      <c r="J51" s="1591"/>
      <c r="K51" s="1591"/>
      <c r="L51" s="1592"/>
      <c r="M51" s="1593"/>
      <c r="N51" s="1593"/>
      <c r="O51" s="760"/>
      <c r="P51" s="583"/>
      <c r="Q51" s="598"/>
      <c r="R51" s="578"/>
      <c r="S51" s="1506"/>
      <c r="T51" s="595" t="s">
        <v>487</v>
      </c>
      <c r="U51" s="590"/>
      <c r="V51" s="590"/>
      <c r="W51" s="823"/>
      <c r="X51" s="823"/>
      <c r="Y51" s="823"/>
      <c r="Z51" s="823"/>
      <c r="AA51" s="823"/>
      <c r="AB51" s="590"/>
      <c r="AC51" s="590"/>
      <c r="AD51" s="590"/>
      <c r="AE51" s="590"/>
      <c r="AF51" s="589"/>
      <c r="AG51" s="590"/>
      <c r="AH51" s="823"/>
      <c r="AI51" s="823"/>
      <c r="AJ51" s="823"/>
      <c r="AK51" s="823"/>
      <c r="AL51" s="823"/>
      <c r="AM51" s="590"/>
      <c r="AN51" s="590"/>
      <c r="AO51" s="590"/>
      <c r="AP51" s="590"/>
      <c r="AQ51" s="589"/>
      <c r="AR51" s="590"/>
      <c r="AS51" s="526"/>
      <c r="AU51" s="723"/>
      <c r="AV51" s="723" t="str">
        <f>IF(T51="","",T51)</f>
        <v>Добавить наименование признака дифференциации</v>
      </c>
      <c r="AW51" s="723"/>
      <c r="AX51" s="723"/>
    </row>
    <row s="13514" customFormat="1" customHeight="1" ht="0">
      <c r="A52" s="1571" t="s">
        <v>257</v>
      </c>
      <c r="B52" s="1571" t="s">
        <v>258</v>
      </c>
      <c r="C52" s="1542"/>
      <c r="D52" s="1542"/>
      <c r="E52" s="2390"/>
      <c r="F52" s="2389"/>
      <c r="G52" s="1542"/>
      <c r="H52" s="1542"/>
      <c r="I52" s="1542"/>
      <c r="J52" s="1542"/>
      <c r="K52" s="1542"/>
      <c r="L52" s="1722"/>
      <c r="M52" s="1549"/>
      <c r="N52" s="1549"/>
      <c r="P52" s="1544"/>
      <c r="Q52" s="1545"/>
      <c r="R52" s="1544"/>
      <c r="S52" s="1550"/>
      <c r="T52" s="1553" t="s">
        <v>252</v>
      </c>
      <c r="U52" s="1552"/>
      <c r="V52" s="1552"/>
      <c r="W52" s="1552"/>
      <c r="X52" s="1552"/>
      <c r="Y52" s="1552"/>
      <c r="Z52" s="1552"/>
      <c r="AA52" s="1552"/>
      <c r="AB52" s="1552"/>
      <c r="AC52" s="1552"/>
      <c r="AD52" s="1552"/>
      <c r="AE52" s="1552"/>
      <c r="AF52" s="1552"/>
      <c r="AG52" s="1552"/>
      <c r="AH52" s="1552"/>
      <c r="AI52" s="1552"/>
      <c r="AJ52" s="1552"/>
      <c r="AK52" s="1552"/>
      <c r="AL52" s="1552"/>
      <c r="AM52" s="1552"/>
      <c r="AN52" s="1552"/>
      <c r="AO52" s="1552"/>
      <c r="AP52" s="1552"/>
      <c r="AQ52" s="1552"/>
      <c r="AR52" s="1552"/>
      <c r="AS52" s="1552"/>
      <c r="AU52" s="1012"/>
      <c r="AV52" s="1012" t="str">
        <f>IF(T52="","",T52)</f>
        <v>Добавить централизованную систему для дифференциации</v>
      </c>
      <c r="AW52" s="1012"/>
      <c r="AX52" s="1012"/>
    </row>
    <row s="13606" customFormat="1" customHeight="1" ht="0">
      <c r="A53" s="1571" t="s">
        <v>257</v>
      </c>
      <c r="B53" s="1571"/>
      <c r="C53" s="1571"/>
      <c r="D53" s="1571"/>
      <c r="E53" s="2389"/>
      <c r="F53" s="1571"/>
      <c r="G53" s="1571"/>
      <c r="H53" s="1571"/>
      <c r="I53" s="1571"/>
      <c r="J53" s="1571"/>
      <c r="K53" s="1571"/>
      <c r="L53" s="1574"/>
      <c r="M53" s="1549"/>
      <c r="N53" s="1549"/>
      <c r="O53" s="741"/>
      <c r="P53" s="603"/>
      <c r="Q53" s="1572"/>
      <c r="R53" s="603"/>
      <c r="S53" s="1550"/>
      <c r="T53" s="1553" t="s">
        <v>253</v>
      </c>
      <c r="U53" s="1552"/>
      <c r="V53" s="1552"/>
      <c r="W53" s="1552"/>
      <c r="X53" s="1552"/>
      <c r="Y53" s="1552"/>
      <c r="Z53" s="1552"/>
      <c r="AA53" s="1552"/>
      <c r="AB53" s="1552"/>
      <c r="AC53" s="1552"/>
      <c r="AD53" s="1552"/>
      <c r="AE53" s="1552"/>
      <c r="AF53" s="1552"/>
      <c r="AG53" s="1552"/>
      <c r="AH53" s="1552"/>
      <c r="AI53" s="1552"/>
      <c r="AJ53" s="1552"/>
      <c r="AK53" s="1552"/>
      <c r="AL53" s="1552"/>
      <c r="AM53" s="1552"/>
      <c r="AN53" s="1552"/>
      <c r="AO53" s="1552"/>
      <c r="AP53" s="1552"/>
      <c r="AQ53" s="1552"/>
      <c r="AR53" s="1552"/>
      <c r="AS53" s="1552"/>
      <c r="AU53" s="723"/>
      <c r="AV53" s="723" t="str">
        <f>IF(T53="","",T53)</f>
        <v>Добавить территорию для дифференциации</v>
      </c>
      <c r="AW53" s="723"/>
      <c r="AX53" s="723"/>
    </row>
    <row s="13514" customFormat="1" customHeight="1" ht="0">
      <c r="A54" s="1542"/>
      <c r="B54" s="1542"/>
      <c r="C54" s="1542"/>
      <c r="D54" s="1542"/>
      <c r="E54" s="1571"/>
      <c r="F54" s="1542"/>
      <c r="G54" s="1542"/>
      <c r="H54" s="1542"/>
      <c r="I54" s="1542"/>
      <c r="J54" s="1542"/>
      <c r="K54" s="1542"/>
      <c r="L54" s="1722"/>
      <c r="M54" s="1549"/>
      <c r="N54" s="1549"/>
      <c r="P54" s="1544"/>
      <c r="Q54" s="1545"/>
      <c r="R54" s="1544"/>
      <c r="S54" s="1550"/>
      <c r="T54" s="1553" t="s">
        <v>254</v>
      </c>
      <c r="U54" s="1552"/>
      <c r="V54" s="1552"/>
      <c r="W54" s="1552"/>
      <c r="X54" s="1552"/>
      <c r="Y54" s="1552"/>
      <c r="Z54" s="1552"/>
      <c r="AA54" s="1552"/>
      <c r="AB54" s="1552"/>
      <c r="AC54" s="1552"/>
      <c r="AD54" s="1552"/>
      <c r="AE54" s="1552"/>
      <c r="AF54" s="1552"/>
      <c r="AG54" s="1552"/>
      <c r="AH54" s="1552"/>
      <c r="AI54" s="1552"/>
      <c r="AJ54" s="1552"/>
      <c r="AK54" s="1552"/>
      <c r="AL54" s="1552"/>
      <c r="AM54" s="1552"/>
      <c r="AN54" s="1552"/>
      <c r="AO54" s="1552"/>
      <c r="AP54" s="1552"/>
      <c r="AQ54" s="1552"/>
      <c r="AR54" s="1552"/>
      <c r="AS54" s="1552"/>
      <c r="AU54" s="1012"/>
      <c r="AV54" s="1012" t="str">
        <f>IF(T54="","",T54)</f>
        <v>Добавить наименование тарифа</v>
      </c>
      <c r="AW54" s="1012"/>
      <c r="AX54" s="1012"/>
    </row>
    <row customHeight="1" ht="11.25">
      <c r="M55" s="1385"/>
      <c r="N55" s="1385"/>
      <c r="O55" s="760"/>
      <c r="P55" s="1380"/>
      <c r="Q55" s="1380"/>
      <c r="R55" s="1380"/>
      <c r="S55" s="1380"/>
      <c r="AT55" s="1380"/>
      <c r="AU55" s="1380"/>
      <c r="AV55" s="1380"/>
      <c r="AW55" s="1380"/>
      <c r="AX55" s="1380"/>
    </row>
    <row customHeight="1" ht="14.25">
      <c r="O56" s="760"/>
      <c r="S56" s="1480"/>
      <c r="T56" s="2388"/>
      <c r="U56" s="2388"/>
      <c r="V56" s="2388"/>
      <c r="W56" s="2388"/>
      <c r="X56" s="2388"/>
      <c r="Y56" s="2388"/>
      <c r="Z56" s="2388"/>
      <c r="AA56" s="2388"/>
      <c r="AB56" s="2388"/>
      <c r="AC56" s="2388"/>
      <c r="AD56" s="2388"/>
      <c r="AE56" s="2388"/>
      <c r="AF56" s="2388"/>
      <c r="AG56" s="2388"/>
      <c r="AH56" s="2388"/>
      <c r="AI56" s="2388"/>
      <c r="AJ56" s="2388"/>
      <c r="AK56" s="2388"/>
      <c r="AL56" s="2388"/>
      <c r="AM56" s="2388"/>
      <c r="AN56" s="2388"/>
      <c r="AO56" s="2388"/>
      <c r="AP56" s="2388"/>
      <c r="AQ56" s="2388"/>
      <c r="AR56" s="2388"/>
      <c r="AS56" s="2388"/>
    </row>
    <row customHeight="1" ht="14.25">
      <c r="O57" s="760"/>
    </row>
    <row customHeight="1" ht="14.25">
      <c r="O58" s="760"/>
      <c r="S58" s="1480"/>
      <c r="T58" s="2388"/>
      <c r="U58" s="2388"/>
      <c r="V58" s="2388"/>
      <c r="W58" s="2388"/>
      <c r="X58" s="2388"/>
      <c r="Y58" s="2388"/>
      <c r="Z58" s="2388"/>
      <c r="AA58" s="2388"/>
      <c r="AB58" s="2388"/>
      <c r="AC58" s="2388"/>
      <c r="AD58" s="2388"/>
      <c r="AE58" s="2388"/>
      <c r="AF58" s="2388"/>
      <c r="AG58" s="2388"/>
      <c r="AH58" s="2388"/>
      <c r="AI58" s="2388"/>
      <c r="AJ58" s="2388"/>
      <c r="AK58" s="2388"/>
      <c r="AL58" s="2388"/>
      <c r="AM58" s="2388"/>
      <c r="AN58" s="2388"/>
      <c r="AO58" s="2388"/>
      <c r="AP58" s="2388"/>
      <c r="AQ58" s="2388"/>
      <c r="AR58" s="2388"/>
      <c r="AS58" s="2388"/>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FD538-CA58-47C8-C0FB-F55064646E1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533" width="11.57421875" hidden="1" customWidth="1"/>
    <col min="2" max="2" style="13533" width="11.00390625" hidden="1" customWidth="1"/>
    <col min="3" max="3" style="13533" width="10.57421875" hidden="1"/>
    <col min="4" max="4" style="13533" width="12.8515625" hidden="1" customWidth="1"/>
    <col min="5" max="5" style="13533" width="10.00390625" hidden="1" customWidth="1"/>
    <col min="6" max="6" style="13533" width="8.7109375" hidden="1" customWidth="1"/>
    <col min="7" max="7" style="13533" width="7.57421875" hidden="1" customWidth="1"/>
    <col min="8" max="8" style="13533" width="11.421875" hidden="1" customWidth="1"/>
    <col min="9" max="9" style="13533" width="12.00390625" hidden="1" customWidth="1"/>
    <col min="10" max="10" style="13533" width="9.8515625" hidden="1" customWidth="1"/>
    <col min="11" max="11" style="13533" width="11.421875" hidden="1" customWidth="1"/>
    <col min="12" max="12" style="13884" width="19.140625" hidden="1" customWidth="1"/>
    <col min="13" max="14" style="13615" width="12.28125" hidden="1" customWidth="1"/>
    <col min="15" max="15" style="13615" width="23.421875" hidden="1" customWidth="1"/>
    <col min="16" max="16" style="13615" width="3.7109375" hidden="1" customWidth="1"/>
    <col min="17" max="17" style="13788" width="3.7109375" hidden="1" customWidth="1"/>
    <col min="18" max="18" style="13617" width="3.7109375" customWidth="1"/>
    <col min="19" max="19" style="13618" width="12.7109375" customWidth="1"/>
    <col min="20" max="20" style="13619" width="32.00390625" customWidth="1"/>
    <col min="21" max="21" style="13619" width="0.140625" customWidth="1"/>
    <col min="22" max="25" style="13619" width="21.7109375" hidden="1" customWidth="1"/>
    <col min="26" max="26" style="13619" width="11.7109375" hidden="1" customWidth="1"/>
    <col min="27" max="27" style="13619" width="3.7109375" hidden="1" customWidth="1"/>
    <col min="28" max="28" style="13619" width="11.7109375" hidden="1" customWidth="1"/>
    <col min="29" max="29" style="13619" width="8.57421875" hidden="1" customWidth="1"/>
    <col min="30" max="32" style="13619" width="3.7109375" customWidth="1"/>
    <col min="33" max="33" style="13619" width="24.7109375" customWidth="1"/>
    <col min="34" max="36" style="13619" width="3.7109375" customWidth="1"/>
    <col min="37" max="37" style="13619" width="24.7109375" customWidth="1"/>
    <col min="38" max="40" style="13619" width="3.7109375" customWidth="1"/>
    <col min="41" max="41" style="13619" width="18.8515625" customWidth="1"/>
    <col min="42" max="44" style="13619" width="3.7109375" customWidth="1"/>
    <col min="45" max="45" style="13619" width="18.8515625" customWidth="1"/>
    <col min="46" max="49" style="13619" width="21.7109375" customWidth="1"/>
    <col min="50" max="50" style="13619" width="11.7109375" customWidth="1"/>
    <col min="51" max="51" style="13619" width="3.7109375" customWidth="1"/>
    <col min="52" max="52" style="13619" width="11.7109375" customWidth="1"/>
    <col min="53" max="53" style="13619" width="8.57421875" hidden="1" customWidth="1"/>
    <col min="54" max="54" style="13619" width="4.7109375" customWidth="1"/>
    <col min="55" max="55" style="13619" width="115.7109375" customWidth="1"/>
    <col min="56" max="57" style="13606" width="10.57421875"/>
    <col min="58" max="58" style="13606" width="11.140625" customWidth="1"/>
    <col min="59" max="60" style="13606" width="10.57421875"/>
  </cols>
  <sheetData>
    <row customHeight="1" ht="14.25" hidden="1">
      <c r="W1" s="550"/>
      <c r="Y1" s="550"/>
      <c r="Z1" s="550"/>
      <c r="AW1" s="550"/>
      <c r="AX1" s="550"/>
    </row>
    <row customHeight="1" ht="21" hidden="1">
      <c r="A2" s="1591"/>
      <c r="B2" s="1591"/>
      <c r="C2" s="1591"/>
      <c r="D2" s="1591"/>
      <c r="E2" s="2389">
        <v>1</v>
      </c>
      <c r="F2" s="1591"/>
      <c r="G2" s="1591"/>
      <c r="H2" s="1591"/>
      <c r="I2" s="1591"/>
      <c r="J2" s="1591"/>
      <c r="K2" s="1591"/>
      <c r="L2" s="1592"/>
      <c r="M2" s="1593"/>
      <c r="N2" s="1593"/>
      <c r="O2" s="1593"/>
      <c r="P2" s="1637"/>
      <c r="Q2" s="1096"/>
      <c r="R2" s="578"/>
      <c r="S2" s="1721">
        <f>INDEX(PT_DIFFERENTIATION_NUM_NTAR,MATCH(A2,PT_DIFFERENTIATION_NTAR_ID,0))</f>
      </c>
      <c r="T2" s="521" t="s">
        <v>122</v>
      </c>
      <c r="U2" s="523"/>
      <c r="V2" s="2384"/>
      <c r="W2" s="2384"/>
      <c r="X2" s="2384"/>
      <c r="Y2" s="2384"/>
      <c r="Z2" s="2384"/>
      <c r="AA2" s="2384"/>
      <c r="AB2" s="2384"/>
      <c r="AC2" s="2385"/>
      <c r="AD2" s="2383">
        <f>INDEX(PT_DIFFERENTIATION_NTAR,MATCH(A2,PT_DIFFERENTIATION_NTAR_ID,0))</f>
      </c>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5"/>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91"/>
      <c r="B3" s="1591"/>
      <c r="C3" s="1591"/>
      <c r="D3" s="1591"/>
      <c r="E3" s="2390"/>
      <c r="F3" s="2389">
        <v>1</v>
      </c>
      <c r="G3" s="1591"/>
      <c r="H3" s="1591"/>
      <c r="I3" s="1591"/>
      <c r="J3" s="1591"/>
      <c r="K3" s="1591"/>
      <c r="L3" s="1592"/>
      <c r="M3" s="1593"/>
      <c r="N3" s="1593"/>
      <c r="O3" s="1593"/>
      <c r="P3" s="1638"/>
      <c r="Q3" s="1639"/>
      <c r="R3" s="576"/>
      <c r="S3" s="1721">
        <f>INDEX(PT_DIFFERENTIATION_NUM_TER,MATCH(B3,PT_DIFFERENTIATION_TER_ID,0))</f>
      </c>
      <c r="T3" s="531" t="s">
        <v>398</v>
      </c>
      <c r="U3" s="523"/>
      <c r="V3" s="2384"/>
      <c r="W3" s="2384"/>
      <c r="X3" s="2384"/>
      <c r="Y3" s="2384"/>
      <c r="Z3" s="2384"/>
      <c r="AA3" s="2384"/>
      <c r="AB3" s="2384"/>
      <c r="AC3" s="2385"/>
      <c r="AD3" s="2383">
        <f>INDEX(PT_DIFFERENTIATION_TER,MATCH(B3,PT_DIFFERENTIATION_TER_ID,0))</f>
      </c>
      <c r="AE3" s="2384"/>
      <c r="AF3" s="2384"/>
      <c r="AG3" s="2384"/>
      <c r="AH3" s="2384"/>
      <c r="AI3" s="2384"/>
      <c r="AJ3" s="2384"/>
      <c r="AK3" s="2384"/>
      <c r="AL3" s="2384"/>
      <c r="AM3" s="2384"/>
      <c r="AN3" s="2384"/>
      <c r="AO3" s="2384"/>
      <c r="AP3" s="2384"/>
      <c r="AQ3" s="2384"/>
      <c r="AR3" s="2384"/>
      <c r="AS3" s="2384"/>
      <c r="AT3" s="2384"/>
      <c r="AU3" s="2384"/>
      <c r="AV3" s="2384"/>
      <c r="AW3" s="2384"/>
      <c r="AX3" s="2384"/>
      <c r="AY3" s="2384"/>
      <c r="AZ3" s="2384"/>
      <c r="BA3" s="2384"/>
      <c r="BB3" s="2385"/>
      <c r="BC3" s="1485" t="s">
        <v>399</v>
      </c>
      <c r="BE3" s="723"/>
      <c r="BF3" s="723" t="str">
        <f>IF(T3="","",T3)</f>
        <v>Территория действия тарифа</v>
      </c>
      <c r="BG3" s="723"/>
      <c r="BH3" s="723"/>
    </row>
    <row customHeight="1" ht="33.75" hidden="1">
      <c r="A4" s="1591"/>
      <c r="B4" s="1591"/>
      <c r="C4" s="1591"/>
      <c r="D4" s="1591"/>
      <c r="E4" s="2390"/>
      <c r="F4" s="2390"/>
      <c r="G4" s="2389">
        <v>1</v>
      </c>
      <c r="H4" s="1591"/>
      <c r="I4" s="1591"/>
      <c r="J4" s="1591"/>
      <c r="K4" s="1591"/>
      <c r="L4" s="1592"/>
      <c r="M4" s="1593"/>
      <c r="N4" s="1593"/>
      <c r="O4" s="1593"/>
      <c r="P4" s="1640"/>
      <c r="Q4" s="1639"/>
      <c r="R4" s="576"/>
      <c r="S4" s="1721">
        <f>INDEX(PT_DIFFERENTIATION_NUM_CS,MATCH(C4,PT_DIFFERENTIATION_CS_ID,0))</f>
      </c>
      <c r="T4" s="532" t="s">
        <v>529</v>
      </c>
      <c r="U4" s="523"/>
      <c r="V4" s="2384"/>
      <c r="W4" s="2384"/>
      <c r="X4" s="2384"/>
      <c r="Y4" s="2384"/>
      <c r="Z4" s="2384"/>
      <c r="AA4" s="2384"/>
      <c r="AB4" s="2384"/>
      <c r="AC4" s="2385"/>
      <c r="AD4" s="2383">
        <f>INDEX(PT_DIFFERENTIATION_CS,MATCH(C4,PT_DIFFERENTIATION_CS_ID,0))</f>
      </c>
      <c r="AE4" s="2384"/>
      <c r="AF4" s="2384"/>
      <c r="AG4" s="2384"/>
      <c r="AH4" s="2384"/>
      <c r="AI4" s="2384"/>
      <c r="AJ4" s="2384"/>
      <c r="AK4" s="2384"/>
      <c r="AL4" s="2384"/>
      <c r="AM4" s="2384"/>
      <c r="AN4" s="2384"/>
      <c r="AO4" s="2384"/>
      <c r="AP4" s="2384"/>
      <c r="AQ4" s="2384"/>
      <c r="AR4" s="2384"/>
      <c r="AS4" s="2384"/>
      <c r="AT4" s="2384"/>
      <c r="AU4" s="2384"/>
      <c r="AV4" s="2384"/>
      <c r="AW4" s="2384"/>
      <c r="AX4" s="2384"/>
      <c r="AY4" s="2384"/>
      <c r="AZ4" s="2384"/>
      <c r="BA4" s="2384"/>
      <c r="BB4" s="2385"/>
      <c r="BC4" s="1485" t="s">
        <v>530</v>
      </c>
      <c r="BE4" s="723"/>
      <c r="BF4" s="723" t="str">
        <f>IF(T4="","",T4)</f>
        <v>Наименование централизованной системы горячего водоснабжения</v>
      </c>
      <c r="BG4" s="723"/>
      <c r="BH4" s="723"/>
    </row>
    <row s="13606" customFormat="1" customHeight="1" ht="14.25" hidden="1">
      <c r="A5" s="1571"/>
      <c r="B5" s="1571"/>
      <c r="C5" s="1571"/>
      <c r="D5" s="1571"/>
      <c r="E5" s="2390"/>
      <c r="F5" s="2390"/>
      <c r="G5" s="2390"/>
      <c r="H5" s="2389">
        <v>1</v>
      </c>
      <c r="I5" s="1571"/>
      <c r="J5" s="1571"/>
      <c r="K5" s="1571"/>
      <c r="L5" s="1574"/>
      <c r="M5" s="1543"/>
      <c r="N5" s="1543"/>
      <c r="O5" s="1543"/>
      <c r="P5" s="1725"/>
      <c r="Q5" s="1726"/>
      <c r="R5" s="580"/>
      <c r="S5" s="1266"/>
      <c r="T5" s="1727"/>
      <c r="U5" s="1612"/>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613" t="s">
        <v>403</v>
      </c>
      <c r="BE5" s="723"/>
      <c r="BF5" s="723" t="str">
        <f>IF(T5="","",T5)</f>
        <v/>
      </c>
      <c r="BG5" s="723"/>
      <c r="BH5" s="723"/>
    </row>
    <row s="13606" customFormat="1" customHeight="1" ht="14.25" hidden="1">
      <c r="A6" s="1571"/>
      <c r="B6" s="1571"/>
      <c r="C6" s="1571"/>
      <c r="D6" s="1571"/>
      <c r="E6" s="2390"/>
      <c r="F6" s="2390"/>
      <c r="G6" s="2390"/>
      <c r="H6" s="2390"/>
      <c r="I6" s="2391" t="str">
        <f>S5&amp;".1"</f>
        <v>.1</v>
      </c>
      <c r="J6" s="1571"/>
      <c r="K6" s="1571"/>
      <c r="L6" s="1574" t="s">
        <v>404</v>
      </c>
      <c r="M6" s="733"/>
      <c r="N6" s="733"/>
      <c r="O6" s="733"/>
      <c r="P6" s="2393">
        <v>1</v>
      </c>
      <c r="Q6" s="1709"/>
      <c r="R6" s="579"/>
      <c r="S6" s="1266"/>
      <c r="T6" s="1611"/>
      <c r="U6" s="1612"/>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613"/>
      <c r="BE6" s="723"/>
      <c r="BF6" s="723" t="str">
        <f>IF(T6="","",T6)</f>
        <v/>
      </c>
      <c r="BG6" s="723"/>
      <c r="BH6" s="723"/>
    </row>
    <row s="13606" customFormat="1" customHeight="1" ht="14.25" hidden="1">
      <c r="A7" s="1571"/>
      <c r="B7" s="1571"/>
      <c r="C7" s="1571"/>
      <c r="D7" s="1571"/>
      <c r="E7" s="2390"/>
      <c r="F7" s="2390"/>
      <c r="G7" s="2390"/>
      <c r="H7" s="2390"/>
      <c r="I7" s="2392"/>
      <c r="J7" s="2391" t="str">
        <f>S5&amp;".1"</f>
        <v>.1</v>
      </c>
      <c r="K7" s="1571"/>
      <c r="L7" s="1574"/>
      <c r="M7" s="733"/>
      <c r="N7" s="733"/>
      <c r="O7" s="733"/>
      <c r="P7" s="2393"/>
      <c r="Q7" s="2393">
        <v>1</v>
      </c>
      <c r="R7" s="580"/>
      <c r="S7" s="1266"/>
      <c r="T7" s="1627"/>
      <c r="U7" s="1612"/>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613"/>
      <c r="BE7" s="723"/>
      <c r="BF7" s="723" t="str">
        <f>IF(T7="","",T7)</f>
        <v/>
      </c>
      <c r="BG7" s="723"/>
      <c r="BH7" s="723"/>
    </row>
    <row customHeight="1" ht="11.25" hidden="1">
      <c r="A8" s="1591"/>
      <c r="B8" s="1591"/>
      <c r="C8" s="1591"/>
      <c r="D8" s="1591"/>
      <c r="E8" s="2390"/>
      <c r="F8" s="2390"/>
      <c r="G8" s="2390"/>
      <c r="H8" s="2390"/>
      <c r="I8" s="2392"/>
      <c r="J8" s="2392"/>
      <c r="K8" s="2391">
        <f>S4&amp;".1"</f>
      </c>
      <c r="L8" s="1592"/>
      <c r="P8" s="2393"/>
      <c r="Q8" s="2393"/>
      <c r="R8" s="2469">
        <v>1</v>
      </c>
      <c r="S8" s="2466">
        <f>$K8</f>
      </c>
      <c r="T8" s="2486"/>
      <c r="U8" s="523"/>
      <c r="V8" s="974"/>
      <c r="W8" s="1484"/>
      <c r="X8" s="974"/>
      <c r="Y8" s="1484"/>
      <c r="Z8" s="1962"/>
      <c r="AA8" s="1697" t="s">
        <v>66</v>
      </c>
      <c r="AB8" s="1962"/>
      <c r="AC8" s="1697" t="s">
        <v>66</v>
      </c>
      <c r="AD8" s="2327" t="s">
        <v>66</v>
      </c>
      <c r="AE8" s="2462"/>
      <c r="AF8" s="2340">
        <v>1</v>
      </c>
      <c r="AG8" s="2485"/>
      <c r="AH8" s="2264" t="s">
        <v>66</v>
      </c>
      <c r="AI8" s="2462"/>
      <c r="AJ8" s="2340">
        <v>1</v>
      </c>
      <c r="AK8" s="2484" t="s">
        <v>24</v>
      </c>
      <c r="AL8" s="2264" t="s">
        <v>66</v>
      </c>
      <c r="AM8" s="2312"/>
      <c r="AN8" s="2340">
        <v>1</v>
      </c>
      <c r="AO8" s="2489"/>
      <c r="AP8" s="2490" t="s">
        <v>66</v>
      </c>
      <c r="AQ8" s="534"/>
      <c r="AR8" s="1714">
        <v>1</v>
      </c>
      <c r="AS8" s="1720" t="s">
        <v>24</v>
      </c>
      <c r="AT8" s="974"/>
      <c r="AU8" s="1484"/>
      <c r="AV8" s="974"/>
      <c r="AW8" s="1484"/>
      <c r="AX8" s="1962"/>
      <c r="AY8" s="1697" t="s">
        <v>66</v>
      </c>
      <c r="AZ8" s="1962"/>
      <c r="BA8" s="1697" t="s">
        <v>66</v>
      </c>
      <c r="BB8" s="1576"/>
      <c r="BC8" s="2419" t="s">
        <v>500</v>
      </c>
      <c r="BE8" s="723"/>
      <c r="BF8" s="723" t="str">
        <f>IF(T8="","",T8)</f>
        <v/>
      </c>
      <c r="BG8" s="723"/>
      <c r="BH8" s="723"/>
    </row>
    <row customHeight="1" ht="11.25" hidden="1">
      <c r="A9" s="1591"/>
      <c r="B9" s="1591"/>
      <c r="C9" s="1591"/>
      <c r="D9" s="1591"/>
      <c r="E9" s="2390"/>
      <c r="F9" s="2390"/>
      <c r="G9" s="2390"/>
      <c r="H9" s="2390"/>
      <c r="I9" s="2392"/>
      <c r="J9" s="2392"/>
      <c r="K9" s="2391"/>
      <c r="L9" s="1592"/>
      <c r="P9" s="2393"/>
      <c r="Q9" s="2393"/>
      <c r="R9" s="2469"/>
      <c r="S9" s="2467"/>
      <c r="T9" s="2487"/>
      <c r="U9" s="523"/>
      <c r="V9" s="1621"/>
      <c r="W9" s="1724"/>
      <c r="X9" s="1621"/>
      <c r="Y9" s="1724"/>
      <c r="Z9" s="1621"/>
      <c r="AA9" s="1621"/>
      <c r="AB9" s="1621"/>
      <c r="AC9" s="1621"/>
      <c r="AD9" s="2328"/>
      <c r="AE9" s="2462"/>
      <c r="AF9" s="2340"/>
      <c r="AG9" s="2485"/>
      <c r="AH9" s="2264"/>
      <c r="AI9" s="2462"/>
      <c r="AJ9" s="2340"/>
      <c r="AK9" s="2484"/>
      <c r="AL9" s="2264"/>
      <c r="AM9" s="2320"/>
      <c r="AN9" s="2340"/>
      <c r="AO9" s="2489"/>
      <c r="AP9" s="2491"/>
      <c r="AQ9" s="539"/>
      <c r="AR9" s="639"/>
      <c r="AS9" s="639" t="s">
        <v>501</v>
      </c>
      <c r="AT9" s="1621"/>
      <c r="AU9" s="1724"/>
      <c r="AV9" s="1621"/>
      <c r="AW9" s="1724"/>
      <c r="AX9" s="1621"/>
      <c r="AY9" s="1621"/>
      <c r="AZ9" s="1621"/>
      <c r="BA9" s="1621"/>
      <c r="BB9" s="1625"/>
      <c r="BC9" s="2420"/>
      <c r="BE9" s="723"/>
      <c r="BF9" s="723"/>
      <c r="BG9" s="723"/>
      <c r="BH9" s="723"/>
    </row>
    <row customHeight="1" ht="11.25" hidden="1">
      <c r="A10" s="1591"/>
      <c r="B10" s="1591"/>
      <c r="C10" s="1591"/>
      <c r="D10" s="1591"/>
      <c r="E10" s="2390"/>
      <c r="F10" s="2390"/>
      <c r="G10" s="2390"/>
      <c r="H10" s="2390"/>
      <c r="I10" s="2392"/>
      <c r="J10" s="2392"/>
      <c r="K10" s="2391"/>
      <c r="L10" s="1592"/>
      <c r="P10" s="2393"/>
      <c r="Q10" s="2393"/>
      <c r="R10" s="2469"/>
      <c r="S10" s="2467"/>
      <c r="T10" s="2487"/>
      <c r="U10" s="523"/>
      <c r="V10" s="1621"/>
      <c r="W10" s="1724"/>
      <c r="X10" s="1621"/>
      <c r="Y10" s="1724"/>
      <c r="Z10" s="1621"/>
      <c r="AA10" s="1621"/>
      <c r="AB10" s="1621"/>
      <c r="AC10" s="1621"/>
      <c r="AD10" s="2328"/>
      <c r="AE10" s="2462"/>
      <c r="AF10" s="2340"/>
      <c r="AG10" s="2485"/>
      <c r="AH10" s="2264"/>
      <c r="AI10" s="2462"/>
      <c r="AJ10" s="2340"/>
      <c r="AK10" s="2484"/>
      <c r="AL10" s="2264"/>
      <c r="AM10" s="539"/>
      <c r="AN10" s="1728"/>
      <c r="AO10" s="1728" t="s">
        <v>502</v>
      </c>
      <c r="AP10" s="639"/>
      <c r="AQ10" s="639"/>
      <c r="AR10" s="639"/>
      <c r="AS10" s="1621"/>
      <c r="AT10" s="1621"/>
      <c r="AU10" s="1724"/>
      <c r="AV10" s="1621"/>
      <c r="AW10" s="1724"/>
      <c r="AX10" s="1621"/>
      <c r="AY10" s="1621"/>
      <c r="AZ10" s="1621"/>
      <c r="BA10" s="1621"/>
      <c r="BB10" s="1625"/>
      <c r="BC10" s="2420"/>
      <c r="BE10" s="723"/>
      <c r="BF10" s="723"/>
      <c r="BG10" s="723"/>
      <c r="BH10" s="723"/>
    </row>
    <row customHeight="1" ht="11.25" hidden="1">
      <c r="A11" s="1591"/>
      <c r="B11" s="1591"/>
      <c r="C11" s="1591"/>
      <c r="D11" s="1591"/>
      <c r="E11" s="2390"/>
      <c r="F11" s="2390"/>
      <c r="G11" s="2390"/>
      <c r="H11" s="2390"/>
      <c r="I11" s="2392"/>
      <c r="J11" s="2392"/>
      <c r="K11" s="2391"/>
      <c r="L11" s="1592"/>
      <c r="P11" s="2393"/>
      <c r="Q11" s="2393"/>
      <c r="R11" s="2469"/>
      <c r="S11" s="2467"/>
      <c r="T11" s="2487"/>
      <c r="U11" s="523"/>
      <c r="V11" s="1621"/>
      <c r="W11" s="1724"/>
      <c r="X11" s="1621"/>
      <c r="Y11" s="1724"/>
      <c r="Z11" s="1621"/>
      <c r="AA11" s="1621"/>
      <c r="AB11" s="1621"/>
      <c r="AC11" s="1621"/>
      <c r="AD11" s="2328"/>
      <c r="AE11" s="2462"/>
      <c r="AF11" s="2340"/>
      <c r="AG11" s="2485"/>
      <c r="AH11" s="2264"/>
      <c r="AI11" s="517"/>
      <c r="AJ11" s="638"/>
      <c r="AK11" s="536" t="s">
        <v>503</v>
      </c>
      <c r="AL11" s="1621"/>
      <c r="AM11" s="1621"/>
      <c r="AN11" s="1621"/>
      <c r="AO11" s="1621"/>
      <c r="AP11" s="1621"/>
      <c r="AQ11" s="1621"/>
      <c r="AR11" s="1621"/>
      <c r="AS11" s="1621"/>
      <c r="AT11" s="1621"/>
      <c r="AU11" s="1724"/>
      <c r="AV11" s="1621"/>
      <c r="AW11" s="1724"/>
      <c r="AX11" s="1621"/>
      <c r="AY11" s="1621"/>
      <c r="AZ11" s="1621"/>
      <c r="BA11" s="1621"/>
      <c r="BB11" s="1625"/>
      <c r="BC11" s="2420"/>
      <c r="BE11" s="723"/>
      <c r="BF11" s="723"/>
      <c r="BG11" s="723"/>
      <c r="BH11" s="723"/>
    </row>
    <row customHeight="1" ht="11.25" hidden="1">
      <c r="A12" s="1591"/>
      <c r="B12" s="1591"/>
      <c r="C12" s="1591"/>
      <c r="D12" s="1591"/>
      <c r="E12" s="2390"/>
      <c r="F12" s="2390"/>
      <c r="G12" s="2390"/>
      <c r="H12" s="2390"/>
      <c r="I12" s="2392"/>
      <c r="J12" s="2392"/>
      <c r="K12" s="2391"/>
      <c r="L12" s="1592"/>
      <c r="P12" s="2393"/>
      <c r="Q12" s="2393"/>
      <c r="R12" s="2469"/>
      <c r="S12" s="2468"/>
      <c r="T12" s="2488"/>
      <c r="U12" s="523"/>
      <c r="V12" s="1621"/>
      <c r="W12" s="1622" t="str">
        <f>Z8&amp;"-"&amp;AB8</f>
        <v>-</v>
      </c>
      <c r="X12" s="1621"/>
      <c r="Y12" s="1622" t="str">
        <f>AB8&amp;"-"&amp;AD8</f>
        <v>-да</v>
      </c>
      <c r="Z12" s="1621"/>
      <c r="AA12" s="1621"/>
      <c r="AB12" s="1621"/>
      <c r="AC12" s="1621"/>
      <c r="AD12" s="2269"/>
      <c r="AE12" s="535"/>
      <c r="AF12" s="537"/>
      <c r="AG12" s="639" t="s">
        <v>504</v>
      </c>
      <c r="AH12" s="1621"/>
      <c r="AI12" s="1621"/>
      <c r="AJ12" s="1621"/>
      <c r="AK12" s="1621"/>
      <c r="AL12" s="1621"/>
      <c r="AM12" s="1621"/>
      <c r="AN12" s="1621"/>
      <c r="AO12" s="1621"/>
      <c r="AP12" s="1621"/>
      <c r="AQ12" s="1621"/>
      <c r="AR12" s="1621"/>
      <c r="AS12" s="1621"/>
      <c r="AT12" s="1621"/>
      <c r="AU12" s="1622" t="str">
        <f>AX8&amp;"-"&amp;AZ8</f>
        <v>-</v>
      </c>
      <c r="AV12" s="1621"/>
      <c r="AW12" s="1622" t="str">
        <f>AZ8&amp;"-"&amp;BB8</f>
        <v>-</v>
      </c>
      <c r="AX12" s="1621"/>
      <c r="AY12" s="1621"/>
      <c r="AZ12" s="1621"/>
      <c r="BA12" s="1621"/>
      <c r="BB12" s="1624" t="str">
        <f>BE8&amp;"-"&amp;BG8</f>
        <v>-</v>
      </c>
      <c r="BC12" s="2420"/>
      <c r="BE12" s="723"/>
      <c r="BF12" s="723" t="str">
        <f>IF(T12="","",T12)</f>
        <v/>
      </c>
      <c r="BG12" s="723"/>
      <c r="BH12" s="723"/>
    </row>
    <row customHeight="1" ht="11.25" hidden="1">
      <c r="A13" s="1591"/>
      <c r="B13" s="1591"/>
      <c r="C13" s="1591"/>
      <c r="D13" s="1591"/>
      <c r="E13" s="2390"/>
      <c r="F13" s="2390"/>
      <c r="G13" s="2390"/>
      <c r="H13" s="2390"/>
      <c r="I13" s="2392"/>
      <c r="J13" s="2391"/>
      <c r="K13" s="1591"/>
      <c r="L13" s="1592"/>
      <c r="P13" s="2393"/>
      <c r="Q13" s="2393"/>
      <c r="R13" s="579"/>
      <c r="S13" s="1506"/>
      <c r="T13" s="510" t="s">
        <v>466</v>
      </c>
      <c r="U13" s="590"/>
      <c r="V13" s="590"/>
      <c r="W13" s="590"/>
      <c r="X13" s="590"/>
      <c r="Y13" s="590"/>
      <c r="Z13" s="590"/>
      <c r="AA13" s="590"/>
      <c r="AB13" s="590"/>
      <c r="AC13" s="590"/>
      <c r="AD13" s="1733"/>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1"/>
      <c r="BE13" s="723"/>
      <c r="BF13" s="723" t="str">
        <f>IF(T13="","",T13)</f>
        <v>Добавить строку</v>
      </c>
      <c r="BG13" s="723"/>
      <c r="BH13" s="723"/>
    </row>
    <row s="13606" customFormat="1" customHeight="1" ht="14.25" hidden="1">
      <c r="A14" s="1571"/>
      <c r="B14" s="1571"/>
      <c r="C14" s="1571"/>
      <c r="D14" s="1571"/>
      <c r="E14" s="2390"/>
      <c r="F14" s="2390"/>
      <c r="G14" s="2390"/>
      <c r="H14" s="2390"/>
      <c r="I14" s="2391"/>
      <c r="J14" s="1571"/>
      <c r="K14" s="1571"/>
      <c r="L14" s="1574"/>
      <c r="M14" s="733"/>
      <c r="N14" s="733"/>
      <c r="O14" s="733"/>
      <c r="P14" s="2393"/>
      <c r="Q14" s="1709"/>
      <c r="R14" s="57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6"/>
      <c r="AV14" s="1616"/>
      <c r="AW14" s="1616"/>
      <c r="AX14" s="1616"/>
      <c r="AY14" s="1616"/>
      <c r="AZ14" s="1616"/>
      <c r="BA14" s="1616"/>
      <c r="BB14" s="1616"/>
      <c r="BC14" s="1617"/>
      <c r="BE14" s="723"/>
      <c r="BF14" s="723" t="str">
        <f>IF(T14="","",T14)</f>
        <v/>
      </c>
      <c r="BG14" s="723"/>
      <c r="BH14" s="723"/>
    </row>
    <row s="13606" customFormat="1" customHeight="1" ht="14.25" hidden="1">
      <c r="A15" s="1571"/>
      <c r="B15" s="1571"/>
      <c r="C15" s="1571"/>
      <c r="D15" s="1571"/>
      <c r="E15" s="2390"/>
      <c r="F15" s="2390"/>
      <c r="G15" s="2390"/>
      <c r="H15" s="2389"/>
      <c r="I15" s="1571"/>
      <c r="J15" s="1571"/>
      <c r="K15" s="1571"/>
      <c r="L15" s="1574"/>
      <c r="M15" s="1543"/>
      <c r="N15" s="1543"/>
      <c r="O15" s="741"/>
      <c r="P15" s="603"/>
      <c r="Q15" s="1572"/>
      <c r="R15" s="1629"/>
      <c r="S15" s="1614"/>
      <c r="T15" s="1615"/>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V15" s="1616"/>
      <c r="AW15" s="1616"/>
      <c r="AX15" s="1616"/>
      <c r="AY15" s="1616"/>
      <c r="AZ15" s="1616"/>
      <c r="BA15" s="1616"/>
      <c r="BB15" s="1616"/>
      <c r="BC15" s="1617"/>
      <c r="BE15" s="723"/>
      <c r="BF15" s="723" t="str">
        <f>IF(T15="","",T15)</f>
        <v/>
      </c>
      <c r="BG15" s="723"/>
      <c r="BH15" s="723"/>
    </row>
    <row s="13514" customFormat="1" customHeight="1" ht="14.25" hidden="1">
      <c r="A16" s="1571"/>
      <c r="B16" s="1571"/>
      <c r="C16" s="1571"/>
      <c r="D16" s="1542"/>
      <c r="E16" s="2390"/>
      <c r="F16" s="2390"/>
      <c r="G16" s="2389"/>
      <c r="H16" s="1542"/>
      <c r="I16" s="1542"/>
      <c r="J16" s="1542"/>
      <c r="K16" s="1542"/>
      <c r="L16" s="1722"/>
      <c r="M16" s="1543"/>
      <c r="N16" s="1543"/>
      <c r="P16" s="1544"/>
      <c r="Q16" s="1545"/>
      <c r="R16" s="1544"/>
      <c r="S16" s="1550"/>
      <c r="T16" s="1553"/>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V16" s="1552"/>
      <c r="AW16" s="1552"/>
      <c r="AX16" s="1552"/>
      <c r="AY16" s="1552"/>
      <c r="AZ16" s="1552"/>
      <c r="BA16" s="1552"/>
      <c r="BB16" s="1552"/>
      <c r="BC16" s="1552"/>
      <c r="BE16" s="1012"/>
      <c r="BF16" s="1012" t="str">
        <f>IF(T16="","",T16)</f>
        <v/>
      </c>
      <c r="BG16" s="1012"/>
      <c r="BH16" s="1012"/>
    </row>
    <row s="13514" customFormat="1" customHeight="1" ht="14.25" hidden="1">
      <c r="A17" s="1571"/>
      <c r="B17" s="1571"/>
      <c r="C17" s="1542"/>
      <c r="D17" s="1542"/>
      <c r="E17" s="2390"/>
      <c r="F17" s="2389"/>
      <c r="G17" s="1542"/>
      <c r="H17" s="1542"/>
      <c r="I17" s="1542"/>
      <c r="J17" s="1542"/>
      <c r="K17" s="1542"/>
      <c r="L17" s="1722"/>
      <c r="M17" s="1549"/>
      <c r="N17" s="1549"/>
      <c r="P17" s="1544"/>
      <c r="Q17" s="1545"/>
      <c r="R17" s="1544"/>
      <c r="S17" s="1550"/>
      <c r="T17" s="1553" t="s">
        <v>252</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V17" s="1552"/>
      <c r="AW17" s="1552"/>
      <c r="AX17" s="1552"/>
      <c r="AY17" s="1552"/>
      <c r="AZ17" s="1552"/>
      <c r="BA17" s="1552"/>
      <c r="BB17" s="1552"/>
      <c r="BC17" s="1552"/>
      <c r="BE17" s="1012"/>
      <c r="BF17" s="1012" t="str">
        <f>IF(T17="","",T17)</f>
        <v>Добавить централизованную систему для дифференциации</v>
      </c>
      <c r="BG17" s="1012"/>
      <c r="BH17" s="1012"/>
    </row>
    <row s="13606" customFormat="1" customHeight="1" ht="14.25" hidden="1">
      <c r="A18" s="1571"/>
      <c r="B18" s="1571"/>
      <c r="C18" s="1571"/>
      <c r="D18" s="1571"/>
      <c r="E18" s="2389"/>
      <c r="F18" s="1571"/>
      <c r="G18" s="1571"/>
      <c r="H18" s="1571"/>
      <c r="I18" s="1571"/>
      <c r="J18" s="1571"/>
      <c r="K18" s="1571"/>
      <c r="L18" s="1574"/>
      <c r="M18" s="1549"/>
      <c r="N18" s="1549"/>
      <c r="O18" s="741"/>
      <c r="P18" s="603"/>
      <c r="Q18" s="1572"/>
      <c r="R18" s="603"/>
      <c r="S18" s="1550"/>
      <c r="T18" s="1553" t="s">
        <v>253</v>
      </c>
      <c r="U18" s="1552"/>
      <c r="V18" s="1552"/>
      <c r="W18" s="1552"/>
      <c r="X18" s="1552"/>
      <c r="Y18" s="1552"/>
      <c r="Z18" s="1552"/>
      <c r="AA18" s="1552"/>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552"/>
      <c r="AX18" s="1552"/>
      <c r="AY18" s="1552"/>
      <c r="AZ18" s="1552"/>
      <c r="BA18" s="1552"/>
      <c r="BB18" s="1552"/>
      <c r="BC18" s="1552"/>
      <c r="BE18" s="723"/>
      <c r="BF18" s="723" t="str">
        <f>IF(T18="","",T18)</f>
        <v>Добавить территорию для дифференциации</v>
      </c>
      <c r="BG18" s="723"/>
      <c r="BH18" s="723"/>
    </row>
    <row customHeight="1" ht="14.25" hidden="1">
      <c r="AC19" s="550"/>
      <c r="BA19" s="550"/>
    </row>
    <row customHeight="1" ht="14.25" hidden="1">
      <c r="AD20" s="1552" t="s">
        <v>56</v>
      </c>
      <c r="AE20" s="1729"/>
      <c r="AF20" s="771">
        <v>1</v>
      </c>
      <c r="AG20" s="1730"/>
      <c r="AH20" s="1552" t="s">
        <v>56</v>
      </c>
      <c r="AI20" s="1729"/>
      <c r="AJ20" s="771">
        <v>1</v>
      </c>
      <c r="AK20" s="1730"/>
      <c r="AL20" s="1552" t="s">
        <v>56</v>
      </c>
      <c r="AM20" s="1731"/>
      <c r="AN20" s="771">
        <v>1</v>
      </c>
      <c r="AO20" s="1732"/>
      <c r="AP20" s="1552" t="s">
        <v>56</v>
      </c>
      <c r="AQ20" s="1731"/>
      <c r="AR20" s="771">
        <v>1</v>
      </c>
      <c r="AS20" s="1732"/>
      <c r="AT20" s="548"/>
      <c r="AU20" s="607"/>
      <c r="AV20" s="548"/>
      <c r="AW20" s="607"/>
      <c r="AX20" s="1964"/>
      <c r="AY20" s="1713" t="s">
        <v>66</v>
      </c>
      <c r="AZ20" s="1964"/>
      <c r="BA20" s="1713" t="s">
        <v>66</v>
      </c>
    </row>
    <row customHeight="1" ht="14.25" hidden="1">
      <c r="BD21" s="719"/>
      <c r="BE21" s="719"/>
      <c r="BF21" s="719"/>
      <c r="BG21" s="719"/>
      <c r="BH21" s="719"/>
    </row>
    <row customHeight="1" ht="14.25" hidden="1">
      <c r="O22" s="1595" t="s">
        <v>416</v>
      </c>
      <c r="Z22" s="1573"/>
      <c r="AB22" s="1573"/>
      <c r="AC22" s="550"/>
      <c r="AX22" s="1573"/>
      <c r="AZ22" s="1573"/>
      <c r="BA22" s="550"/>
      <c r="BD22" s="719"/>
      <c r="BE22" s="719"/>
      <c r="BF22" s="719"/>
      <c r="BG22" s="719"/>
      <c r="BH22" s="719"/>
    </row>
    <row customHeight="1" ht="14.25" hidden="1">
      <c r="AC23" s="550"/>
      <c r="BA23" s="550"/>
      <c r="BD23" s="719"/>
      <c r="BE23" s="719"/>
      <c r="BF23" s="719"/>
      <c r="BG23" s="719"/>
      <c r="BH23" s="719"/>
    </row>
    <row s="13762" customFormat="1" customHeight="1" ht="14.25" hidden="1">
      <c r="M24" s="1736"/>
      <c r="N24" s="1736"/>
      <c r="O24" s="1737" t="s">
        <v>417</v>
      </c>
      <c r="P24" s="1736"/>
      <c r="Q24" s="1738"/>
      <c r="R24" s="1738"/>
      <c r="AA24" s="1735" t="s">
        <v>419</v>
      </c>
      <c r="AC24" s="1735" t="s">
        <v>420</v>
      </c>
      <c r="AD24" s="1735" t="s">
        <v>467</v>
      </c>
      <c r="AH24" s="1735" t="s">
        <v>467</v>
      </c>
      <c r="AK24" s="1735" t="s">
        <v>505</v>
      </c>
      <c r="AL24" s="1735" t="s">
        <v>467</v>
      </c>
      <c r="AP24" s="1735" t="s">
        <v>467</v>
      </c>
      <c r="AY24" s="1735" t="s">
        <v>419</v>
      </c>
      <c r="BA24" s="1735" t="s">
        <v>420</v>
      </c>
      <c r="BD24" s="1739"/>
      <c r="BE24" s="1739"/>
      <c r="BF24" s="1739"/>
      <c r="BG24" s="1739"/>
      <c r="BH24" s="1739"/>
    </row>
    <row customHeight="1" ht="14.25" hidden="1">
      <c r="O25" s="1592"/>
      <c r="BD25" s="719"/>
      <c r="BE25" s="719"/>
      <c r="BF25" s="719"/>
      <c r="BG25" s="719"/>
      <c r="BH25" s="719"/>
    </row>
    <row customHeight="1" ht="14.25" hidden="1">
      <c r="O26" s="1592"/>
      <c r="BD26" s="719"/>
      <c r="BE26" s="719"/>
      <c r="BF26" s="719"/>
      <c r="BG26" s="719"/>
      <c r="BH26" s="719"/>
    </row>
    <row customHeight="1" ht="14.25">
      <c r="Q27" s="514"/>
      <c r="R27" s="599"/>
      <c r="S27" s="1503"/>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2422"/>
      <c r="AT28" s="2422"/>
      <c r="AU28" s="2422"/>
      <c r="AV28" s="2422"/>
      <c r="AW28" s="2422"/>
      <c r="AX28" s="2422"/>
      <c r="AY28" s="2422"/>
      <c r="AZ28" s="2422"/>
      <c r="BA28" s="1470"/>
    </row>
    <row customHeight="1" ht="14.25">
      <c r="Q29" s="514"/>
      <c r="R29" s="599"/>
      <c r="S29" s="2423" t="str">
        <f>IF(org=0,"Не определено",org)</f>
        <v>ООО "Новая Энергетика"</v>
      </c>
      <c r="T29" s="2423"/>
      <c r="U29" s="2423"/>
      <c r="V29" s="2423"/>
      <c r="W29" s="2423"/>
      <c r="X29" s="2423"/>
      <c r="Y29" s="2423"/>
      <c r="Z29" s="2423"/>
      <c r="AA29" s="2423"/>
      <c r="AB29" s="2423"/>
      <c r="AC29" s="2423"/>
      <c r="AD29" s="2423"/>
      <c r="AE29" s="2423"/>
      <c r="AF29" s="2423"/>
      <c r="AG29" s="2423"/>
      <c r="AH29" s="2423"/>
      <c r="AI29" s="2423"/>
      <c r="AJ29" s="2423"/>
      <c r="AK29" s="2423"/>
      <c r="AL29" s="2423"/>
      <c r="AM29" s="2423"/>
      <c r="AN29" s="2423"/>
      <c r="AO29" s="2423"/>
      <c r="AP29" s="2423"/>
      <c r="AQ29" s="2423"/>
      <c r="AR29" s="2423"/>
      <c r="AS29" s="2423"/>
      <c r="AT29" s="2423"/>
      <c r="AU29" s="2423"/>
      <c r="AV29" s="2423"/>
      <c r="AW29" s="2423"/>
      <c r="AX29" s="2423"/>
      <c r="AY29" s="2423"/>
      <c r="AZ29" s="2423"/>
      <c r="BA29" s="1470"/>
    </row>
    <row customHeight="1" ht="14.25">
      <c r="Q30" s="514"/>
      <c r="R30" s="599"/>
      <c r="S30" s="1503"/>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13547" customFormat="1" customHeight="1" ht="25.5">
      <c r="A31" s="1596"/>
      <c r="B31" s="1596"/>
      <c r="C31" s="1596"/>
      <c r="D31" s="1596"/>
      <c r="E31" s="1596"/>
      <c r="F31" s="1596"/>
      <c r="G31" s="1596"/>
      <c r="H31" s="1596"/>
      <c r="I31" s="1596"/>
      <c r="J31" s="1596"/>
      <c r="K31" s="1596"/>
      <c r="L31" s="1597"/>
      <c r="M31" s="1596"/>
      <c r="N31" s="1596"/>
      <c r="O31" s="1596"/>
      <c r="P31" s="1596"/>
      <c r="Q31" s="1596"/>
      <c r="S31" s="2380" t="s">
        <v>38</v>
      </c>
      <c r="T31" s="2380"/>
      <c r="U31" s="1600"/>
      <c r="V31" s="2382" t="str">
        <f>IF(TITLE_NAME_OR_PR_CHANGE="",IF(TITLE_NAME_OR_PR="","",TITLE_NAME_OR_PR),TITLE_NAME_OR_PR_CHANGE)</f>
        <v>Агенство по тарифам Приморского края</v>
      </c>
      <c r="W31" s="2382"/>
      <c r="X31" s="2382"/>
      <c r="Y31" s="2382"/>
      <c r="Z31" s="2382"/>
      <c r="AA31" s="2382"/>
      <c r="AB31" s="2382"/>
      <c r="AC31" s="549"/>
      <c r="AD31" s="2382" t="str">
        <f>IF(TITLE_NAME_OR_PR_CHANGE="",IF(TITLE_NAME_OR_PR="","",TITLE_NAME_OR_PR),TITLE_NAME_OR_PR_CHANGE)</f>
        <v>Агенство по тарифам Приморского края</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549"/>
      <c r="BB31" s="549"/>
      <c r="BC31" s="503"/>
      <c r="BD31" s="591"/>
      <c r="BE31" s="591"/>
      <c r="BF31" s="591"/>
      <c r="BG31" s="591"/>
      <c r="BH31" s="591"/>
    </row>
    <row s="13547" customFormat="1" customHeight="1" ht="18.75">
      <c r="A32" s="1596"/>
      <c r="B32" s="1596"/>
      <c r="C32" s="1596"/>
      <c r="D32" s="1596"/>
      <c r="E32" s="1596"/>
      <c r="F32" s="1596"/>
      <c r="G32" s="1596"/>
      <c r="H32" s="1596"/>
      <c r="I32" s="1596"/>
      <c r="J32" s="1596"/>
      <c r="K32" s="1596"/>
      <c r="L32" s="1597"/>
      <c r="M32" s="1596"/>
      <c r="N32" s="1596"/>
      <c r="O32" s="1596"/>
      <c r="P32" s="1596"/>
      <c r="Q32" s="1596"/>
      <c r="S32" s="2380" t="s">
        <v>422</v>
      </c>
      <c r="T32" s="2380"/>
      <c r="U32" s="1600"/>
      <c r="V32" s="2381" t="str">
        <f>IF(TITLE_DATE_PR_CHANGE="",IF(TITLE_DATE_PR="","",TITLE_DATE_PR),TITLE_DATE_PR_CHANGE)</f>
        <v>45281.66994212963</v>
      </c>
      <c r="W32" s="2381"/>
      <c r="X32" s="2381"/>
      <c r="Y32" s="2381"/>
      <c r="Z32" s="2381"/>
      <c r="AA32" s="2381"/>
      <c r="AB32" s="2381"/>
      <c r="AC32" s="549"/>
      <c r="AD32" s="2381" t="str">
        <f>IF(TITLE_DATE_PR_CHANGE="",IF(TITLE_DATE_PR="","",TITLE_DATE_PR),TITLE_DATE_PR_CHANGE)</f>
        <v>45281.66994212963</v>
      </c>
      <c r="AE32" s="2381"/>
      <c r="AF32" s="2381"/>
      <c r="AG32" s="2381"/>
      <c r="AH32" s="2381"/>
      <c r="AI32" s="2381"/>
      <c r="AJ32" s="2381"/>
      <c r="AK32" s="2381"/>
      <c r="AL32" s="2381"/>
      <c r="AM32" s="2381"/>
      <c r="AN32" s="2381"/>
      <c r="AO32" s="2381"/>
      <c r="AP32" s="2381"/>
      <c r="AQ32" s="2381"/>
      <c r="AR32" s="2381"/>
      <c r="AS32" s="2381"/>
      <c r="AT32" s="2381"/>
      <c r="AU32" s="2381"/>
      <c r="AV32" s="2381"/>
      <c r="AW32" s="2381"/>
      <c r="AX32" s="2381"/>
      <c r="AY32" s="2381"/>
      <c r="AZ32" s="2381"/>
      <c r="BA32" s="549"/>
      <c r="BB32" s="549"/>
      <c r="BC32" s="503"/>
      <c r="BD32" s="591"/>
      <c r="BE32" s="591"/>
      <c r="BF32" s="591"/>
      <c r="BG32" s="591"/>
      <c r="BH32" s="591"/>
    </row>
    <row s="13547" customFormat="1" customHeight="1" ht="18.75">
      <c r="A33" s="1596"/>
      <c r="B33" s="1596"/>
      <c r="C33" s="1596"/>
      <c r="D33" s="1596"/>
      <c r="E33" s="1596"/>
      <c r="F33" s="1596"/>
      <c r="G33" s="1596"/>
      <c r="H33" s="1596"/>
      <c r="I33" s="1596"/>
      <c r="J33" s="1596"/>
      <c r="K33" s="1596"/>
      <c r="L33" s="1597"/>
      <c r="M33" s="1596"/>
      <c r="N33" s="1596"/>
      <c r="O33" s="1596"/>
      <c r="P33" s="1596"/>
      <c r="Q33" s="1596"/>
      <c r="S33" s="2380" t="s">
        <v>423</v>
      </c>
      <c r="T33" s="2380"/>
      <c r="U33" s="1600"/>
      <c r="V33" s="2382" t="str">
        <f>IF(TITLE_NUMBER_PR_CHANGE="",IF(TITLE_NUMBER_PR="","",TITLE_NUMBER_PR),TITLE_NUMBER_PR_CHANGE)</f>
        <v>72/1</v>
      </c>
      <c r="W33" s="2382"/>
      <c r="X33" s="2382"/>
      <c r="Y33" s="2382"/>
      <c r="Z33" s="2382"/>
      <c r="AA33" s="2382"/>
      <c r="AB33" s="2382"/>
      <c r="AC33" s="549"/>
      <c r="AD33" s="2382" t="str">
        <f>IF(TITLE_NUMBER_PR_CHANGE="",IF(TITLE_NUMBER_PR="","",TITLE_NUMBER_PR),TITLE_NUMBER_PR_CHANGE)</f>
        <v>72/1</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549"/>
      <c r="BB33" s="549"/>
      <c r="BC33" s="503"/>
      <c r="BD33" s="591"/>
      <c r="BE33" s="591"/>
      <c r="BF33" s="591"/>
      <c r="BG33" s="591"/>
      <c r="BH33" s="591"/>
    </row>
    <row s="13547" customFormat="1" customHeight="1" ht="18.75">
      <c r="A34" s="1596"/>
      <c r="B34" s="1596"/>
      <c r="C34" s="1596"/>
      <c r="D34" s="1596"/>
      <c r="E34" s="1596"/>
      <c r="F34" s="1596"/>
      <c r="G34" s="1596"/>
      <c r="H34" s="1596"/>
      <c r="I34" s="1596"/>
      <c r="J34" s="1596"/>
      <c r="K34" s="1596"/>
      <c r="L34" s="1597"/>
      <c r="M34" s="1596"/>
      <c r="N34" s="1596"/>
      <c r="O34" s="1596"/>
      <c r="P34" s="1596"/>
      <c r="Q34" s="1596"/>
      <c r="S34" s="2380" t="s">
        <v>40</v>
      </c>
      <c r="T34" s="2380"/>
      <c r="U34" s="1600"/>
      <c r="V34" s="2382" t="str">
        <f>IF(TITLE_IST_PUB_CHANGE="",IF(TITLE_IST_PUB="","",TITLE_IST_PUB),TITLE_IST_PUB_CHANGE)</f>
        <v>http://pravo.gov.ru Номер опубликования: 2501202312270032 Дата опубликования: 27.12.2023</v>
      </c>
      <c r="W34" s="2382"/>
      <c r="X34" s="2382"/>
      <c r="Y34" s="2382"/>
      <c r="Z34" s="2382"/>
      <c r="AA34" s="2382"/>
      <c r="AB34" s="2382"/>
      <c r="AC34" s="549"/>
      <c r="AD34" s="2382" t="str">
        <f>IF(TITLE_IST_PUB_CHANGE="",IF(TITLE_IST_PUB="","",TITLE_IST_PUB),TITLE_IST_PUB_CHANGE)</f>
        <v>http://pravo.gov.ru Номер опубликования: 2501202312270032 Дата опубликования: 27.12.2023</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549"/>
      <c r="BB34" s="549"/>
      <c r="BC34" s="503"/>
      <c r="BD34" s="591"/>
      <c r="BE34" s="591"/>
      <c r="BF34" s="591"/>
      <c r="BG34" s="591"/>
      <c r="BH34" s="591"/>
    </row>
    <row customHeight="1" ht="14.25" hidden="1">
      <c r="Q35" s="514"/>
      <c r="R35" s="599"/>
      <c r="S35" s="1503"/>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13547" customFormat="1" customHeight="1" ht="18.75" hidden="1">
      <c r="A36" s="1596"/>
      <c r="B36" s="1596"/>
      <c r="C36" s="1596"/>
      <c r="D36" s="1596"/>
      <c r="E36" s="1596"/>
      <c r="F36" s="1596"/>
      <c r="G36" s="1596"/>
      <c r="H36" s="1596"/>
      <c r="I36" s="1596"/>
      <c r="J36" s="1596"/>
      <c r="K36" s="1596"/>
      <c r="L36" s="1597"/>
      <c r="M36" s="1596"/>
      <c r="N36" s="1596"/>
      <c r="O36" s="1596"/>
      <c r="P36" s="1596"/>
      <c r="Q36" s="1596"/>
      <c r="S36" s="2380" t="s">
        <v>422</v>
      </c>
      <c r="T36" s="2380"/>
      <c r="U36" s="1600"/>
      <c r="V36" s="2381" t="str">
        <f>IF(TITLE_DATE_PR_CHANGE="",IF(TITLE_DATE_PR="","",TITLE_DATE_PR),TITLE_DATE_PR_CHANGE)</f>
        <v>45281.66994212963</v>
      </c>
      <c r="W36" s="2381"/>
      <c r="X36" s="2381"/>
      <c r="Y36" s="2381"/>
      <c r="Z36" s="2381"/>
      <c r="AA36" s="2381"/>
      <c r="AB36" s="2381"/>
      <c r="AC36" s="549"/>
      <c r="AD36" s="2381" t="str">
        <f>IF(TITLE_DATE_PR_CHANGE="",IF(TITLE_DATE_PR="","",TITLE_DATE_PR),TITLE_DATE_PR_CHANGE)</f>
        <v>45281.66994212963</v>
      </c>
      <c r="AE36" s="2381"/>
      <c r="AF36" s="2381"/>
      <c r="AG36" s="2381"/>
      <c r="AH36" s="2381"/>
      <c r="AI36" s="2381"/>
      <c r="AJ36" s="2381"/>
      <c r="AK36" s="2381"/>
      <c r="AL36" s="2381"/>
      <c r="AM36" s="2381"/>
      <c r="AN36" s="2381"/>
      <c r="AO36" s="2381"/>
      <c r="AP36" s="2381"/>
      <c r="AQ36" s="2381"/>
      <c r="AR36" s="2381"/>
      <c r="AS36" s="2381"/>
      <c r="AT36" s="2381"/>
      <c r="AU36" s="2381"/>
      <c r="AV36" s="2381"/>
      <c r="AW36" s="2381"/>
      <c r="AX36" s="2381"/>
      <c r="AY36" s="2381"/>
      <c r="AZ36" s="2381"/>
      <c r="BA36" s="549"/>
      <c r="BB36" s="549"/>
      <c r="BC36" s="503"/>
      <c r="BD36" s="591"/>
      <c r="BE36" s="591"/>
      <c r="BF36" s="591"/>
      <c r="BG36" s="591"/>
      <c r="BH36" s="591"/>
    </row>
    <row s="13547" customFormat="1" customHeight="1" ht="18.75" hidden="1">
      <c r="A37" s="1596"/>
      <c r="B37" s="1596"/>
      <c r="C37" s="1596"/>
      <c r="D37" s="1596"/>
      <c r="E37" s="1596"/>
      <c r="F37" s="1596"/>
      <c r="G37" s="1596"/>
      <c r="H37" s="1596"/>
      <c r="I37" s="1596"/>
      <c r="J37" s="1596"/>
      <c r="K37" s="1596"/>
      <c r="L37" s="1597"/>
      <c r="M37" s="1596"/>
      <c r="N37" s="1596"/>
      <c r="O37" s="1596"/>
      <c r="P37" s="1596"/>
      <c r="Q37" s="1596"/>
      <c r="S37" s="2380" t="s">
        <v>423</v>
      </c>
      <c r="T37" s="2380"/>
      <c r="U37" s="1600"/>
      <c r="V37" s="2382" t="str">
        <f>IF(TITLE_NUMBER_PR_CHANGE="",IF(TITLE_NUMBER_PR="","",TITLE_NUMBER_PR),TITLE_NUMBER_PR_CHANGE)</f>
        <v>72/1</v>
      </c>
      <c r="W37" s="2382"/>
      <c r="X37" s="2382"/>
      <c r="Y37" s="2382"/>
      <c r="Z37" s="2382"/>
      <c r="AA37" s="2382"/>
      <c r="AB37" s="2382"/>
      <c r="AC37" s="549"/>
      <c r="AD37" s="2382" t="str">
        <f>IF(TITLE_NUMBER_PR_CHANGE="",IF(TITLE_NUMBER_PR="","",TITLE_NUMBER_PR),TITLE_NUMBER_PR_CHANGE)</f>
        <v>72/1</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549"/>
      <c r="BB37" s="549"/>
      <c r="BC37" s="503"/>
      <c r="BD37" s="591"/>
      <c r="BE37" s="591"/>
      <c r="BF37" s="591"/>
      <c r="BG37" s="591"/>
      <c r="BH37" s="591"/>
    </row>
    <row s="13547" customFormat="1" customHeight="1" ht="0">
      <c r="A38" s="1596"/>
      <c r="B38" s="1596"/>
      <c r="C38" s="1596"/>
      <c r="D38" s="1596"/>
      <c r="E38" s="1596"/>
      <c r="F38" s="1596"/>
      <c r="G38" s="1596"/>
      <c r="H38" s="1596"/>
      <c r="I38" s="1596"/>
      <c r="J38" s="1596"/>
      <c r="K38" s="1596"/>
      <c r="L38" s="1597"/>
      <c r="M38" s="1596"/>
      <c r="N38" s="1596"/>
      <c r="O38" s="1596"/>
      <c r="P38" s="1596"/>
      <c r="Q38" s="1596"/>
      <c r="S38" s="546"/>
      <c r="T38" s="546"/>
      <c r="U38" s="1716"/>
      <c r="V38" s="549"/>
      <c r="W38" s="549"/>
      <c r="X38" s="549"/>
      <c r="Y38" s="549"/>
      <c r="Z38" s="549"/>
      <c r="AA38" s="549"/>
      <c r="AB38" s="549"/>
      <c r="AC38" s="501" t="s">
        <v>426</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426</v>
      </c>
      <c r="BD38" s="591"/>
      <c r="BE38" s="591"/>
      <c r="BF38" s="591"/>
      <c r="BG38" s="591"/>
      <c r="BH38" s="591"/>
    </row>
    <row customHeight="1" ht="14.25">
      <c r="Q39" s="514"/>
      <c r="R39" s="599"/>
      <c r="S39" s="1503"/>
      <c r="T39" s="586"/>
      <c r="U39" s="1471"/>
      <c r="V39" s="2406"/>
      <c r="W39" s="2406"/>
      <c r="X39" s="2406"/>
      <c r="Y39" s="2406"/>
      <c r="Z39" s="2406"/>
      <c r="AA39" s="2406"/>
      <c r="AB39" s="2406"/>
      <c r="AC39" s="2406"/>
      <c r="AD39" s="2406"/>
      <c r="AE39" s="2406"/>
      <c r="AF39" s="2406"/>
      <c r="AG39" s="2406"/>
      <c r="AH39" s="2406"/>
      <c r="AI39" s="2406"/>
      <c r="AJ39" s="2406"/>
      <c r="AK39" s="2406"/>
      <c r="AL39" s="2406"/>
      <c r="AM39" s="2406"/>
      <c r="AN39" s="2406"/>
      <c r="AO39" s="2406"/>
      <c r="AP39" s="2406"/>
      <c r="AQ39" s="2406"/>
      <c r="AR39" s="2406"/>
      <c r="AS39" s="2406"/>
      <c r="AT39" s="2406"/>
      <c r="AU39" s="2406"/>
      <c r="AV39" s="2406"/>
      <c r="AW39" s="2406"/>
      <c r="AX39" s="2406"/>
      <c r="AY39" s="2406"/>
      <c r="AZ39" s="2406"/>
      <c r="BA39" s="2406"/>
    </row>
    <row customHeight="1" ht="14.25">
      <c r="Q40" s="514"/>
      <c r="R40" s="599"/>
      <c r="S40" s="2254" t="s">
        <v>301</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302</v>
      </c>
    </row>
    <row customHeight="1" ht="14.25">
      <c r="Q41" s="514"/>
      <c r="R41" s="599"/>
      <c r="S41" s="2407" t="s">
        <v>87</v>
      </c>
      <c r="T41" s="2344" t="s">
        <v>506</v>
      </c>
      <c r="U41" s="524"/>
      <c r="V41" s="2408" t="s">
        <v>428</v>
      </c>
      <c r="W41" s="2409"/>
      <c r="X41" s="2409"/>
      <c r="Y41" s="2409"/>
      <c r="Z41" s="2409"/>
      <c r="AA41" s="2409"/>
      <c r="AB41" s="2410"/>
      <c r="AC41" s="2411" t="s">
        <v>429</v>
      </c>
      <c r="AD41" s="2455" t="s">
        <v>507</v>
      </c>
      <c r="AE41" s="2430"/>
      <c r="AF41" s="2430"/>
      <c r="AG41" s="2456"/>
      <c r="AH41" s="2455" t="s">
        <v>508</v>
      </c>
      <c r="AI41" s="2430"/>
      <c r="AJ41" s="2430"/>
      <c r="AK41" s="2456"/>
      <c r="AL41" s="2455" t="s">
        <v>509</v>
      </c>
      <c r="AM41" s="2430"/>
      <c r="AN41" s="2430"/>
      <c r="AO41" s="2456"/>
      <c r="AP41" s="2455" t="s">
        <v>510</v>
      </c>
      <c r="AQ41" s="2430"/>
      <c r="AR41" s="2430"/>
      <c r="AS41" s="2456"/>
      <c r="AT41" s="2408" t="s">
        <v>428</v>
      </c>
      <c r="AU41" s="2409"/>
      <c r="AV41" s="2409"/>
      <c r="AW41" s="2409"/>
      <c r="AX41" s="2409"/>
      <c r="AY41" s="2409"/>
      <c r="AZ41" s="2410"/>
      <c r="BA41" s="2411" t="s">
        <v>429</v>
      </c>
      <c r="BB41" s="2414" t="s">
        <v>431</v>
      </c>
      <c r="BC41" s="2254"/>
    </row>
    <row customHeight="1" ht="33.75">
      <c r="Q42" s="514"/>
      <c r="R42" s="599"/>
      <c r="S42" s="2407"/>
      <c r="T42" s="2344"/>
      <c r="U42" s="1255"/>
      <c r="V42" s="2312" t="s">
        <v>511</v>
      </c>
      <c r="W42" s="2313"/>
      <c r="X42" s="2312" t="s">
        <v>512</v>
      </c>
      <c r="Y42" s="2313"/>
      <c r="Z42" s="2428" t="s">
        <v>513</v>
      </c>
      <c r="AA42" s="2446"/>
      <c r="AB42" s="2447"/>
      <c r="AC42" s="2412"/>
      <c r="AD42" s="2457"/>
      <c r="AE42" s="2458"/>
      <c r="AF42" s="2458"/>
      <c r="AG42" s="2470"/>
      <c r="AH42" s="2457"/>
      <c r="AI42" s="2458"/>
      <c r="AJ42" s="2458"/>
      <c r="AK42" s="2470"/>
      <c r="AL42" s="2457"/>
      <c r="AM42" s="2458"/>
      <c r="AN42" s="2458"/>
      <c r="AO42" s="2470"/>
      <c r="AP42" s="2457"/>
      <c r="AQ42" s="2458"/>
      <c r="AR42" s="2458"/>
      <c r="AS42" s="2470"/>
      <c r="AT42" s="2312" t="s">
        <v>511</v>
      </c>
      <c r="AU42" s="2313"/>
      <c r="AV42" s="2312" t="s">
        <v>512</v>
      </c>
      <c r="AW42" s="2313"/>
      <c r="AX42" s="2428" t="s">
        <v>513</v>
      </c>
      <c r="AY42" s="2446"/>
      <c r="AZ42" s="2447"/>
      <c r="BA42" s="2412"/>
      <c r="BB42" s="2415"/>
      <c r="BC42" s="2254"/>
    </row>
    <row customHeight="1" ht="14.25">
      <c r="Q43" s="514"/>
      <c r="R43" s="599"/>
      <c r="S43" s="2407"/>
      <c r="T43" s="2344"/>
      <c r="U43" s="1255"/>
      <c r="V43" s="2320"/>
      <c r="W43" s="2321"/>
      <c r="X43" s="2320"/>
      <c r="Y43" s="2321"/>
      <c r="Z43" s="2429"/>
      <c r="AA43" s="2448"/>
      <c r="AB43" s="2449"/>
      <c r="AC43" s="2412"/>
      <c r="AD43" s="2457"/>
      <c r="AE43" s="2458"/>
      <c r="AF43" s="2458"/>
      <c r="AG43" s="2470"/>
      <c r="AH43" s="2457"/>
      <c r="AI43" s="2458"/>
      <c r="AJ43" s="2458"/>
      <c r="AK43" s="2470"/>
      <c r="AL43" s="2457"/>
      <c r="AM43" s="2458"/>
      <c r="AN43" s="2458"/>
      <c r="AO43" s="2470"/>
      <c r="AP43" s="2457"/>
      <c r="AQ43" s="2458"/>
      <c r="AR43" s="2458"/>
      <c r="AS43" s="2470"/>
      <c r="AT43" s="2320"/>
      <c r="AU43" s="2321"/>
      <c r="AV43" s="2320"/>
      <c r="AW43" s="2321"/>
      <c r="AX43" s="2429"/>
      <c r="AY43" s="2448"/>
      <c r="AZ43" s="2449"/>
      <c r="BA43" s="2412"/>
      <c r="BB43" s="2415"/>
      <c r="BC43" s="2254"/>
    </row>
    <row customHeight="1" ht="14.25">
      <c r="A44" s="1598"/>
      <c r="B44" s="1598" t="s">
        <v>134</v>
      </c>
      <c r="C44" s="1598" t="s">
        <v>135</v>
      </c>
      <c r="D44" s="1598" t="s">
        <v>136</v>
      </c>
      <c r="E44" s="1592" t="s">
        <v>436</v>
      </c>
      <c r="F44" s="1592" t="s">
        <v>437</v>
      </c>
      <c r="G44" s="1592" t="s">
        <v>438</v>
      </c>
      <c r="H44" s="1592" t="s">
        <v>439</v>
      </c>
      <c r="I44" s="1592" t="s">
        <v>440</v>
      </c>
      <c r="J44" s="1592" t="s">
        <v>441</v>
      </c>
      <c r="K44" s="1592" t="s">
        <v>442</v>
      </c>
      <c r="L44" s="1592" t="s">
        <v>417</v>
      </c>
      <c r="Q44" s="514"/>
      <c r="R44" s="599"/>
      <c r="S44" s="2407"/>
      <c r="T44" s="2344"/>
      <c r="U44" s="525"/>
      <c r="V44" s="1707" t="s">
        <v>477</v>
      </c>
      <c r="W44" s="1707" t="s">
        <v>478</v>
      </c>
      <c r="X44" s="1707" t="s">
        <v>477</v>
      </c>
      <c r="Y44" s="1707" t="s">
        <v>478</v>
      </c>
      <c r="Z44" s="1717" t="s">
        <v>445</v>
      </c>
      <c r="AA44" s="2403" t="s">
        <v>446</v>
      </c>
      <c r="AB44" s="2404"/>
      <c r="AC44" s="2413"/>
      <c r="AD44" s="2459"/>
      <c r="AE44" s="2460"/>
      <c r="AF44" s="2460"/>
      <c r="AG44" s="2461"/>
      <c r="AH44" s="2459"/>
      <c r="AI44" s="2460"/>
      <c r="AJ44" s="2460"/>
      <c r="AK44" s="2461"/>
      <c r="AL44" s="2459"/>
      <c r="AM44" s="2460"/>
      <c r="AN44" s="2460"/>
      <c r="AO44" s="2461"/>
      <c r="AP44" s="2459"/>
      <c r="AQ44" s="2460"/>
      <c r="AR44" s="2460"/>
      <c r="AS44" s="2461"/>
      <c r="AT44" s="1707" t="s">
        <v>477</v>
      </c>
      <c r="AU44" s="1707" t="s">
        <v>478</v>
      </c>
      <c r="AV44" s="1707" t="s">
        <v>477</v>
      </c>
      <c r="AW44" s="1707" t="s">
        <v>478</v>
      </c>
      <c r="AX44" s="1717" t="s">
        <v>445</v>
      </c>
      <c r="AY44" s="2403" t="s">
        <v>446</v>
      </c>
      <c r="AZ44" s="2404"/>
      <c r="BA44" s="2413"/>
      <c r="BB44" s="2416"/>
      <c r="BC44" s="2254"/>
    </row>
    <row s="13364" customFormat="1" customHeight="1" ht="0">
      <c r="A45" s="1598"/>
      <c r="B45" s="1598"/>
      <c r="C45" s="1598"/>
      <c r="D45" s="1598"/>
      <c r="E45" s="1598"/>
      <c r="F45" s="1598"/>
      <c r="G45" s="1598"/>
      <c r="H45" s="1598"/>
      <c r="I45" s="1598"/>
      <c r="J45" s="1598"/>
      <c r="K45" s="1598"/>
      <c r="L45" s="1592"/>
      <c r="M45" s="1590"/>
      <c r="N45" s="1590"/>
      <c r="O45" s="1590"/>
      <c r="P45" s="733"/>
      <c r="Q45" s="1481"/>
      <c r="R45" s="1481">
        <v>1</v>
      </c>
      <c r="S45" s="1505" t="s">
        <v>108</v>
      </c>
      <c r="T45" s="1482" t="s">
        <v>109</v>
      </c>
      <c r="U45" s="1472" t="str">
        <f>OFFSET(U45,0,-1)</f>
        <v>2</v>
      </c>
      <c r="V45" s="1710">
        <f>OFFSET(V45,0,-1)+1</f>
        <v>3</v>
      </c>
      <c r="W45" s="1710">
        <f>OFFSET(W45,0,-1)+1</f>
        <v>4</v>
      </c>
      <c r="X45" s="1710">
        <f>OFFSET(X45,0,-1)+1</f>
        <v>5</v>
      </c>
      <c r="Y45" s="1710">
        <f>OFFSET(Y45,0,-1)+1</f>
        <v>6</v>
      </c>
      <c r="Z45" s="1710">
        <f>OFFSET(Z45,0,-1)+1</f>
        <v>7</v>
      </c>
      <c r="AA45" s="2405">
        <f>OFFSET(AA45,0,-1)+1</f>
        <v>8</v>
      </c>
      <c r="AB45" s="2405"/>
      <c r="AC45" s="1710">
        <f>OFFSET(AC45,0,-2)+1</f>
        <v>9</v>
      </c>
      <c r="AD45" s="1710">
        <f>OFFSET(AD45,0,-1)+1</f>
        <v>10</v>
      </c>
      <c r="AE45" s="1710"/>
      <c r="AF45" s="1710"/>
      <c r="AG45" s="1710"/>
      <c r="AH45" s="1710"/>
      <c r="AI45" s="1710"/>
      <c r="AJ45" s="1710"/>
      <c r="AK45" s="1710"/>
      <c r="AL45" s="1710"/>
      <c r="AM45" s="1710"/>
      <c r="AN45" s="1710"/>
      <c r="AO45" s="1710"/>
      <c r="AP45" s="1710"/>
      <c r="AQ45" s="1710"/>
      <c r="AR45" s="1710"/>
      <c r="AS45" s="1710"/>
      <c r="AT45" s="1710"/>
      <c r="AU45" s="1710"/>
      <c r="AV45" s="1710"/>
      <c r="AW45" s="1710">
        <f>OFFSET(AW45,0,-1)+1</f>
        <v>1</v>
      </c>
      <c r="AX45" s="1710">
        <f>OFFSET(AX45,0,-1)+1</f>
        <v>2</v>
      </c>
      <c r="AY45" s="2405">
        <f>OFFSET(AY45,0,-1)+1</f>
        <v>3</v>
      </c>
      <c r="AZ45" s="2405"/>
      <c r="BA45" s="1710">
        <f>OFFSET(BA45,0,-2)+1</f>
        <v>4</v>
      </c>
      <c r="BB45" s="1472">
        <f>OFFSET(BB45,0,-1)</f>
        <v>4</v>
      </c>
      <c r="BC45" s="1710">
        <f>OFFSET(BC45,0,-1)+1</f>
        <v>5</v>
      </c>
      <c r="BD45" s="734"/>
      <c r="BE45" s="734"/>
      <c r="BF45" s="734"/>
      <c r="BG45" s="734"/>
      <c r="BH45" s="734"/>
    </row>
    <row customHeight="1" ht="21">
      <c r="A46" s="1591" t="s">
        <v>262</v>
      </c>
      <c r="B46" s="1591"/>
      <c r="C46" s="1591"/>
      <c r="D46" s="1591"/>
      <c r="E46" s="2389">
        <v>1</v>
      </c>
      <c r="F46" s="1591"/>
      <c r="G46" s="1591"/>
      <c r="H46" s="1591"/>
      <c r="I46" s="1591"/>
      <c r="J46" s="1591"/>
      <c r="K46" s="1591"/>
      <c r="L46" s="1592"/>
      <c r="M46" s="1593"/>
      <c r="N46" s="1593"/>
      <c r="O46" s="1593"/>
      <c r="P46" s="1637"/>
      <c r="Q46" s="1096"/>
      <c r="R46" s="578"/>
      <c r="S46" s="1721">
        <f>INDEX(PT_DIFFERENTIATION_NUM_NTAR,MATCH(A46,PT_DIFFERENTIATION_NTAR_ID,0))</f>
        <v>0</v>
      </c>
      <c r="T46" s="521" t="s">
        <v>122</v>
      </c>
      <c r="U46" s="523"/>
      <c r="V46" s="2384"/>
      <c r="W46" s="2384"/>
      <c r="X46" s="2384"/>
      <c r="Y46" s="2384"/>
      <c r="Z46" s="2384"/>
      <c r="AA46" s="2384"/>
      <c r="AB46" s="2384"/>
      <c r="AC46" s="2385"/>
      <c r="AD46" s="2383" t="str">
        <f>INDEX(PT_DIFFERENTIATION_NTAR,MATCH(A46,PT_DIFFERENTIATION_NTAR_ID,0))</f>
        <v/>
      </c>
      <c r="AE46" s="2384"/>
      <c r="AF46" s="2384"/>
      <c r="AG46" s="2384"/>
      <c r="AH46" s="2384"/>
      <c r="AI46" s="2384"/>
      <c r="AJ46" s="2384"/>
      <c r="AK46" s="2384"/>
      <c r="AL46" s="2384"/>
      <c r="AM46" s="2384"/>
      <c r="AN46" s="2384"/>
      <c r="AO46" s="2384"/>
      <c r="AP46" s="2384"/>
      <c r="AQ46" s="2384"/>
      <c r="AR46" s="2384"/>
      <c r="AS46" s="2384"/>
      <c r="AT46" s="2384"/>
      <c r="AU46" s="2384"/>
      <c r="AV46" s="2384"/>
      <c r="AW46" s="2384"/>
      <c r="AX46" s="2384"/>
      <c r="AY46" s="2384"/>
      <c r="AZ46" s="2384"/>
      <c r="BA46" s="2384"/>
      <c r="BB46" s="2385"/>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91" t="s">
        <v>262</v>
      </c>
      <c r="B47" s="1591" t="s">
        <v>263</v>
      </c>
      <c r="C47" s="1591"/>
      <c r="D47" s="1591"/>
      <c r="E47" s="2390"/>
      <c r="F47" s="2389">
        <v>1</v>
      </c>
      <c r="G47" s="1591"/>
      <c r="H47" s="1591"/>
      <c r="I47" s="1591"/>
      <c r="J47" s="1591"/>
      <c r="K47" s="1591"/>
      <c r="L47" s="1592"/>
      <c r="M47" s="1593"/>
      <c r="N47" s="1593"/>
      <c r="O47" s="1593"/>
      <c r="P47" s="1638"/>
      <c r="Q47" s="1639"/>
      <c r="R47" s="576"/>
      <c r="S47" s="1721" t="str">
        <f>INDEX(PT_DIFFERENTIATION_NUM_TER,MATCH(B47,PT_DIFFERENTIATION_TER_ID,0))</f>
        <v>.</v>
      </c>
      <c r="T47" s="531" t="s">
        <v>398</v>
      </c>
      <c r="U47" s="523"/>
      <c r="V47" s="2384"/>
      <c r="W47" s="2384"/>
      <c r="X47" s="2384"/>
      <c r="Y47" s="2384"/>
      <c r="Z47" s="2384"/>
      <c r="AA47" s="2384"/>
      <c r="AB47" s="2384"/>
      <c r="AC47" s="2385"/>
      <c r="AD47" s="2383" t="str">
        <f>INDEX(PT_DIFFERENTIATION_TER,MATCH(B47,PT_DIFFERENTIATION_TER_ID,0))</f>
        <v/>
      </c>
      <c r="AE47" s="2384"/>
      <c r="AF47" s="2384"/>
      <c r="AG47" s="2384"/>
      <c r="AH47" s="2384"/>
      <c r="AI47" s="2384"/>
      <c r="AJ47" s="2384"/>
      <c r="AK47" s="2384"/>
      <c r="AL47" s="2384"/>
      <c r="AM47" s="2384"/>
      <c r="AN47" s="2384"/>
      <c r="AO47" s="2384"/>
      <c r="AP47" s="2384"/>
      <c r="AQ47" s="2384"/>
      <c r="AR47" s="2384"/>
      <c r="AS47" s="2384"/>
      <c r="AT47" s="2384"/>
      <c r="AU47" s="2384"/>
      <c r="AV47" s="2384"/>
      <c r="AW47" s="2384"/>
      <c r="AX47" s="2384"/>
      <c r="AY47" s="2384"/>
      <c r="AZ47" s="2384"/>
      <c r="BA47" s="2384"/>
      <c r="BB47" s="2385"/>
      <c r="BC47" s="1485" t="s">
        <v>399</v>
      </c>
      <c r="BE47" s="723"/>
      <c r="BF47" s="723" t="str">
        <f>IF(T47="","",T47)</f>
        <v>Территория действия тарифа</v>
      </c>
      <c r="BG47" s="723"/>
      <c r="BH47" s="723"/>
    </row>
    <row customHeight="1" ht="33.75">
      <c r="A48" s="1591" t="s">
        <v>262</v>
      </c>
      <c r="B48" s="1591" t="s">
        <v>263</v>
      </c>
      <c r="C48" s="1591" t="s">
        <v>264</v>
      </c>
      <c r="D48" s="1591"/>
      <c r="E48" s="2390"/>
      <c r="F48" s="2390"/>
      <c r="G48" s="2389">
        <v>1</v>
      </c>
      <c r="H48" s="1591"/>
      <c r="I48" s="1591"/>
      <c r="J48" s="1591"/>
      <c r="K48" s="1591"/>
      <c r="L48" s="1592"/>
      <c r="M48" s="1593"/>
      <c r="N48" s="1593"/>
      <c r="O48" s="1593"/>
      <c r="P48" s="1640"/>
      <c r="Q48" s="1639"/>
      <c r="R48" s="576"/>
      <c r="S48" s="1721" t="str">
        <f>INDEX(PT_DIFFERENTIATION_NUM_CS,MATCH(C48,PT_DIFFERENTIATION_CS_ID,0))</f>
        <v>..</v>
      </c>
      <c r="T48" s="532" t="s">
        <v>529</v>
      </c>
      <c r="U48" s="523"/>
      <c r="V48" s="2384"/>
      <c r="W48" s="2384"/>
      <c r="X48" s="2384"/>
      <c r="Y48" s="2384"/>
      <c r="Z48" s="2384"/>
      <c r="AA48" s="2384"/>
      <c r="AB48" s="2384"/>
      <c r="AC48" s="2385"/>
      <c r="AD48" s="2383" t="str">
        <f>INDEX(PT_DIFFERENTIATION_CS,MATCH(C48,PT_DIFFERENTIATION_CS_ID,0))</f>
        <v/>
      </c>
      <c r="AE48" s="2384"/>
      <c r="AF48" s="2384"/>
      <c r="AG48" s="2384"/>
      <c r="AH48" s="2384"/>
      <c r="AI48" s="2384"/>
      <c r="AJ48" s="2384"/>
      <c r="AK48" s="2384"/>
      <c r="AL48" s="2384"/>
      <c r="AM48" s="2384"/>
      <c r="AN48" s="2384"/>
      <c r="AO48" s="2384"/>
      <c r="AP48" s="2384"/>
      <c r="AQ48" s="2384"/>
      <c r="AR48" s="2384"/>
      <c r="AS48" s="2384"/>
      <c r="AT48" s="2384"/>
      <c r="AU48" s="2384"/>
      <c r="AV48" s="2384"/>
      <c r="AW48" s="2384"/>
      <c r="AX48" s="2384"/>
      <c r="AY48" s="2384"/>
      <c r="AZ48" s="2384"/>
      <c r="BA48" s="2384"/>
      <c r="BB48" s="2385"/>
      <c r="BC48" s="1485" t="s">
        <v>530</v>
      </c>
      <c r="BE48" s="723"/>
      <c r="BF48" s="723" t="str">
        <f>IF(T48="","",T48)</f>
        <v>Наименование централизованной системы горячего водоснабжения</v>
      </c>
      <c r="BG48" s="723"/>
      <c r="BH48" s="723"/>
    </row>
    <row s="13606" customFormat="1" customHeight="1" ht="0">
      <c r="A49" s="1571" t="s">
        <v>262</v>
      </c>
      <c r="B49" s="1571" t="s">
        <v>263</v>
      </c>
      <c r="C49" s="1571" t="s">
        <v>264</v>
      </c>
      <c r="D49" s="1571" t="s">
        <v>547</v>
      </c>
      <c r="E49" s="2390"/>
      <c r="F49" s="2390"/>
      <c r="G49" s="2390"/>
      <c r="H49" s="2389">
        <v>1</v>
      </c>
      <c r="I49" s="1571"/>
      <c r="J49" s="1571"/>
      <c r="K49" s="1571"/>
      <c r="L49" s="1574"/>
      <c r="M49" s="1543"/>
      <c r="N49" s="1543"/>
      <c r="O49" s="1543"/>
      <c r="P49" s="1725"/>
      <c r="Q49" s="1726"/>
      <c r="R49" s="580"/>
      <c r="S49" s="1266"/>
      <c r="T49" s="1727"/>
      <c r="U49" s="1612"/>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613" t="s">
        <v>403</v>
      </c>
      <c r="BE49" s="723"/>
      <c r="BF49" s="723" t="str">
        <f>IF(T49="","",T49)</f>
        <v/>
      </c>
      <c r="BG49" s="723"/>
      <c r="BH49" s="723"/>
    </row>
    <row s="13606" customFormat="1" customHeight="1" ht="0">
      <c r="A50" s="1571" t="s">
        <v>262</v>
      </c>
      <c r="B50" s="1571" t="s">
        <v>263</v>
      </c>
      <c r="C50" s="1571" t="s">
        <v>264</v>
      </c>
      <c r="D50" s="1571" t="s">
        <v>547</v>
      </c>
      <c r="E50" s="2390"/>
      <c r="F50" s="2390"/>
      <c r="G50" s="2390"/>
      <c r="H50" s="2390"/>
      <c r="I50" s="2391" t="str">
        <f>S49&amp;".1"</f>
        <v>.1</v>
      </c>
      <c r="J50" s="1571"/>
      <c r="K50" s="1571"/>
      <c r="L50" s="1574" t="s">
        <v>404</v>
      </c>
      <c r="M50" s="733"/>
      <c r="N50" s="733"/>
      <c r="O50" s="733"/>
      <c r="P50" s="2393">
        <v>1</v>
      </c>
      <c r="Q50" s="1709"/>
      <c r="R50" s="579"/>
      <c r="S50" s="1266"/>
      <c r="T50" s="1611"/>
      <c r="U50" s="1612"/>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613"/>
      <c r="BE50" s="723"/>
      <c r="BF50" s="723" t="str">
        <f>IF(T50="","",T50)</f>
        <v/>
      </c>
      <c r="BG50" s="723"/>
      <c r="BH50" s="723"/>
    </row>
    <row s="13606" customFormat="1" customHeight="1" ht="0">
      <c r="A51" s="1571" t="s">
        <v>262</v>
      </c>
      <c r="B51" s="1571" t="s">
        <v>263</v>
      </c>
      <c r="C51" s="1571" t="s">
        <v>264</v>
      </c>
      <c r="D51" s="1571" t="s">
        <v>547</v>
      </c>
      <c r="E51" s="2390"/>
      <c r="F51" s="2390"/>
      <c r="G51" s="2390"/>
      <c r="H51" s="2390"/>
      <c r="I51" s="2392"/>
      <c r="J51" s="2391" t="str">
        <f>S49&amp;".1"</f>
        <v>.1</v>
      </c>
      <c r="K51" s="1571"/>
      <c r="L51" s="1574"/>
      <c r="M51" s="733"/>
      <c r="N51" s="733"/>
      <c r="O51" s="733"/>
      <c r="P51" s="2393"/>
      <c r="Q51" s="2393">
        <v>1</v>
      </c>
      <c r="R51" s="580"/>
      <c r="S51" s="1266"/>
      <c r="T51" s="1627"/>
      <c r="U51" s="1612"/>
      <c r="V51" s="2432"/>
      <c r="W51" s="2432"/>
      <c r="X51" s="2432"/>
      <c r="Y51" s="2432"/>
      <c r="Z51" s="2432"/>
      <c r="AA51" s="2432"/>
      <c r="AB51" s="2432"/>
      <c r="AC51" s="2433"/>
      <c r="AD51" s="2431"/>
      <c r="AE51" s="2432"/>
      <c r="AF51" s="2432"/>
      <c r="AG51" s="2432"/>
      <c r="AH51" s="2432"/>
      <c r="AI51" s="2432"/>
      <c r="AJ51" s="2432"/>
      <c r="AK51" s="2432"/>
      <c r="AL51" s="2432"/>
      <c r="AM51" s="2432"/>
      <c r="AN51" s="2492"/>
      <c r="AO51" s="2492"/>
      <c r="AP51" s="2432"/>
      <c r="AQ51" s="2432"/>
      <c r="AR51" s="2432"/>
      <c r="AS51" s="2432"/>
      <c r="AT51" s="2432"/>
      <c r="AU51" s="2432"/>
      <c r="AV51" s="2432"/>
      <c r="AW51" s="2432"/>
      <c r="AX51" s="2432"/>
      <c r="AY51" s="2432"/>
      <c r="AZ51" s="2432"/>
      <c r="BA51" s="2432"/>
      <c r="BB51" s="2433"/>
      <c r="BC51" s="1613"/>
      <c r="BE51" s="723"/>
      <c r="BF51" s="723" t="str">
        <f>IF(T51="","",T51)</f>
        <v/>
      </c>
      <c r="BG51" s="723"/>
      <c r="BH51" s="723"/>
    </row>
    <row customHeight="1" ht="11.25">
      <c r="A52" s="1591" t="s">
        <v>262</v>
      </c>
      <c r="B52" s="1591" t="s">
        <v>263</v>
      </c>
      <c r="C52" s="1591" t="s">
        <v>264</v>
      </c>
      <c r="D52" s="1591" t="s">
        <v>547</v>
      </c>
      <c r="E52" s="2390"/>
      <c r="F52" s="2390"/>
      <c r="G52" s="2390"/>
      <c r="H52" s="2390"/>
      <c r="I52" s="2392"/>
      <c r="J52" s="2392"/>
      <c r="K52" s="2391" t="str">
        <f>S48&amp;".1"</f>
        <v>...1</v>
      </c>
      <c r="L52" s="1592"/>
      <c r="P52" s="2393"/>
      <c r="Q52" s="2393"/>
      <c r="R52" s="580">
        <v>1</v>
      </c>
      <c r="S52" s="2466" t="str">
        <f>$K52</f>
        <v>...1</v>
      </c>
      <c r="T52" s="2486"/>
      <c r="U52" s="523"/>
      <c r="V52" s="974"/>
      <c r="W52" s="1484"/>
      <c r="X52" s="974"/>
      <c r="Y52" s="1484"/>
      <c r="Z52" s="1962"/>
      <c r="AA52" s="1697" t="s">
        <v>66</v>
      </c>
      <c r="AB52" s="1962"/>
      <c r="AC52" s="1697" t="s">
        <v>66</v>
      </c>
      <c r="AD52" s="2327" t="s">
        <v>66</v>
      </c>
      <c r="AE52" s="2462"/>
      <c r="AF52" s="2340">
        <v>1</v>
      </c>
      <c r="AG52" s="2485"/>
      <c r="AH52" s="2264" t="s">
        <v>66</v>
      </c>
      <c r="AI52" s="2462"/>
      <c r="AJ52" s="2340">
        <v>1</v>
      </c>
      <c r="AK52" s="2484" t="s">
        <v>24</v>
      </c>
      <c r="AL52" s="2264" t="s">
        <v>66</v>
      </c>
      <c r="AM52" s="2312"/>
      <c r="AN52" s="2340">
        <v>1</v>
      </c>
      <c r="AO52" s="2489"/>
      <c r="AP52" s="2490" t="s">
        <v>66</v>
      </c>
      <c r="AQ52" s="534"/>
      <c r="AR52" s="1714">
        <v>1</v>
      </c>
      <c r="AS52" s="1720" t="s">
        <v>24</v>
      </c>
      <c r="AT52" s="974"/>
      <c r="AU52" s="1484"/>
      <c r="AV52" s="974"/>
      <c r="AW52" s="1484"/>
      <c r="AX52" s="1962"/>
      <c r="AY52" s="1697" t="s">
        <v>66</v>
      </c>
      <c r="AZ52" s="1962"/>
      <c r="BA52" s="1697" t="s">
        <v>66</v>
      </c>
      <c r="BB52" s="1576"/>
      <c r="BC52" s="2419" t="s">
        <v>500</v>
      </c>
      <c r="BE52" s="723"/>
      <c r="BF52" s="723" t="str">
        <f>IF(T52="","",T52)</f>
        <v/>
      </c>
      <c r="BG52" s="723"/>
      <c r="BH52" s="723"/>
    </row>
    <row customHeight="1" ht="11.25">
      <c r="A53" s="1591"/>
      <c r="B53" s="1591"/>
      <c r="C53" s="1591"/>
      <c r="D53" s="1591"/>
      <c r="E53" s="2390"/>
      <c r="F53" s="2390"/>
      <c r="G53" s="2390"/>
      <c r="H53" s="2390"/>
      <c r="I53" s="2392"/>
      <c r="J53" s="2392"/>
      <c r="K53" s="2391"/>
      <c r="L53" s="1592"/>
      <c r="P53" s="2393"/>
      <c r="Q53" s="2393"/>
      <c r="R53" s="580"/>
      <c r="S53" s="2467"/>
      <c r="T53" s="2487"/>
      <c r="U53" s="523"/>
      <c r="V53" s="1621"/>
      <c r="W53" s="1724"/>
      <c r="X53" s="1621"/>
      <c r="Y53" s="1724"/>
      <c r="Z53" s="1621"/>
      <c r="AA53" s="1621"/>
      <c r="AB53" s="1621"/>
      <c r="AC53" s="1621"/>
      <c r="AD53" s="2328"/>
      <c r="AE53" s="2462"/>
      <c r="AF53" s="2340"/>
      <c r="AG53" s="2485"/>
      <c r="AH53" s="2264"/>
      <c r="AI53" s="2462"/>
      <c r="AJ53" s="2340"/>
      <c r="AK53" s="2484"/>
      <c r="AL53" s="2264"/>
      <c r="AM53" s="2320"/>
      <c r="AN53" s="2340"/>
      <c r="AO53" s="2489"/>
      <c r="AP53" s="2491"/>
      <c r="AQ53" s="539"/>
      <c r="AR53" s="639"/>
      <c r="AS53" s="639" t="s">
        <v>501</v>
      </c>
      <c r="AT53" s="1621"/>
      <c r="AU53" s="1724"/>
      <c r="AV53" s="1621"/>
      <c r="AW53" s="1724"/>
      <c r="AX53" s="1621"/>
      <c r="AY53" s="1621"/>
      <c r="AZ53" s="1621"/>
      <c r="BA53" s="1621"/>
      <c r="BB53" s="1625"/>
      <c r="BC53" s="2420"/>
      <c r="BE53" s="723"/>
      <c r="BF53" s="723"/>
      <c r="BG53" s="723"/>
      <c r="BH53" s="723"/>
    </row>
    <row customHeight="1" ht="11.25">
      <c r="A54" s="1591" t="s">
        <v>262</v>
      </c>
      <c r="B54" s="1591"/>
      <c r="C54" s="1591"/>
      <c r="D54" s="1591"/>
      <c r="E54" s="2390"/>
      <c r="F54" s="2390"/>
      <c r="G54" s="2390"/>
      <c r="H54" s="2390"/>
      <c r="I54" s="2392"/>
      <c r="J54" s="2392"/>
      <c r="K54" s="2391"/>
      <c r="L54" s="1592"/>
      <c r="P54" s="2393"/>
      <c r="Q54" s="2393"/>
      <c r="R54" s="580"/>
      <c r="S54" s="2467"/>
      <c r="T54" s="2487"/>
      <c r="U54" s="523"/>
      <c r="V54" s="1621"/>
      <c r="W54" s="1724"/>
      <c r="X54" s="1621"/>
      <c r="Y54" s="1724"/>
      <c r="Z54" s="1621"/>
      <c r="AA54" s="1621"/>
      <c r="AB54" s="1621"/>
      <c r="AC54" s="1621"/>
      <c r="AD54" s="2328"/>
      <c r="AE54" s="2462"/>
      <c r="AF54" s="2340"/>
      <c r="AG54" s="2485"/>
      <c r="AH54" s="2264"/>
      <c r="AI54" s="2462"/>
      <c r="AJ54" s="2340"/>
      <c r="AK54" s="2484"/>
      <c r="AL54" s="2264"/>
      <c r="AM54" s="539"/>
      <c r="AN54" s="1728"/>
      <c r="AO54" s="1728" t="s">
        <v>502</v>
      </c>
      <c r="AP54" s="639"/>
      <c r="AQ54" s="639"/>
      <c r="AR54" s="639"/>
      <c r="AS54" s="1621"/>
      <c r="AT54" s="1621"/>
      <c r="AU54" s="1724"/>
      <c r="AV54" s="1621"/>
      <c r="AW54" s="1724"/>
      <c r="AX54" s="1621"/>
      <c r="AY54" s="1621"/>
      <c r="AZ54" s="1621"/>
      <c r="BA54" s="1621"/>
      <c r="BB54" s="1625"/>
      <c r="BC54" s="2420"/>
      <c r="BE54" s="723"/>
      <c r="BF54" s="723"/>
      <c r="BG54" s="723"/>
      <c r="BH54" s="723"/>
    </row>
    <row customHeight="1" ht="11.25">
      <c r="A55" s="1591" t="s">
        <v>262</v>
      </c>
      <c r="B55" s="1591"/>
      <c r="C55" s="1591"/>
      <c r="D55" s="1591"/>
      <c r="E55" s="2390"/>
      <c r="F55" s="2390"/>
      <c r="G55" s="2390"/>
      <c r="H55" s="2390"/>
      <c r="I55" s="2392"/>
      <c r="J55" s="2392"/>
      <c r="K55" s="2391"/>
      <c r="L55" s="1592"/>
      <c r="P55" s="2393"/>
      <c r="Q55" s="2393"/>
      <c r="R55" s="580"/>
      <c r="S55" s="2467"/>
      <c r="T55" s="2487"/>
      <c r="U55" s="523"/>
      <c r="V55" s="1621"/>
      <c r="W55" s="1724"/>
      <c r="X55" s="1621"/>
      <c r="Y55" s="1724"/>
      <c r="Z55" s="1621"/>
      <c r="AA55" s="1621"/>
      <c r="AB55" s="1621"/>
      <c r="AC55" s="1621"/>
      <c r="AD55" s="2328"/>
      <c r="AE55" s="2462"/>
      <c r="AF55" s="2340"/>
      <c r="AG55" s="2485"/>
      <c r="AH55" s="2264"/>
      <c r="AI55" s="517"/>
      <c r="AJ55" s="638"/>
      <c r="AK55" s="536" t="s">
        <v>503</v>
      </c>
      <c r="AL55" s="1621"/>
      <c r="AM55" s="1621"/>
      <c r="AN55" s="1621"/>
      <c r="AO55" s="1621"/>
      <c r="AP55" s="1621"/>
      <c r="AQ55" s="1621"/>
      <c r="AR55" s="1621"/>
      <c r="AS55" s="1621"/>
      <c r="AT55" s="1621"/>
      <c r="AU55" s="1724"/>
      <c r="AV55" s="1621"/>
      <c r="AW55" s="1724"/>
      <c r="AX55" s="1621"/>
      <c r="AY55" s="1621"/>
      <c r="AZ55" s="1621"/>
      <c r="BA55" s="1621"/>
      <c r="BB55" s="1625"/>
      <c r="BC55" s="2420"/>
      <c r="BE55" s="723"/>
      <c r="BF55" s="723"/>
      <c r="BG55" s="723"/>
      <c r="BH55" s="723"/>
    </row>
    <row customHeight="1" ht="11.25">
      <c r="A56" s="1591" t="s">
        <v>262</v>
      </c>
      <c r="B56" s="1591" t="s">
        <v>263</v>
      </c>
      <c r="C56" s="1591" t="s">
        <v>264</v>
      </c>
      <c r="D56" s="1591" t="s">
        <v>547</v>
      </c>
      <c r="E56" s="2390"/>
      <c r="F56" s="2390"/>
      <c r="G56" s="2390"/>
      <c r="H56" s="2390"/>
      <c r="I56" s="2392"/>
      <c r="J56" s="2392"/>
      <c r="K56" s="2391"/>
      <c r="L56" s="1592"/>
      <c r="P56" s="2393"/>
      <c r="Q56" s="2393"/>
      <c r="R56" s="580"/>
      <c r="S56" s="2468"/>
      <c r="T56" s="2488"/>
      <c r="U56" s="523"/>
      <c r="V56" s="1621"/>
      <c r="W56" s="1622" t="str">
        <f>Z52&amp;"-"&amp;AB52</f>
        <v>-</v>
      </c>
      <c r="X56" s="1621"/>
      <c r="Y56" s="1622" t="str">
        <f>AB52&amp;"-"&amp;AD52</f>
        <v>-да</v>
      </c>
      <c r="Z56" s="1621"/>
      <c r="AA56" s="1621"/>
      <c r="AB56" s="1621"/>
      <c r="AC56" s="1621"/>
      <c r="AD56" s="2269"/>
      <c r="AE56" s="535"/>
      <c r="AF56" s="537"/>
      <c r="AG56" s="639" t="s">
        <v>504</v>
      </c>
      <c r="AH56" s="1621"/>
      <c r="AI56" s="1621"/>
      <c r="AJ56" s="1621"/>
      <c r="AK56" s="1621"/>
      <c r="AL56" s="1621"/>
      <c r="AM56" s="1621"/>
      <c r="AN56" s="1621"/>
      <c r="AO56" s="1621"/>
      <c r="AP56" s="1621"/>
      <c r="AQ56" s="1621"/>
      <c r="AR56" s="1621"/>
      <c r="AS56" s="1621"/>
      <c r="AT56" s="1621"/>
      <c r="AU56" s="1622" t="str">
        <f>AX52&amp;"-"&amp;AZ52</f>
        <v>-</v>
      </c>
      <c r="AV56" s="1621"/>
      <c r="AW56" s="1622" t="str">
        <f>AZ52&amp;"-"&amp;BB52</f>
        <v>-</v>
      </c>
      <c r="AX56" s="1621"/>
      <c r="AY56" s="1621"/>
      <c r="AZ56" s="1621"/>
      <c r="BA56" s="1621"/>
      <c r="BB56" s="1624" t="str">
        <f>BE52&amp;"-"&amp;BG52</f>
        <v>-</v>
      </c>
      <c r="BC56" s="2420"/>
      <c r="BE56" s="723"/>
      <c r="BF56" s="723" t="str">
        <f>IF(T56="","",T56)</f>
        <v/>
      </c>
      <c r="BG56" s="723"/>
      <c r="BH56" s="723"/>
    </row>
    <row customHeight="1" ht="11.25">
      <c r="A57" s="1591" t="s">
        <v>262</v>
      </c>
      <c r="B57" s="1591" t="s">
        <v>263</v>
      </c>
      <c r="C57" s="1591" t="s">
        <v>264</v>
      </c>
      <c r="D57" s="1591" t="s">
        <v>547</v>
      </c>
      <c r="E57" s="2390"/>
      <c r="F57" s="2390"/>
      <c r="G57" s="2390"/>
      <c r="H57" s="2390"/>
      <c r="I57" s="2392"/>
      <c r="J57" s="2391"/>
      <c r="K57" s="1591"/>
      <c r="L57" s="1592"/>
      <c r="P57" s="2393"/>
      <c r="Q57" s="2393"/>
      <c r="R57" s="579"/>
      <c r="S57" s="1506"/>
      <c r="T57" s="510" t="s">
        <v>466</v>
      </c>
      <c r="U57" s="590"/>
      <c r="V57" s="590"/>
      <c r="W57" s="590"/>
      <c r="X57" s="590"/>
      <c r="Y57" s="590"/>
      <c r="Z57" s="590"/>
      <c r="AA57" s="590"/>
      <c r="AB57" s="590"/>
      <c r="AC57" s="547"/>
      <c r="AD57" s="1733"/>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1"/>
      <c r="BE57" s="723"/>
      <c r="BF57" s="723" t="str">
        <f>IF(T57="","",T57)</f>
        <v>Добавить строку</v>
      </c>
      <c r="BG57" s="723"/>
      <c r="BH57" s="723"/>
    </row>
    <row s="13606" customFormat="1" customHeight="1" ht="0">
      <c r="A58" s="1571" t="s">
        <v>262</v>
      </c>
      <c r="B58" s="1571" t="s">
        <v>263</v>
      </c>
      <c r="C58" s="1571" t="s">
        <v>264</v>
      </c>
      <c r="D58" s="1571" t="s">
        <v>547</v>
      </c>
      <c r="E58" s="2390"/>
      <c r="F58" s="2390"/>
      <c r="G58" s="2390"/>
      <c r="H58" s="2390"/>
      <c r="I58" s="2391"/>
      <c r="J58" s="1571"/>
      <c r="K58" s="1571"/>
      <c r="L58" s="1574"/>
      <c r="M58" s="733"/>
      <c r="N58" s="733"/>
      <c r="O58" s="733"/>
      <c r="P58" s="2393"/>
      <c r="Q58" s="1709"/>
      <c r="R58" s="579"/>
      <c r="S58" s="1614"/>
      <c r="T58" s="1615"/>
      <c r="U58" s="1616"/>
      <c r="V58" s="1616"/>
      <c r="W58" s="1616"/>
      <c r="X58" s="1616"/>
      <c r="Y58" s="1616"/>
      <c r="Z58" s="1616"/>
      <c r="AA58" s="1616"/>
      <c r="AB58" s="1616"/>
      <c r="AC58" s="1616"/>
      <c r="AD58" s="1616"/>
      <c r="AE58" s="1616"/>
      <c r="AF58" s="1616"/>
      <c r="AG58" s="1616"/>
      <c r="AH58" s="1616"/>
      <c r="AI58" s="1616"/>
      <c r="AJ58" s="1616"/>
      <c r="AK58" s="1616"/>
      <c r="AL58" s="1616"/>
      <c r="AM58" s="1616"/>
      <c r="AN58" s="1616"/>
      <c r="AO58" s="1616"/>
      <c r="AP58" s="1616"/>
      <c r="AQ58" s="1616"/>
      <c r="AR58" s="1616"/>
      <c r="AS58" s="1616"/>
      <c r="AT58" s="1616"/>
      <c r="AU58" s="1616"/>
      <c r="AV58" s="1616"/>
      <c r="AW58" s="1616"/>
      <c r="AX58" s="1616"/>
      <c r="AY58" s="1616"/>
      <c r="AZ58" s="1616"/>
      <c r="BA58" s="1616"/>
      <c r="BB58" s="1616"/>
      <c r="BC58" s="1617"/>
      <c r="BE58" s="723"/>
      <c r="BF58" s="723" t="str">
        <f>IF(T58="","",T58)</f>
        <v/>
      </c>
      <c r="BG58" s="723"/>
      <c r="BH58" s="723"/>
    </row>
    <row s="13606" customFormat="1" customHeight="1" ht="0">
      <c r="A59" s="1571" t="s">
        <v>262</v>
      </c>
      <c r="B59" s="1571" t="s">
        <v>263</v>
      </c>
      <c r="C59" s="1571" t="s">
        <v>264</v>
      </c>
      <c r="D59" s="1571" t="s">
        <v>547</v>
      </c>
      <c r="E59" s="2390"/>
      <c r="F59" s="2390"/>
      <c r="G59" s="2390"/>
      <c r="H59" s="2389"/>
      <c r="I59" s="1571"/>
      <c r="J59" s="1571"/>
      <c r="K59" s="1571"/>
      <c r="L59" s="1574"/>
      <c r="M59" s="1543"/>
      <c r="N59" s="1543"/>
      <c r="O59" s="741"/>
      <c r="P59" s="603"/>
      <c r="Q59" s="1572"/>
      <c r="R59" s="1629"/>
      <c r="S59" s="1614"/>
      <c r="T59" s="1615"/>
      <c r="U59" s="1616"/>
      <c r="V59" s="1616"/>
      <c r="W59" s="1616"/>
      <c r="X59" s="1616"/>
      <c r="Y59" s="1616"/>
      <c r="Z59" s="1616"/>
      <c r="AA59" s="1616"/>
      <c r="AB59" s="1616"/>
      <c r="AC59" s="1616"/>
      <c r="AD59" s="1616"/>
      <c r="AE59" s="1616"/>
      <c r="AF59" s="1616"/>
      <c r="AG59" s="1616"/>
      <c r="AH59" s="1616"/>
      <c r="AI59" s="1616"/>
      <c r="AJ59" s="1616"/>
      <c r="AK59" s="1616"/>
      <c r="AL59" s="1616"/>
      <c r="AM59" s="1616"/>
      <c r="AN59" s="1616"/>
      <c r="AO59" s="1616"/>
      <c r="AP59" s="1616"/>
      <c r="AQ59" s="1616"/>
      <c r="AR59" s="1616"/>
      <c r="AS59" s="1616"/>
      <c r="AT59" s="1616"/>
      <c r="AU59" s="1616"/>
      <c r="AV59" s="1616"/>
      <c r="AW59" s="1616"/>
      <c r="AX59" s="1616"/>
      <c r="AY59" s="1616"/>
      <c r="AZ59" s="1616"/>
      <c r="BA59" s="1616"/>
      <c r="BB59" s="1616"/>
      <c r="BC59" s="1617"/>
      <c r="BE59" s="723"/>
      <c r="BF59" s="723" t="str">
        <f>IF(T59="","",T59)</f>
        <v/>
      </c>
      <c r="BG59" s="723"/>
      <c r="BH59" s="723"/>
    </row>
    <row s="13514" customFormat="1" customHeight="1" ht="0">
      <c r="A60" s="1571" t="s">
        <v>262</v>
      </c>
      <c r="B60" s="1571" t="s">
        <v>263</v>
      </c>
      <c r="C60" s="1571" t="s">
        <v>264</v>
      </c>
      <c r="D60" s="1542"/>
      <c r="E60" s="2390"/>
      <c r="F60" s="2390"/>
      <c r="G60" s="2389"/>
      <c r="H60" s="1542"/>
      <c r="I60" s="1542"/>
      <c r="J60" s="1542"/>
      <c r="K60" s="1542"/>
      <c r="L60" s="1722"/>
      <c r="M60" s="1543"/>
      <c r="N60" s="1543"/>
      <c r="P60" s="1544"/>
      <c r="Q60" s="1545"/>
      <c r="R60" s="1544"/>
      <c r="S60" s="1550"/>
      <c r="T60" s="1553"/>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V60" s="1552"/>
      <c r="AW60" s="1552"/>
      <c r="AX60" s="1552"/>
      <c r="AY60" s="1552"/>
      <c r="AZ60" s="1552"/>
      <c r="BA60" s="1552"/>
      <c r="BB60" s="1552"/>
      <c r="BC60" s="1552"/>
      <c r="BE60" s="1012"/>
      <c r="BF60" s="1012" t="str">
        <f>IF(T60="","",T60)</f>
        <v/>
      </c>
      <c r="BG60" s="1012"/>
      <c r="BH60" s="1012"/>
    </row>
    <row s="13514" customFormat="1" customHeight="1" ht="0">
      <c r="A61" s="1571" t="s">
        <v>262</v>
      </c>
      <c r="B61" s="1571" t="s">
        <v>263</v>
      </c>
      <c r="C61" s="1542"/>
      <c r="D61" s="1542"/>
      <c r="E61" s="2390"/>
      <c r="F61" s="2389"/>
      <c r="G61" s="1542"/>
      <c r="H61" s="1542"/>
      <c r="I61" s="1542"/>
      <c r="J61" s="1542"/>
      <c r="K61" s="1542"/>
      <c r="L61" s="1722"/>
      <c r="M61" s="1549"/>
      <c r="N61" s="1549"/>
      <c r="P61" s="1544"/>
      <c r="Q61" s="1545"/>
      <c r="R61" s="1544"/>
      <c r="S61" s="1550"/>
      <c r="T61" s="1553" t="s">
        <v>252</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V61" s="1552"/>
      <c r="AW61" s="1552"/>
      <c r="AX61" s="1552"/>
      <c r="AY61" s="1552"/>
      <c r="AZ61" s="1552"/>
      <c r="BA61" s="1552"/>
      <c r="BB61" s="1552"/>
      <c r="BC61" s="1552"/>
      <c r="BE61" s="1012"/>
      <c r="BF61" s="1012" t="str">
        <f>IF(T61="","",T61)</f>
        <v>Добавить централизованную систему для дифференциации</v>
      </c>
      <c r="BG61" s="1012"/>
      <c r="BH61" s="1012"/>
    </row>
    <row s="13606" customFormat="1" customHeight="1" ht="0">
      <c r="A62" s="1571" t="s">
        <v>262</v>
      </c>
      <c r="B62" s="1571"/>
      <c r="C62" s="1571"/>
      <c r="D62" s="1571"/>
      <c r="E62" s="2389"/>
      <c r="F62" s="1571"/>
      <c r="G62" s="1571"/>
      <c r="H62" s="1571"/>
      <c r="I62" s="1571"/>
      <c r="J62" s="1571"/>
      <c r="K62" s="1571"/>
      <c r="L62" s="1574"/>
      <c r="M62" s="1549"/>
      <c r="N62" s="1549"/>
      <c r="O62" s="741"/>
      <c r="P62" s="603"/>
      <c r="Q62" s="1572"/>
      <c r="R62" s="603"/>
      <c r="S62" s="1550"/>
      <c r="T62" s="1553" t="s">
        <v>253</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V62" s="1552"/>
      <c r="AW62" s="1552"/>
      <c r="AX62" s="1552"/>
      <c r="AY62" s="1552"/>
      <c r="AZ62" s="1552"/>
      <c r="BA62" s="1552"/>
      <c r="BB62" s="1552"/>
      <c r="BC62" s="1552"/>
      <c r="BE62" s="723"/>
      <c r="BF62" s="723" t="str">
        <f>IF(T62="","",T62)</f>
        <v>Добавить территорию для дифференциации</v>
      </c>
      <c r="BG62" s="723"/>
      <c r="BH62" s="723"/>
    </row>
    <row s="13514" customFormat="1" customHeight="1" ht="0">
      <c r="A63" s="1542"/>
      <c r="B63" s="1542"/>
      <c r="C63" s="1542"/>
      <c r="D63" s="1542"/>
      <c r="E63" s="1571"/>
      <c r="F63" s="1542"/>
      <c r="G63" s="1542"/>
      <c r="H63" s="1542"/>
      <c r="I63" s="1542"/>
      <c r="J63" s="1542"/>
      <c r="K63" s="1542"/>
      <c r="L63" s="1722"/>
      <c r="M63" s="1549"/>
      <c r="N63" s="1549"/>
      <c r="P63" s="1544"/>
      <c r="Q63" s="1545"/>
      <c r="R63" s="1544"/>
      <c r="S63" s="1550"/>
      <c r="T63" s="1553" t="s">
        <v>254</v>
      </c>
      <c r="U63" s="1552"/>
      <c r="V63" s="1552"/>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R63" s="1552"/>
      <c r="AS63" s="1552"/>
      <c r="AT63" s="1552"/>
      <c r="AU63" s="1552"/>
      <c r="AV63" s="1552"/>
      <c r="AW63" s="1552"/>
      <c r="AX63" s="1552"/>
      <c r="AY63" s="1552"/>
      <c r="AZ63" s="1552"/>
      <c r="BA63" s="1552"/>
      <c r="BB63" s="1552"/>
      <c r="BC63" s="1552"/>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8.75">
      <c r="O65" s="760"/>
      <c r="S65" s="148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c r="AV65" s="2388"/>
      <c r="AW65" s="2388"/>
      <c r="AX65" s="2388"/>
      <c r="AY65" s="2388"/>
      <c r="AZ65" s="2388"/>
      <c r="BA65" s="2388"/>
      <c r="BB65" s="2388"/>
      <c r="BC65" s="2388"/>
    </row>
    <row customHeight="1" ht="14.25">
      <c r="O66" s="760"/>
      <c r="T66" s="1708"/>
      <c r="U66" s="1708"/>
      <c r="V66" s="1708"/>
      <c r="W66" s="1708"/>
      <c r="X66" s="1708"/>
      <c r="Y66" s="1708"/>
      <c r="Z66" s="1708"/>
      <c r="AA66" s="1708"/>
      <c r="AB66" s="1708"/>
      <c r="AC66" s="1708"/>
      <c r="AD66" s="1708"/>
      <c r="AE66" s="1708"/>
      <c r="AF66" s="1708"/>
      <c r="AG66" s="1708"/>
      <c r="AH66" s="1708"/>
      <c r="AI66" s="1708"/>
      <c r="AJ66" s="1708"/>
      <c r="AK66" s="1708"/>
      <c r="AL66" s="1708"/>
      <c r="AM66" s="1708"/>
      <c r="AN66" s="1708"/>
      <c r="AO66" s="1708"/>
      <c r="AP66" s="1708"/>
      <c r="AQ66" s="1708"/>
      <c r="AR66" s="1708"/>
      <c r="AS66" s="1708"/>
      <c r="AT66" s="1708"/>
      <c r="AU66" s="1708"/>
      <c r="AV66" s="1708"/>
      <c r="AW66" s="1708"/>
      <c r="AX66" s="1708"/>
      <c r="AY66" s="1708"/>
      <c r="AZ66" s="1708"/>
      <c r="BA66" s="1708"/>
      <c r="BB66" s="1708"/>
      <c r="BC66" s="1708"/>
    </row>
    <row customHeight="1" ht="18.75">
      <c r="O67" s="760"/>
      <c r="S67" s="148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c r="AV67" s="2388"/>
      <c r="AW67" s="2388"/>
      <c r="AX67" s="2388"/>
      <c r="AY67" s="2388"/>
      <c r="AZ67" s="2388"/>
      <c r="BA67" s="2388"/>
      <c r="BB67" s="2388"/>
      <c r="BC67" s="2388"/>
    </row>
    <row customHeight="1" ht="14.25">
      <c r="O68" s="7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3ABD7-8CEB-64F6-C5BA-CF0560BF48C1}"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6758" width="10.7109375" hidden="1" customWidth="1"/>
    <col min="2" max="2" style="13533" width="16.8515625" hidden="1" customWidth="1"/>
    <col min="3" max="3" style="13659" width="5.57421875" hidden="1" customWidth="1"/>
    <col min="4" max="4" style="16759" width="3.7109375" customWidth="1"/>
    <col min="5" max="5" style="13661" width="7.7109375" customWidth="1"/>
    <col min="6" max="6" style="13661" width="54.57421875" customWidth="1"/>
    <col min="7" max="7" style="13661" width="10.421875" customWidth="1"/>
    <col min="8" max="8" style="13661" width="40.7109375" hidden="1" customWidth="1"/>
    <col min="9" max="9" style="13661" width="40.7109375" customWidth="1"/>
    <col min="10" max="10" style="13661" width="102.8515625" customWidth="1"/>
    <col min="11" max="11" style="13533" width="9.7109375" customWidth="1"/>
    <col min="12" max="12" style="13659" width="5.28125" customWidth="1"/>
    <col min="13" max="13" style="13659" width="3.7109375" customWidth="1"/>
    <col min="14" max="17" style="13533" width="3.7109375" customWidth="1"/>
    <col min="18" max="18" style="13659" width="10.57421875" customWidth="1"/>
    <col min="19" max="19" style="13533" width="34.7109375" customWidth="1"/>
    <col min="20" max="20" style="13533" width="9.421875" customWidth="1"/>
    <col min="21" max="21" style="16760" width="9.140625"/>
    <col min="22" max="26" style="13533" width="9.140625"/>
    <col min="27" max="31" style="16662" width="9.140625"/>
  </cols>
  <sheetData>
    <row customHeight="1" ht="11.25" hidden="1"/>
    <row customHeight="1" ht="23.25" hidden="1">
      <c r="B2" s="2236"/>
      <c r="C2" s="1392" t="s">
        <v>548</v>
      </c>
      <c r="D2" s="1866"/>
      <c r="E2" s="769">
        <f>B2</f>
        <v>0</v>
      </c>
      <c r="F2" s="770"/>
      <c r="G2" s="1874" t="s">
        <v>549</v>
      </c>
      <c r="H2" s="1874" t="s">
        <v>549</v>
      </c>
      <c r="I2" s="1874" t="s">
        <v>549</v>
      </c>
      <c r="J2" s="512" t="s">
        <v>550</v>
      </c>
      <c r="K2" s="766"/>
    </row>
    <row s="13659" customFormat="1" customHeight="1" ht="0.75" hidden="1">
      <c r="B3" s="2236"/>
      <c r="C3" s="1392"/>
      <c r="D3" s="771"/>
      <c r="E3" s="772"/>
      <c r="F3" s="773" t="s">
        <v>551</v>
      </c>
      <c r="G3" s="774"/>
      <c r="H3" s="774">
        <f>H4*H5+H7</f>
        <v>0</v>
      </c>
      <c r="I3" s="774">
        <f>I4*I5+I6</f>
        <v>0</v>
      </c>
      <c r="J3" s="775"/>
    </row>
    <row customHeight="1" ht="23.25" hidden="1">
      <c r="B4" s="2236"/>
      <c r="C4" s="1392"/>
      <c r="D4" s="1866"/>
      <c r="E4" s="769" t="str">
        <f>B2&amp;".1"</f>
        <v>.1</v>
      </c>
      <c r="F4" s="776" t="s">
        <v>552</v>
      </c>
      <c r="G4" s="777"/>
      <c r="H4" s="764"/>
      <c r="I4" s="764"/>
      <c r="J4" s="512" t="s">
        <v>553</v>
      </c>
      <c r="K4" s="766"/>
    </row>
    <row customHeight="1" ht="18.75" hidden="1">
      <c r="B5" s="2236"/>
      <c r="C5" s="1392"/>
      <c r="D5" s="1866"/>
      <c r="E5" s="769" t="str">
        <f>B2&amp;".2"</f>
        <v>.2</v>
      </c>
      <c r="F5" s="776" t="s">
        <v>554</v>
      </c>
      <c r="G5" s="1874" t="s">
        <v>555</v>
      </c>
      <c r="H5" s="764"/>
      <c r="I5" s="764"/>
      <c r="J5" s="512"/>
      <c r="K5" s="766"/>
    </row>
    <row customHeight="1" ht="18.75" hidden="1">
      <c r="B6" s="2236"/>
      <c r="C6" s="1392"/>
      <c r="D6" s="1866"/>
      <c r="E6" s="769" t="str">
        <f>B2&amp;".3"</f>
        <v>.3</v>
      </c>
      <c r="F6" s="776" t="s">
        <v>556</v>
      </c>
      <c r="G6" s="1874" t="s">
        <v>555</v>
      </c>
      <c r="H6" s="764"/>
      <c r="I6" s="764"/>
      <c r="J6" s="512"/>
      <c r="K6" s="766"/>
    </row>
    <row customHeight="1" ht="18.75" hidden="1">
      <c r="B7" s="2236"/>
      <c r="C7" s="1392"/>
      <c r="D7" s="1866"/>
      <c r="E7" s="769" t="str">
        <f>B2&amp;".4"</f>
        <v>.4</v>
      </c>
      <c r="F7" s="776" t="s">
        <v>557</v>
      </c>
      <c r="G7" s="1874" t="s">
        <v>549</v>
      </c>
      <c r="H7" s="778"/>
      <c r="I7" s="778"/>
      <c r="J7" s="512"/>
      <c r="K7" s="766"/>
    </row>
    <row s="13533" customFormat="1" customHeight="1" ht="11.25" hidden="1">
      <c r="A8" s="1211"/>
      <c r="C8" s="1864"/>
      <c r="D8" s="760"/>
      <c r="H8" s="1385">
        <v>4</v>
      </c>
      <c r="I8" s="1385">
        <v>4</v>
      </c>
      <c r="L8" s="1864"/>
      <c r="M8" s="1864"/>
      <c r="R8" s="1864"/>
    </row>
    <row s="13533" customFormat="1" customHeight="1" ht="22.5" hidden="1">
      <c r="A9" s="1211"/>
      <c r="C9" s="1864"/>
      <c r="D9" s="761"/>
      <c r="E9" s="1876"/>
      <c r="F9" s="763"/>
      <c r="G9" s="1874" t="s">
        <v>555</v>
      </c>
      <c r="H9" s="764"/>
      <c r="I9" s="764"/>
      <c r="J9" s="765" t="s">
        <v>558</v>
      </c>
      <c r="K9" s="766"/>
      <c r="L9" s="1864"/>
      <c r="M9" s="1864"/>
      <c r="R9" s="1864"/>
      <c r="U9" s="767"/>
      <c r="AA9" s="1860"/>
      <c r="AB9" s="1860"/>
      <c r="AC9" s="1860"/>
      <c r="AD9" s="1860"/>
      <c r="AE9" s="1860"/>
    </row>
    <row customHeight="1" ht="11.25" hidden="1"/>
    <row customHeight="1" ht="18.75" hidden="1">
      <c r="D11" s="1866"/>
      <c r="E11" s="769"/>
      <c r="F11" s="763"/>
      <c r="G11" s="1874" t="s">
        <v>559</v>
      </c>
      <c r="H11" s="764"/>
      <c r="I11" s="764"/>
      <c r="J11" s="512" t="s">
        <v>560</v>
      </c>
      <c r="K11" s="766"/>
    </row>
    <row customHeight="1" ht="11.25" hidden="1"/>
    <row customHeight="1" ht="22.5" hidden="1">
      <c r="D13" s="1866"/>
      <c r="E13" s="769"/>
      <c r="F13" s="763"/>
      <c r="G13" s="1193" t="s">
        <v>561</v>
      </c>
      <c r="H13" s="768"/>
      <c r="I13" s="768"/>
      <c r="J13" s="968" t="s">
        <v>562</v>
      </c>
      <c r="K13" s="766"/>
    </row>
    <row customHeight="1" ht="11.25" hidden="1"/>
    <row customHeight="1" ht="22.5" hidden="1">
      <c r="D15" s="1866"/>
      <c r="E15" s="769"/>
      <c r="F15" s="763"/>
      <c r="G15" s="1874" t="s">
        <v>563</v>
      </c>
      <c r="H15" s="768"/>
      <c r="I15" s="768"/>
      <c r="J15" s="512" t="s">
        <v>564</v>
      </c>
      <c r="K15" s="766"/>
    </row>
    <row customHeight="1" ht="11.25" hidden="1"/>
    <row customHeight="1" ht="22.5" hidden="1">
      <c r="D17" s="1866"/>
      <c r="E17" s="769"/>
      <c r="F17" s="763"/>
      <c r="G17" s="1874" t="s">
        <v>565</v>
      </c>
      <c r="H17" s="768"/>
      <c r="I17" s="768"/>
      <c r="J17" s="512" t="s">
        <v>566</v>
      </c>
      <c r="K17" s="766"/>
    </row>
    <row customHeight="1" ht="11.25" hidden="1"/>
    <row s="16662" customFormat="1" customHeight="1" ht="11.25" hidden="1">
      <c r="A19" s="1211"/>
      <c r="B19" s="1385"/>
      <c r="C19" s="1864"/>
      <c r="D19" s="585"/>
      <c r="J19" s="1860">
        <v>4</v>
      </c>
      <c r="K19" s="1385"/>
      <c r="L19" s="1864"/>
      <c r="M19" s="1864"/>
      <c r="N19" s="1385"/>
      <c r="O19" s="1385"/>
      <c r="P19" s="1385"/>
      <c r="Q19" s="1385"/>
      <c r="R19" s="1864"/>
      <c r="S19" s="1385"/>
      <c r="T19" s="1385"/>
      <c r="U19" s="767"/>
      <c r="V19" s="1385"/>
      <c r="W19" s="1385"/>
      <c r="X19" s="1385"/>
      <c r="Y19" s="1385"/>
      <c r="Z19" s="1385"/>
    </row>
    <row r="21" customHeight="1" ht="24">
      <c r="E21" s="242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22"/>
      <c r="G21" s="2422"/>
      <c r="H21" s="2422"/>
      <c r="I21" s="2422"/>
      <c r="J21" s="779"/>
    </row>
    <row customHeight="1" ht="24">
      <c r="E22" s="2423" t="str">
        <f>IF(org=0,"Не определено",org)</f>
        <v>ООО "Новая Энергетика"</v>
      </c>
      <c r="F22" s="2423"/>
      <c r="G22" s="2423"/>
      <c r="H22" s="2423"/>
      <c r="I22" s="2423"/>
    </row>
    <row customHeight="1" ht="11.25">
      <c r="E23" s="1360"/>
      <c r="F23" s="1360"/>
      <c r="G23" s="1360"/>
      <c r="H23" s="1360"/>
      <c r="I23" s="1360"/>
    </row>
    <row s="13659" customFormat="1" customHeight="1" ht="0.75">
      <c r="A24" s="1392"/>
      <c r="D24" s="1870"/>
      <c r="H24" s="1112"/>
      <c r="I24" s="1112" t="s">
        <v>116</v>
      </c>
    </row>
    <row customHeight="1" ht="11.25">
      <c r="E25" s="934"/>
      <c r="F25" s="2498" t="s">
        <v>104</v>
      </c>
      <c r="G25" s="2499"/>
      <c r="H25" s="1880" t="str">
        <f>IF(H24="","",INDEX(DIFFERENTIATION_UNMERGE_VD,MATCH(H24,DIFFERENTIATION_ID_DIFF,0)))</f>
        <v/>
      </c>
      <c r="I25" s="1880">
        <f>IF(I24="","",INDEX(DIFFERENTIATION_UNMERGE_VD,MATCH(I24,DIFFERENTIATION_ID_DIFF,0)))</f>
        <v>0</v>
      </c>
      <c r="J25" s="2254"/>
    </row>
    <row customHeight="1" ht="11.25">
      <c r="E26" s="934"/>
      <c r="F26" s="2498" t="s">
        <v>567</v>
      </c>
      <c r="G26" s="2499"/>
      <c r="H26" s="1880" t="str">
        <f>IF(H24="","",INDEX(DIFFERENTIATION_UNMERGE_AREA,MATCH(H24,DIFFERENTIATION_ID_DIFF,0)))</f>
        <v/>
      </c>
      <c r="I26" s="1880" t="str">
        <f>IF(I24="","",INDEX(DIFFERENTIATION_UNMERGE_AREA,MATCH(I24,DIFFERENTIATION_ID_DIFF,0)))</f>
        <v/>
      </c>
      <c r="J26" s="2254"/>
    </row>
    <row customHeight="1" ht="11.25">
      <c r="E27" s="934"/>
      <c r="F27" s="2498" t="s">
        <v>568</v>
      </c>
      <c r="G27" s="2499"/>
      <c r="H27" s="1880" t="str">
        <f>IF(H24="","",INDEX(DIFFERENTIATION_UNMERGE_SYSTEM,MATCH(H24,DIFFERENTIATION_ID_DIFF,0)))</f>
        <v/>
      </c>
      <c r="I27" s="1880" t="str">
        <f>IF(I24="","",INDEX(DIFFERENTIATION_UNMERGE_SYSTEM,MATCH(I24,DIFFERENTIATION_ID_DIFF,0)))</f>
        <v>без дифференциации</v>
      </c>
      <c r="J27" s="2254"/>
    </row>
    <row customHeight="1" ht="11.25">
      <c r="E28" s="2500" t="s">
        <v>301</v>
      </c>
      <c r="F28" s="2501"/>
      <c r="G28" s="2501"/>
      <c r="H28" s="1873"/>
      <c r="I28" s="1873"/>
      <c r="J28" s="2254"/>
    </row>
    <row customHeight="1" ht="22.5">
      <c r="E29" s="1874" t="s">
        <v>87</v>
      </c>
      <c r="F29" s="1881" t="s">
        <v>303</v>
      </c>
      <c r="G29" s="1881" t="s">
        <v>569</v>
      </c>
      <c r="H29" s="1881" t="s">
        <v>304</v>
      </c>
      <c r="I29" s="1881" t="s">
        <v>304</v>
      </c>
      <c r="J29" s="2254"/>
    </row>
    <row customHeight="1" ht="18.75">
      <c r="D30" s="1866"/>
      <c r="E30" s="769">
        <f>FHD_NUM_P_1</f>
        <v>1</v>
      </c>
      <c r="F30" s="2109" t="str">
        <f>FHD_P_1</f>
        <v>Выручка от регулируемых видов деятельности в сфере горячего водоснабжения</v>
      </c>
      <c r="G30" s="2107" t="s">
        <v>555</v>
      </c>
      <c r="H30" s="780"/>
      <c r="I30" s="780"/>
      <c r="J30" s="512" t="str">
        <f>FHD_NOTE_P_1</f>
        <v>Указывается выручка с распределением по видам деятельности.</v>
      </c>
      <c r="K30" s="766"/>
    </row>
    <row customHeight="1" ht="11.25">
      <c r="D31" s="1866"/>
      <c r="E31" s="769">
        <f>FHD_NUM_P_2</f>
        <v>2</v>
      </c>
      <c r="F31" s="2109" t="str">
        <f>FHD_P_2</f>
        <v>Себестоимость производимых товаров (оказываемых услуг) по регулируемым видам деятельности в сфере горячего водоснабжения, включая:</v>
      </c>
      <c r="G31" s="2107" t="s">
        <v>555</v>
      </c>
      <c r="H31" s="781">
        <f>SUMIF($K33:$K71,$K31,H33:H71)</f>
        <v>0</v>
      </c>
      <c r="I31" s="781">
        <f>SUMIF($K33:$K71,$K31,I33:I71)</f>
        <v>0</v>
      </c>
      <c r="J31" s="512" t="str">
        <f>FHD_NOTE_P_2</f>
        <v>Указывается суммарная себестоимость производимых товаров.</v>
      </c>
      <c r="K31" s="1864" t="s">
        <v>570</v>
      </c>
    </row>
    <row customHeight="1" ht="11.25">
      <c r="D32" s="1866"/>
      <c r="E32" s="769" t="str">
        <f>FHD_NUM_P_3</f>
        <v>2.1</v>
      </c>
      <c r="F32" s="1752" t="str">
        <f>FHD_P_3</f>
        <v>Расходы на приобретаемую тепловую энергию (мощность), используемую для горячего водоснабжения</v>
      </c>
      <c r="G32" s="2107" t="s">
        <v>555</v>
      </c>
      <c r="H32" s="780"/>
      <c r="I32" s="780"/>
      <c r="J32" s="512" t="str">
        <f>FHD_NOTE_P_3</f>
        <v/>
      </c>
      <c r="K32" s="1864" t="str">
        <f>IF((LEN(E32)-LEN(SUBSTITUTE(E32,".","")))/LEN(".")=1,"p","")</f>
        <v>p</v>
      </c>
    </row>
    <row customHeight="1" ht="11.25" hidden="1">
      <c r="A33" s="2495" t="s">
        <v>571</v>
      </c>
      <c r="D33" s="1866"/>
      <c r="E33" s="769" t="str">
        <f>FHD_NUM_P_4</f>
        <v/>
      </c>
      <c r="F33" s="1752" t="str">
        <f>FHD_P_4</f>
        <v/>
      </c>
      <c r="G33" s="2107" t="s">
        <v>555</v>
      </c>
      <c r="H33" s="781">
        <f>SUMIF($F34:$F40,$F3,H34:H40)</f>
        <v>0</v>
      </c>
      <c r="I33" s="781">
        <f>SUMIF($F34:$F40,$F3,I34:I40)</f>
        <v>0</v>
      </c>
      <c r="J33" s="512" t="str">
        <f>FHD_NOTE_P_4</f>
        <v/>
      </c>
      <c r="K33" s="1864" t="str">
        <f>IF((LEN(E33)-LEN(SUBSTITUTE(E33,".","")))/LEN(".")=1,"p","")</f>
        <v/>
      </c>
    </row>
    <row s="13656" customFormat="1" customHeight="1" ht="0.75" hidden="1">
      <c r="A34" s="2495"/>
      <c r="B34" s="2496" t="str">
        <f>E33&amp;".0"</f>
        <v>.0</v>
      </c>
      <c r="C34" s="1392"/>
      <c r="D34" s="783"/>
      <c r="E34" s="784"/>
      <c r="F34" s="785"/>
      <c r="G34" s="786"/>
      <c r="H34" s="720"/>
      <c r="I34" s="720"/>
      <c r="J34" s="787"/>
      <c r="K34" s="1864" t="str">
        <f>IF((LEN(E34)-LEN(SUBSTITUTE(E34,".","")))/LEN(".")=1,"p","")</f>
        <v/>
      </c>
      <c r="L34" s="1864"/>
      <c r="M34" s="1864"/>
      <c r="N34" s="1864"/>
      <c r="O34" s="1864"/>
      <c r="P34" s="1864"/>
      <c r="Q34" s="1864"/>
      <c r="R34" s="1864"/>
      <c r="S34" s="1864"/>
      <c r="T34" s="1864"/>
      <c r="U34" s="788"/>
      <c r="V34" s="1864"/>
      <c r="W34" s="1864"/>
      <c r="X34" s="1864"/>
      <c r="Y34" s="1864"/>
      <c r="Z34" s="1864"/>
      <c r="AA34" s="789"/>
      <c r="AB34" s="789"/>
      <c r="AC34" s="789"/>
      <c r="AD34" s="789"/>
      <c r="AE34" s="789"/>
    </row>
    <row s="13656" customFormat="1" customHeight="1" ht="0.75" hidden="1">
      <c r="A35" s="2495"/>
      <c r="B35" s="2496"/>
      <c r="C35" s="1392"/>
      <c r="D35" s="783"/>
      <c r="E35" s="790"/>
      <c r="F35" s="791"/>
      <c r="G35" s="786"/>
      <c r="H35" s="792"/>
      <c r="I35" s="792"/>
      <c r="J35" s="787"/>
      <c r="K35" s="1864" t="str">
        <f>IF((LEN(E35)-LEN(SUBSTITUTE(E35,".","")))/LEN(".")=1,"p","")</f>
        <v/>
      </c>
      <c r="L35" s="1864"/>
      <c r="M35" s="1864"/>
      <c r="N35" s="1864"/>
      <c r="O35" s="1864"/>
      <c r="P35" s="1864"/>
      <c r="Q35" s="1864"/>
      <c r="R35" s="1864"/>
      <c r="S35" s="1864"/>
      <c r="T35" s="1864"/>
      <c r="U35" s="788"/>
      <c r="V35" s="1864"/>
      <c r="W35" s="1864"/>
      <c r="X35" s="1864"/>
      <c r="Y35" s="1864"/>
      <c r="Z35" s="1864"/>
      <c r="AA35" s="789"/>
      <c r="AB35" s="789"/>
      <c r="AC35" s="789"/>
      <c r="AD35" s="789"/>
      <c r="AE35" s="789"/>
    </row>
    <row s="13656" customFormat="1" customHeight="1" ht="0.75" hidden="1">
      <c r="A36" s="2495"/>
      <c r="B36" s="2496"/>
      <c r="C36" s="1392"/>
      <c r="D36" s="783"/>
      <c r="E36" s="790"/>
      <c r="F36" s="791"/>
      <c r="G36" s="786"/>
      <c r="H36" s="792"/>
      <c r="I36" s="792"/>
      <c r="J36" s="787"/>
      <c r="K36" s="1864" t="str">
        <f>IF((LEN(E36)-LEN(SUBSTITUTE(E36,".","")))/LEN(".")=1,"p","")</f>
        <v/>
      </c>
      <c r="L36" s="1864"/>
      <c r="M36" s="1864"/>
      <c r="N36" s="1864"/>
      <c r="O36" s="1864"/>
      <c r="P36" s="1864"/>
      <c r="Q36" s="1864"/>
      <c r="R36" s="1864"/>
      <c r="S36" s="1864"/>
      <c r="T36" s="1864"/>
      <c r="U36" s="788"/>
      <c r="V36" s="1864"/>
      <c r="W36" s="1864"/>
      <c r="X36" s="1864"/>
      <c r="Y36" s="1864"/>
      <c r="Z36" s="1864"/>
      <c r="AA36" s="789"/>
      <c r="AB36" s="789"/>
      <c r="AC36" s="789"/>
      <c r="AD36" s="789"/>
      <c r="AE36" s="789"/>
    </row>
    <row s="13656" customFormat="1" customHeight="1" ht="0.75" hidden="1">
      <c r="A37" s="2495"/>
      <c r="B37" s="2496"/>
      <c r="C37" s="1392"/>
      <c r="D37" s="783"/>
      <c r="E37" s="790"/>
      <c r="F37" s="791"/>
      <c r="G37" s="786"/>
      <c r="H37" s="792"/>
      <c r="I37" s="792"/>
      <c r="J37" s="787"/>
      <c r="K37" s="1864" t="str">
        <f>IF((LEN(E37)-LEN(SUBSTITUTE(E37,".","")))/LEN(".")=1,"p","")</f>
        <v/>
      </c>
      <c r="L37" s="1864"/>
      <c r="M37" s="1864"/>
      <c r="N37" s="1864"/>
      <c r="O37" s="1864"/>
      <c r="P37" s="1864"/>
      <c r="Q37" s="1864"/>
      <c r="R37" s="1864"/>
      <c r="S37" s="1864"/>
      <c r="T37" s="1864"/>
      <c r="U37" s="788"/>
      <c r="V37" s="1864"/>
      <c r="W37" s="1864"/>
      <c r="X37" s="1864"/>
      <c r="Y37" s="1864"/>
      <c r="Z37" s="1864"/>
      <c r="AA37" s="789"/>
      <c r="AB37" s="789"/>
      <c r="AC37" s="789"/>
      <c r="AD37" s="789"/>
      <c r="AE37" s="789"/>
    </row>
    <row s="13656" customFormat="1" customHeight="1" ht="0.75" hidden="1">
      <c r="A38" s="2495"/>
      <c r="B38" s="2496"/>
      <c r="C38" s="1392"/>
      <c r="D38" s="783"/>
      <c r="E38" s="790"/>
      <c r="F38" s="791"/>
      <c r="G38" s="786"/>
      <c r="H38" s="792"/>
      <c r="I38" s="792"/>
      <c r="J38" s="787"/>
      <c r="K38" s="1864" t="str">
        <f>IF((LEN(E38)-LEN(SUBSTITUTE(E38,".","")))/LEN(".")=1,"p","")</f>
        <v/>
      </c>
      <c r="L38" s="1864"/>
      <c r="M38" s="1864"/>
      <c r="N38" s="1864"/>
      <c r="O38" s="1864"/>
      <c r="P38" s="1864"/>
      <c r="Q38" s="1864"/>
      <c r="R38" s="1864"/>
      <c r="S38" s="1864"/>
      <c r="T38" s="1864"/>
      <c r="U38" s="788"/>
      <c r="V38" s="1864"/>
      <c r="W38" s="1864"/>
      <c r="X38" s="1864"/>
      <c r="Y38" s="1864"/>
      <c r="Z38" s="1864"/>
      <c r="AA38" s="789"/>
      <c r="AB38" s="789"/>
      <c r="AC38" s="789"/>
      <c r="AD38" s="789"/>
      <c r="AE38" s="789"/>
    </row>
    <row s="13656" customFormat="1" customHeight="1" ht="0.75" hidden="1">
      <c r="A39" s="2495"/>
      <c r="B39" s="2496"/>
      <c r="C39" s="1392"/>
      <c r="D39" s="783"/>
      <c r="E39" s="790"/>
      <c r="F39" s="791"/>
      <c r="G39" s="786"/>
      <c r="H39" s="720"/>
      <c r="I39" s="720"/>
      <c r="J39" s="787"/>
      <c r="K39" s="1864" t="str">
        <f>IF((LEN(E39)-LEN(SUBSTITUTE(E39,".","")))/LEN(".")=1,"p","")</f>
        <v/>
      </c>
      <c r="L39" s="1864"/>
      <c r="M39" s="1864"/>
      <c r="N39" s="1864"/>
      <c r="O39" s="1864"/>
      <c r="P39" s="1864"/>
      <c r="Q39" s="1864"/>
      <c r="R39" s="1864"/>
      <c r="S39" s="1864"/>
      <c r="T39" s="1864"/>
      <c r="U39" s="788"/>
      <c r="V39" s="1864"/>
      <c r="W39" s="1864"/>
      <c r="X39" s="1864"/>
      <c r="Y39" s="1864"/>
      <c r="Z39" s="1864"/>
      <c r="AA39" s="789"/>
      <c r="AB39" s="789"/>
      <c r="AC39" s="789"/>
      <c r="AD39" s="789"/>
      <c r="AE39" s="789"/>
    </row>
    <row s="13533" customFormat="1" customHeight="1" ht="15" hidden="1">
      <c r="A40" s="2495"/>
      <c r="C40" s="1864"/>
      <c r="D40" s="1861"/>
      <c r="E40" s="793"/>
      <c r="F40" s="794" t="s">
        <v>572</v>
      </c>
      <c r="G40" s="795"/>
      <c r="H40" s="796"/>
      <c r="I40" s="796"/>
      <c r="J40" s="524"/>
      <c r="K40" s="1864" t="str">
        <f>IF((LEN(E40)-LEN(SUBSTITUTE(E40,".","")))/LEN(".")=1,"p","")</f>
        <v/>
      </c>
      <c r="L40" s="1864"/>
      <c r="M40" s="1864"/>
      <c r="R40" s="1864"/>
      <c r="U40" s="767"/>
      <c r="AA40" s="1860"/>
      <c r="AB40" s="1860"/>
      <c r="AC40" s="1860"/>
      <c r="AD40" s="1860"/>
      <c r="AE40" s="1860"/>
    </row>
    <row customHeight="1" ht="11.25">
      <c r="A41" s="2495" t="s">
        <v>573</v>
      </c>
      <c r="D41" s="1866"/>
      <c r="E41" s="769" t="str">
        <f>FHD_NUM_P_5</f>
        <v>2.2</v>
      </c>
      <c r="F41" s="1752" t="str">
        <f>FHD_P_5</f>
        <v>Расходы на тепловую энергию, производимую с применением собственных источников и используемую для горячего водоснабжения</v>
      </c>
      <c r="G41" s="2107" t="s">
        <v>555</v>
      </c>
      <c r="H41" s="780"/>
      <c r="I41" s="780"/>
      <c r="J41" s="512" t="str">
        <f>FHD_NOTE_P_5</f>
        <v/>
      </c>
      <c r="K41" s="1864" t="str">
        <f>IF((LEN(E41)-LEN(SUBSTITUTE(E41,".","")))/LEN(".")=1,"p","")</f>
        <v>p</v>
      </c>
    </row>
    <row customHeight="1" ht="11.25">
      <c r="A42" s="2495"/>
      <c r="D42" s="1866"/>
      <c r="E42" s="769" t="str">
        <f>FHD_NUM_P_6</f>
        <v>2.3</v>
      </c>
      <c r="F42" s="1752" t="str">
        <f>FHD_P_6</f>
        <v>Расходы на приобретаемую холодную воду, используемую для горячего водоснабжения</v>
      </c>
      <c r="G42" s="2107" t="s">
        <v>555</v>
      </c>
      <c r="H42" s="780"/>
      <c r="I42" s="780"/>
      <c r="J42" s="512" t="str">
        <f>FHD_NOTE_P_6</f>
        <v/>
      </c>
      <c r="K42" s="1864" t="str">
        <f>IF((LEN(E42)-LEN(SUBSTITUTE(E42,".","")))/LEN(".")=1,"p","")</f>
        <v>p</v>
      </c>
    </row>
    <row customHeight="1" ht="11.25">
      <c r="A43" s="2495"/>
      <c r="D43" s="1866"/>
      <c r="E43" s="769" t="str">
        <f>FHD_NUM_P_7</f>
        <v>2.4</v>
      </c>
      <c r="F43" s="17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07" t="s">
        <v>555</v>
      </c>
      <c r="H43" s="780"/>
      <c r="I43" s="780"/>
      <c r="J43" s="512" t="str">
        <f>FHD_NOTE_P_7</f>
        <v/>
      </c>
      <c r="K43" s="1864" t="str">
        <f>IF((LEN(E43)-LEN(SUBSTITUTE(E43,".","")))/LEN(".")=1,"p","")</f>
        <v>p</v>
      </c>
    </row>
    <row customHeight="1" ht="11.25">
      <c r="D44" s="1866"/>
      <c r="E44" s="769" t="str">
        <f>FHD_NUM_P_8</f>
        <v>2.5</v>
      </c>
      <c r="F44" s="1752" t="str">
        <f>FHD_P_8</f>
        <v>Расходы на приобретаемую электрическую энергию (мощность), используемую в технологическом процессе</v>
      </c>
      <c r="G44" s="2107" t="s">
        <v>555</v>
      </c>
      <c r="H44" s="780"/>
      <c r="I44" s="780"/>
      <c r="J44" s="512" t="str">
        <f>FHD_NOTE_P_8</f>
        <v/>
      </c>
      <c r="K44" s="1864" t="str">
        <f>IF((LEN(E44)-LEN(SUBSTITUTE(E44,".","")))/LEN(".")=1,"p","")</f>
        <v>p</v>
      </c>
    </row>
    <row customHeight="1" ht="11.25">
      <c r="D45" s="1866"/>
      <c r="E45" s="769" t="str">
        <f>FHD_NUM_P_9</f>
        <v>2.5.1</v>
      </c>
      <c r="F45" s="1878" t="str">
        <f>FHD_P_9</f>
        <v>Средневзвешенная стоимость 1 кВт.ч (с учетом мощности)</v>
      </c>
      <c r="G45" s="2107" t="s">
        <v>574</v>
      </c>
      <c r="H45" s="780"/>
      <c r="I45" s="780"/>
      <c r="J45" s="512" t="str">
        <f>FHD_NOTE_P_9</f>
        <v/>
      </c>
      <c r="K45" s="1864" t="str">
        <f>IF((LEN(E45)-LEN(SUBSTITUTE(E45,".","")))/LEN(".")=1,"p","")</f>
        <v/>
      </c>
    </row>
    <row s="13533" customFormat="1" customHeight="1" ht="11.25">
      <c r="A46" s="1211"/>
      <c r="C46" s="1864"/>
      <c r="D46" s="797"/>
      <c r="E46" s="769" t="str">
        <f>FHD_NUM_P_10</f>
        <v>2.5.2</v>
      </c>
      <c r="F46" s="1878" t="str">
        <f>FHD_P_10</f>
        <v>Объём приобретения электрической энергии</v>
      </c>
      <c r="G46" s="2107" t="s">
        <v>575</v>
      </c>
      <c r="H46" s="780"/>
      <c r="I46" s="780"/>
      <c r="J46" s="512" t="str">
        <f>FHD_NOTE_P_10</f>
        <v/>
      </c>
      <c r="K46" s="1864" t="str">
        <f>IF((LEN(E46)-LEN(SUBSTITUTE(E46,".","")))/LEN(".")=1,"p","")</f>
        <v/>
      </c>
      <c r="L46" s="1864"/>
      <c r="M46" s="1864"/>
      <c r="R46" s="1864"/>
      <c r="U46" s="767"/>
      <c r="AA46" s="1860"/>
      <c r="AB46" s="1860"/>
      <c r="AC46" s="1860"/>
      <c r="AD46" s="1860"/>
      <c r="AE46" s="1860"/>
    </row>
    <row s="13533" customFormat="1" customHeight="1" ht="11.25" hidden="1">
      <c r="A47" s="1213" t="s">
        <v>576</v>
      </c>
      <c r="C47" s="1864"/>
      <c r="D47" s="798"/>
      <c r="E47" s="769" t="str">
        <f>FHD_NUM_P_11</f>
        <v/>
      </c>
      <c r="F47" s="1752" t="str">
        <f>FHD_P_11</f>
        <v/>
      </c>
      <c r="G47" s="2107" t="s">
        <v>555</v>
      </c>
      <c r="H47" s="780"/>
      <c r="I47" s="780"/>
      <c r="J47" s="512" t="str">
        <f>FHD_NOTE_P_11</f>
        <v/>
      </c>
      <c r="K47" s="1864" t="str">
        <f>IF((LEN(E47)-LEN(SUBSTITUTE(E47,".","")))/LEN(".")=1,"p","")</f>
        <v/>
      </c>
      <c r="L47" s="1864"/>
      <c r="M47" s="1864"/>
      <c r="R47" s="1864"/>
      <c r="U47" s="767"/>
      <c r="AA47" s="1860"/>
      <c r="AB47" s="1860"/>
      <c r="AC47" s="1860"/>
      <c r="AD47" s="1860"/>
      <c r="AE47" s="1860"/>
    </row>
    <row s="13533" customFormat="1" customHeight="1" ht="18" hidden="1">
      <c r="A48" s="1213" t="s">
        <v>577</v>
      </c>
      <c r="C48" s="1864"/>
      <c r="D48" s="1866"/>
      <c r="E48" s="769" t="str">
        <f>FHD_NUM_P_12</f>
        <v/>
      </c>
      <c r="F48" s="1752" t="str">
        <f>FHD_P_12</f>
        <v/>
      </c>
      <c r="G48" s="2107" t="s">
        <v>555</v>
      </c>
      <c r="H48" s="800"/>
      <c r="I48" s="800"/>
      <c r="J48" s="512" t="str">
        <f>FHD_NOTE_P_12</f>
        <v/>
      </c>
      <c r="K48" s="1864" t="str">
        <f>IF((LEN(E48)-LEN(SUBSTITUTE(E48,".","")))/LEN(".")=1,"p","")</f>
        <v/>
      </c>
      <c r="L48" s="1864"/>
      <c r="M48" s="1864"/>
      <c r="R48" s="1864"/>
      <c r="U48" s="767"/>
      <c r="AA48" s="1860"/>
      <c r="AB48" s="1860"/>
      <c r="AC48" s="1860"/>
      <c r="AD48" s="1860"/>
      <c r="AE48" s="1860"/>
    </row>
    <row s="16701" customFormat="1" customHeight="1" ht="11.25">
      <c r="A49" s="1212"/>
      <c r="C49" s="953"/>
      <c r="D49" s="896"/>
      <c r="E49" s="769" t="str">
        <f>FHD_NUM_P_13</f>
        <v>2.6</v>
      </c>
      <c r="F49" s="17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7" t="s">
        <v>555</v>
      </c>
      <c r="H49" s="780"/>
      <c r="I49" s="780"/>
      <c r="J49" s="512" t="str">
        <f>FHD_NOTE_P_13</f>
        <v>Указывается общая сумма расходов на оплату труда и отчислений на социальные нужды основного производственного персонала.</v>
      </c>
      <c r="K49" s="1864" t="str">
        <f>IF((LEN(E49)-LEN(SUBSTITUTE(E49,".","")))/LEN(".")=1,"p","")</f>
        <v>p</v>
      </c>
      <c r="L49" s="953"/>
      <c r="M49" s="953"/>
      <c r="R49" s="953"/>
      <c r="U49" s="954"/>
      <c r="AA49" s="955"/>
      <c r="AB49" s="955"/>
      <c r="AC49" s="955"/>
      <c r="AD49" s="955"/>
      <c r="AE49" s="955"/>
    </row>
    <row s="16701" customFormat="1" customHeight="1" ht="11.25">
      <c r="A50" s="1212"/>
      <c r="C50" s="953"/>
      <c r="D50" s="896"/>
      <c r="E50" s="769" t="str">
        <f>FHD_NUM_P_14</f>
        <v>2.6.1</v>
      </c>
      <c r="F50" s="1878" t="str">
        <f>FHD_P_14</f>
        <v>Расходы на оплату труда основного производственного персонала</v>
      </c>
      <c r="G50" s="2107" t="s">
        <v>555</v>
      </c>
      <c r="H50" s="780"/>
      <c r="I50" s="780"/>
      <c r="J50" s="512" t="str">
        <f>FHD_NOTE_P_14</f>
        <v/>
      </c>
      <c r="K50" s="1864" t="str">
        <f>IF((LEN(E50)-LEN(SUBSTITUTE(E50,".","")))/LEN(".")=1,"p","")</f>
        <v/>
      </c>
      <c r="L50" s="953"/>
      <c r="M50" s="953"/>
      <c r="R50" s="953"/>
      <c r="U50" s="954"/>
      <c r="AA50" s="955"/>
      <c r="AB50" s="955"/>
      <c r="AC50" s="955"/>
      <c r="AD50" s="955"/>
      <c r="AE50" s="955"/>
    </row>
    <row s="16701" customFormat="1" customHeight="1" ht="11.25">
      <c r="A51" s="1212"/>
      <c r="C51" s="953"/>
      <c r="D51" s="896"/>
      <c r="E51" s="769" t="str">
        <f>FHD_NUM_P_15</f>
        <v>2.6.2</v>
      </c>
      <c r="F51" s="1878" t="str">
        <f>FHD_P_15</f>
        <v>Страховые взносы на обязательное социальное страхование, выплачиваемые из фонда оплаты труда основного производственного персонала</v>
      </c>
      <c r="G51" s="2107" t="s">
        <v>555</v>
      </c>
      <c r="H51" s="780"/>
      <c r="I51" s="780"/>
      <c r="J51" s="512" t="str">
        <f>FHD_NOTE_P_15</f>
        <v/>
      </c>
      <c r="K51" s="1864" t="str">
        <f>IF((LEN(E51)-LEN(SUBSTITUTE(E51,".","")))/LEN(".")=1,"p","")</f>
        <v/>
      </c>
      <c r="L51" s="953"/>
      <c r="M51" s="953"/>
      <c r="R51" s="953"/>
      <c r="U51" s="954"/>
      <c r="AA51" s="955"/>
      <c r="AB51" s="955"/>
      <c r="AC51" s="955"/>
      <c r="AD51" s="955"/>
      <c r="AE51" s="955"/>
    </row>
    <row s="13533" customFormat="1" customHeight="1" ht="11.25">
      <c r="A52" s="1211"/>
      <c r="C52" s="1864"/>
      <c r="D52" s="1866"/>
      <c r="E52" s="769" t="str">
        <f>FHD_NUM_P_16</f>
        <v>2.7</v>
      </c>
      <c r="F52" s="17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7" t="s">
        <v>555</v>
      </c>
      <c r="H52" s="780"/>
      <c r="I52" s="780"/>
      <c r="J52" s="512" t="str">
        <f>FHD_NOTE_P_16</f>
        <v>Указывается общая сумма расходов на оплату труда и отчислений на социальные нужды административно-управленческого персонала.</v>
      </c>
      <c r="K52" s="1864" t="str">
        <f>IF((LEN(E52)-LEN(SUBSTITUTE(E52,".","")))/LEN(".")=1,"p","")</f>
        <v>p</v>
      </c>
      <c r="L52" s="1864"/>
      <c r="M52" s="1870"/>
      <c r="N52" s="760"/>
      <c r="O52" s="760"/>
      <c r="R52" s="1864"/>
      <c r="U52" s="767"/>
      <c r="AA52" s="1860"/>
      <c r="AB52" s="1860"/>
      <c r="AC52" s="1860"/>
      <c r="AD52" s="1860"/>
      <c r="AE52" s="1860"/>
    </row>
    <row s="13533" customFormat="1" customHeight="1" ht="11.25">
      <c r="A53" s="1211"/>
      <c r="C53" s="1864"/>
      <c r="D53" s="1866"/>
      <c r="E53" s="769" t="str">
        <f>FHD_NUM_P_17</f>
        <v>2.7.1</v>
      </c>
      <c r="F53" s="1878" t="str">
        <f>FHD_P_17</f>
        <v>Расходы на оплату труда административно-управленческого персонала</v>
      </c>
      <c r="G53" s="2107" t="s">
        <v>555</v>
      </c>
      <c r="H53" s="780"/>
      <c r="I53" s="780"/>
      <c r="J53" s="512" t="str">
        <f>FHD_NOTE_P_17</f>
        <v/>
      </c>
      <c r="K53" s="1864" t="str">
        <f>IF((LEN(E53)-LEN(SUBSTITUTE(E53,".","")))/LEN(".")=1,"p","")</f>
        <v/>
      </c>
      <c r="L53" s="1864"/>
      <c r="M53" s="1870"/>
      <c r="N53" s="760"/>
      <c r="O53" s="760"/>
      <c r="R53" s="1864"/>
      <c r="U53" s="767"/>
      <c r="AA53" s="1860"/>
      <c r="AB53" s="1860"/>
      <c r="AC53" s="1860"/>
      <c r="AD53" s="1860"/>
      <c r="AE53" s="1860"/>
    </row>
    <row s="13533" customFormat="1" customHeight="1" ht="11.25">
      <c r="A54" s="1211"/>
      <c r="C54" s="1864"/>
      <c r="D54" s="1866"/>
      <c r="E54" s="769" t="str">
        <f>FHD_NUM_P_18</f>
        <v>2.7.2</v>
      </c>
      <c r="F54" s="18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7" t="s">
        <v>555</v>
      </c>
      <c r="H54" s="780"/>
      <c r="I54" s="780"/>
      <c r="J54" s="512" t="str">
        <f>FHD_NOTE_P_18</f>
        <v/>
      </c>
      <c r="K54" s="1864" t="str">
        <f>IF((LEN(E54)-LEN(SUBSTITUTE(E54,".","")))/LEN(".")=1,"p","")</f>
        <v/>
      </c>
      <c r="L54" s="1864"/>
      <c r="M54" s="1870"/>
      <c r="N54" s="760"/>
      <c r="O54" s="760"/>
      <c r="R54" s="1864"/>
      <c r="U54" s="767"/>
      <c r="AA54" s="1860"/>
      <c r="AB54" s="1860"/>
      <c r="AC54" s="1860"/>
      <c r="AD54" s="1860"/>
      <c r="AE54" s="1860"/>
    </row>
    <row s="13533" customFormat="1" customHeight="1" ht="11.25">
      <c r="A55" s="1211"/>
      <c r="C55" s="1864"/>
      <c r="D55" s="798"/>
      <c r="E55" s="769" t="str">
        <f>FHD_NUM_P_19</f>
        <v>2.8</v>
      </c>
      <c r="F55" s="1752" t="str">
        <f>FHD_P_19</f>
        <v>Расходы на амортизацию основных средств и нематериальных активов</v>
      </c>
      <c r="G55" s="2107" t="s">
        <v>555</v>
      </c>
      <c r="H55" s="780"/>
      <c r="I55" s="780"/>
      <c r="J55" s="512" t="str">
        <f>FHD_NOTE_P_19</f>
        <v/>
      </c>
      <c r="K55" s="1864" t="str">
        <f>IF((LEN(E55)-LEN(SUBSTITUTE(E55,".","")))/LEN(".")=1,"p","")</f>
        <v>p</v>
      </c>
      <c r="L55" s="1864"/>
      <c r="M55" s="1864"/>
      <c r="R55" s="1864"/>
      <c r="U55" s="767"/>
      <c r="AA55" s="1860"/>
      <c r="AB55" s="1860"/>
      <c r="AC55" s="1860"/>
      <c r="AD55" s="1860"/>
      <c r="AE55" s="1860"/>
    </row>
    <row s="13533" customFormat="1" customHeight="1" ht="11.25">
      <c r="A56" s="1211"/>
      <c r="C56" s="1864"/>
      <c r="D56" s="798"/>
      <c r="E56" s="769" t="str">
        <f>FHD_NUM_P_20</f>
        <v>2.8.1</v>
      </c>
      <c r="F56" s="1878" t="str">
        <f>FHD_P_20</f>
        <v>Расходы на амортизацию основных средств</v>
      </c>
      <c r="G56" s="2107" t="s">
        <v>555</v>
      </c>
      <c r="H56" s="780"/>
      <c r="I56" s="780"/>
      <c r="J56" s="512" t="str">
        <f>FHD_NOTE_P_20</f>
        <v/>
      </c>
      <c r="K56" s="1864" t="str">
        <f>IF((LEN(E56)-LEN(SUBSTITUTE(E56,".","")))/LEN(".")=1,"p","")</f>
        <v/>
      </c>
      <c r="L56" s="1864"/>
      <c r="M56" s="1864"/>
      <c r="R56" s="1864"/>
      <c r="U56" s="767"/>
      <c r="AA56" s="1860"/>
      <c r="AB56" s="1860"/>
      <c r="AC56" s="1860"/>
      <c r="AD56" s="1860"/>
      <c r="AE56" s="1860"/>
    </row>
    <row s="13533" customFormat="1" customHeight="1" ht="11.25">
      <c r="A57" s="1211"/>
      <c r="C57" s="1864"/>
      <c r="D57" s="798"/>
      <c r="E57" s="769" t="str">
        <f>FHD_NUM_P_21</f>
        <v>2.8.2</v>
      </c>
      <c r="F57" s="1878" t="str">
        <f>FHD_P_21</f>
        <v>Расходы на амортизацию нематериальных активов</v>
      </c>
      <c r="G57" s="2107" t="s">
        <v>555</v>
      </c>
      <c r="H57" s="780"/>
      <c r="I57" s="780"/>
      <c r="J57" s="512" t="str">
        <f>FHD_NOTE_P_21</f>
        <v/>
      </c>
      <c r="K57" s="1864" t="str">
        <f>IF((LEN(E57)-LEN(SUBSTITUTE(E57,".","")))/LEN(".")=1,"p","")</f>
        <v/>
      </c>
      <c r="L57" s="1864"/>
      <c r="M57" s="1864"/>
      <c r="R57" s="1864"/>
      <c r="U57" s="767"/>
      <c r="AA57" s="1860"/>
      <c r="AB57" s="1860"/>
      <c r="AC57" s="1860"/>
      <c r="AD57" s="1860"/>
      <c r="AE57" s="1860"/>
    </row>
    <row s="13533" customFormat="1" customHeight="1" ht="11.25">
      <c r="A58" s="1211"/>
      <c r="C58" s="1864"/>
      <c r="D58" s="1866"/>
      <c r="E58" s="769" t="str">
        <f>FHD_NUM_P_22</f>
        <v>2.9</v>
      </c>
      <c r="F58" s="1752" t="str">
        <f>FHD_P_22</f>
        <v>Расходы на аренду имущества, используемого для осуществления регулируемых видов деятельности в сфере горячего водоснабжения</v>
      </c>
      <c r="G58" s="2107" t="s">
        <v>555</v>
      </c>
      <c r="H58" s="780"/>
      <c r="I58" s="780"/>
      <c r="J58" s="512" t="str">
        <f>FHD_NOTE_P_22</f>
        <v/>
      </c>
      <c r="K58" s="1864" t="str">
        <f>IF((LEN(E58)-LEN(SUBSTITUTE(E58,".","")))/LEN(".")=1,"p","")</f>
        <v>p</v>
      </c>
      <c r="L58" s="1864"/>
      <c r="M58" s="1864"/>
      <c r="R58" s="1864"/>
      <c r="U58" s="767"/>
      <c r="AA58" s="1860"/>
      <c r="AB58" s="1860"/>
      <c r="AC58" s="1860"/>
      <c r="AD58" s="1860"/>
      <c r="AE58" s="1860"/>
    </row>
    <row s="13533" customFormat="1" customHeight="1" ht="11.25">
      <c r="A59" s="1211"/>
      <c r="C59" s="1864"/>
      <c r="D59" s="798"/>
      <c r="E59" s="769" t="str">
        <f>FHD_NUM_P_23</f>
        <v>2.10</v>
      </c>
      <c r="F59" s="1752" t="str">
        <f>FHD_P_23</f>
        <v>Общепроизводственные расходы, в том числе:</v>
      </c>
      <c r="G59" s="2107" t="s">
        <v>555</v>
      </c>
      <c r="H59" s="780"/>
      <c r="I59" s="780"/>
      <c r="J59" s="512" t="str">
        <f>FHD_NOTE_P_23</f>
        <v>Указывается общая сумма общепроизводственных расходов.</v>
      </c>
      <c r="K59" s="1864" t="str">
        <f>IF((LEN(E59)-LEN(SUBSTITUTE(E59,".","")))/LEN(".")=1,"p","")</f>
        <v>p</v>
      </c>
      <c r="L59" s="1864"/>
      <c r="M59" s="1864"/>
      <c r="R59" s="1864"/>
      <c r="U59" s="767"/>
      <c r="AA59" s="1860"/>
      <c r="AB59" s="1860"/>
      <c r="AC59" s="1860"/>
      <c r="AD59" s="1860"/>
      <c r="AE59" s="1860"/>
    </row>
    <row s="13533" customFormat="1" customHeight="1" ht="11.25">
      <c r="A60" s="1211"/>
      <c r="C60" s="1864"/>
      <c r="D60" s="798"/>
      <c r="E60" s="769" t="str">
        <f>FHD_NUM_P_24</f>
        <v>2.10.1</v>
      </c>
      <c r="F60" s="1878" t="str">
        <f>FHD_P_24</f>
        <v>Расходы на текущий ремонт</v>
      </c>
      <c r="G60" s="2107" t="s">
        <v>555</v>
      </c>
      <c r="H60" s="780"/>
      <c r="I60" s="780"/>
      <c r="J60" s="512" t="str">
        <f>FHD_NOTE_P_24</f>
        <v>Указываются расходы на текущий ремонт, отнесенные к общепроизводственным расходам.</v>
      </c>
      <c r="K60" s="1864" t="str">
        <f>IF((LEN(E60)-LEN(SUBSTITUTE(E60,".","")))/LEN(".")=1,"p","")</f>
        <v/>
      </c>
      <c r="L60" s="1864"/>
      <c r="M60" s="1864"/>
      <c r="R60" s="1864"/>
      <c r="U60" s="767"/>
      <c r="AA60" s="1860"/>
      <c r="AB60" s="1860"/>
      <c r="AC60" s="1860"/>
      <c r="AD60" s="1860"/>
      <c r="AE60" s="1860"/>
    </row>
    <row s="13533" customFormat="1" customHeight="1" ht="11.25">
      <c r="A61" s="1211"/>
      <c r="C61" s="1864"/>
      <c r="D61" s="798"/>
      <c r="E61" s="769" t="str">
        <f>FHD_NUM_P_25</f>
        <v>2.10.2</v>
      </c>
      <c r="F61" s="1878" t="str">
        <f>FHD_P_25</f>
        <v>Расходы на капитальный ремонт</v>
      </c>
      <c r="G61" s="2107" t="s">
        <v>555</v>
      </c>
      <c r="H61" s="780"/>
      <c r="I61" s="780"/>
      <c r="J61" s="512" t="str">
        <f>FHD_NOTE_P_25</f>
        <v>Указываются расходы на капитальный ремонт, отнесенные к общепроизводственным расходам.</v>
      </c>
      <c r="K61" s="1864" t="str">
        <f>IF((LEN(E61)-LEN(SUBSTITUTE(E61,".","")))/LEN(".")=1,"p","")</f>
        <v/>
      </c>
      <c r="L61" s="1864"/>
      <c r="M61" s="1864"/>
      <c r="R61" s="1864"/>
      <c r="U61" s="767"/>
      <c r="AA61" s="1860"/>
      <c r="AB61" s="1860"/>
      <c r="AC61" s="1860"/>
      <c r="AD61" s="1860"/>
      <c r="AE61" s="1860"/>
    </row>
    <row s="13533" customFormat="1" customHeight="1" ht="11.25">
      <c r="A62" s="1211"/>
      <c r="C62" s="1864"/>
      <c r="D62" s="1866"/>
      <c r="E62" s="769" t="str">
        <f>FHD_NUM_P_26</f>
        <v>2.11</v>
      </c>
      <c r="F62" s="1752" t="str">
        <f>FHD_P_26</f>
        <v>Общехозяйственные расходы, в том числе:</v>
      </c>
      <c r="G62" s="2107" t="s">
        <v>555</v>
      </c>
      <c r="H62" s="780"/>
      <c r="I62" s="780"/>
      <c r="J62" s="512" t="str">
        <f>FHD_NOTE_P_26</f>
        <v>Указывается общая сумма общехозяйственных расходов.</v>
      </c>
      <c r="K62" s="1864" t="str">
        <f>IF((LEN(E62)-LEN(SUBSTITUTE(E62,".","")))/LEN(".")=1,"p","")</f>
        <v>p</v>
      </c>
      <c r="L62" s="1864"/>
      <c r="M62" s="1864"/>
      <c r="R62" s="1864"/>
      <c r="U62" s="767"/>
      <c r="AA62" s="1860"/>
      <c r="AB62" s="1860"/>
      <c r="AC62" s="1860"/>
      <c r="AD62" s="1860"/>
      <c r="AE62" s="1860"/>
    </row>
    <row s="13533" customFormat="1" customHeight="1" ht="11.25">
      <c r="A63" s="1211"/>
      <c r="C63" s="1864"/>
      <c r="D63" s="1866"/>
      <c r="E63" s="769" t="str">
        <f>FHD_NUM_P_27</f>
        <v>2.11.1</v>
      </c>
      <c r="F63" s="1878" t="str">
        <f>FHD_P_27</f>
        <v>Расходы на текущий ремонт</v>
      </c>
      <c r="G63" s="2107" t="s">
        <v>555</v>
      </c>
      <c r="H63" s="780"/>
      <c r="I63" s="780"/>
      <c r="J63" s="512" t="str">
        <f>FHD_NOTE_P_27</f>
        <v>Указываются расходы на текущий ремонт, отнесенные к общехозяйственным расходам.</v>
      </c>
      <c r="K63" s="1864" t="str">
        <f>IF((LEN(E63)-LEN(SUBSTITUTE(E63,".","")))/LEN(".")=1,"p","")</f>
        <v/>
      </c>
      <c r="L63" s="1864"/>
      <c r="M63" s="1864"/>
      <c r="R63" s="1864"/>
      <c r="U63" s="767"/>
      <c r="AA63" s="1860"/>
      <c r="AB63" s="1860"/>
      <c r="AC63" s="1860"/>
      <c r="AD63" s="1860"/>
      <c r="AE63" s="1860"/>
    </row>
    <row s="13533" customFormat="1" customHeight="1" ht="11.25">
      <c r="A64" s="1211"/>
      <c r="C64" s="1864"/>
      <c r="D64" s="1866"/>
      <c r="E64" s="769" t="str">
        <f>FHD_NUM_P_28</f>
        <v>2.11.2</v>
      </c>
      <c r="F64" s="1878" t="str">
        <f>FHD_P_28</f>
        <v>Расходы на капитальный ремонт</v>
      </c>
      <c r="G64" s="2107" t="s">
        <v>555</v>
      </c>
      <c r="H64" s="780"/>
      <c r="I64" s="780"/>
      <c r="J64" s="512" t="str">
        <f>FHD_NOTE_P_28</f>
        <v>Указываются расходы на капитальный ремонт, отнесенные к общехозяйственным расходам.</v>
      </c>
      <c r="K64" s="1864" t="str">
        <f>IF((LEN(E64)-LEN(SUBSTITUTE(E64,".","")))/LEN(".")=1,"p","")</f>
        <v/>
      </c>
      <c r="L64" s="1864"/>
      <c r="M64" s="1864"/>
      <c r="R64" s="1864"/>
      <c r="U64" s="767"/>
      <c r="AA64" s="1860"/>
      <c r="AB64" s="1860"/>
      <c r="AC64" s="1860"/>
      <c r="AD64" s="1860"/>
      <c r="AE64" s="1860"/>
    </row>
    <row s="13533" customFormat="1" customHeight="1" ht="11.25">
      <c r="A65" s="1211"/>
      <c r="C65" s="1864"/>
      <c r="D65" s="1866"/>
      <c r="E65" s="769" t="str">
        <f>FHD_NUM_P_29</f>
        <v>2.12</v>
      </c>
      <c r="F65" s="1752" t="str">
        <f>FHD_P_29</f>
        <v>Расходы на капитальный и текущий ремонт основных средств</v>
      </c>
      <c r="G65" s="2107" t="s">
        <v>555</v>
      </c>
      <c r="H65" s="780"/>
      <c r="I65" s="780"/>
      <c r="J65" s="51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4" t="str">
        <f>IF((LEN(E65)-LEN(SUBSTITUTE(E65,".","")))/LEN(".")=1,"p","")</f>
        <v>p</v>
      </c>
      <c r="L65" s="1864"/>
      <c r="M65" s="1864"/>
      <c r="R65" s="1864"/>
      <c r="U65" s="767"/>
      <c r="AA65" s="1860"/>
      <c r="AB65" s="1860"/>
      <c r="AC65" s="1860"/>
      <c r="AD65" s="1860"/>
      <c r="AE65" s="1860"/>
    </row>
    <row s="13533" customFormat="1" customHeight="1" ht="11.25">
      <c r="A66" s="1211"/>
      <c r="C66" s="1864"/>
      <c r="D66" s="1866"/>
      <c r="E66" s="769" t="str">
        <f>FHD_NUM_P_30</f>
        <v>2.12.1</v>
      </c>
      <c r="F66" s="18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7" t="s">
        <v>307</v>
      </c>
      <c r="H66" s="1877" t="s">
        <v>578</v>
      </c>
      <c r="I66" s="1877" t="s">
        <v>578</v>
      </c>
      <c r="J66" s="512" t="str">
        <f>FHD_NOTE_P_30</f>
        <v/>
      </c>
      <c r="K66" s="1864" t="str">
        <f>IF((LEN(E66)-LEN(SUBSTITUTE(E66,".","")))/LEN(".")=1,"p","")</f>
        <v/>
      </c>
      <c r="L66" s="1864">
        <f>_xlfn.IFERROR(MATCH("есть",B_FHD_FLAG_INDEX_1,0),0)</f>
        <v>0</v>
      </c>
      <c r="M66" s="1864"/>
      <c r="R66" s="1864"/>
      <c r="U66" s="767"/>
      <c r="AA66" s="1860"/>
      <c r="AB66" s="1860"/>
      <c r="AC66" s="1860"/>
      <c r="AD66" s="1860"/>
      <c r="AE66" s="1860"/>
    </row>
    <row s="13533" customFormat="1" customHeight="1" ht="22.5">
      <c r="A67" s="2495" t="s">
        <v>579</v>
      </c>
      <c r="C67" s="1864"/>
      <c r="D67" s="1866"/>
      <c r="E67" s="769" t="str">
        <f>FHD_NUM_P_31</f>
        <v>2.13</v>
      </c>
      <c r="F67" s="17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7" t="s">
        <v>555</v>
      </c>
      <c r="H67" s="780"/>
      <c r="I67" s="780"/>
      <c r="J67" s="51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4" t="str">
        <f>IF((LEN(E67)-LEN(SUBSTITUTE(E67,".","")))/LEN(".")=1,"p","")</f>
        <v>p</v>
      </c>
      <c r="L67" s="1864"/>
      <c r="M67" s="1864"/>
      <c r="R67" s="1864"/>
      <c r="U67" s="767"/>
      <c r="AA67" s="1860"/>
      <c r="AB67" s="1860"/>
      <c r="AC67" s="1860"/>
      <c r="AD67" s="1860"/>
      <c r="AE67" s="1860"/>
    </row>
    <row s="13533" customFormat="1" customHeight="1" ht="45">
      <c r="A68" s="2495"/>
      <c r="C68" s="1864"/>
      <c r="D68" s="1866"/>
      <c r="E68" s="769" t="str">
        <f>FHD_NUM_P_32</f>
        <v>2.13.1</v>
      </c>
      <c r="F68" s="18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7" t="s">
        <v>307</v>
      </c>
      <c r="H68" s="1877" t="s">
        <v>578</v>
      </c>
      <c r="I68" s="1877" t="s">
        <v>578</v>
      </c>
      <c r="J68" s="512" t="str">
        <f>FHD_NOTE_P_32</f>
        <v/>
      </c>
      <c r="K68" s="1864" t="str">
        <f>IF((LEN(E68)-LEN(SUBSTITUTE(E68,".","")))/LEN(".")=1,"p","")</f>
        <v/>
      </c>
      <c r="L68" s="1864">
        <f>_xlfn.IFERROR(MATCH("есть",B_FHD_FLAG_INDEX_2,0),0)</f>
        <v>0</v>
      </c>
      <c r="M68" s="1864"/>
      <c r="R68" s="1864"/>
      <c r="U68" s="767"/>
      <c r="AA68" s="1860"/>
      <c r="AB68" s="1860"/>
      <c r="AC68" s="1860"/>
      <c r="AD68" s="1860"/>
      <c r="AE68" s="1860"/>
    </row>
    <row s="13533" customFormat="1" customHeight="1" ht="11.25">
      <c r="A69" s="1211"/>
      <c r="C69" s="1864"/>
      <c r="D69" s="1866"/>
      <c r="E69" s="769" t="str">
        <f>FHD_NUM_P_33</f>
        <v>2.14</v>
      </c>
      <c r="F69" s="17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08" t="s">
        <v>555</v>
      </c>
      <c r="H69" s="802">
        <f>SUM(H70:H71)</f>
        <v>0</v>
      </c>
      <c r="I69" s="802">
        <f>SUM(I70:I71)</f>
        <v>0</v>
      </c>
      <c r="J69" s="51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4" t="str">
        <f>IF((LEN(E69)-LEN(SUBSTITUTE(E69,".","")))/LEN(".")=1,"p","")</f>
        <v>p</v>
      </c>
      <c r="L69" s="1864"/>
      <c r="M69" s="1864"/>
      <c r="R69" s="1864"/>
      <c r="U69" s="767"/>
      <c r="AA69" s="1860"/>
      <c r="AB69" s="1860"/>
      <c r="AC69" s="1860"/>
      <c r="AD69" s="1860"/>
      <c r="AE69" s="1860"/>
    </row>
    <row s="13659" customFormat="1" customHeight="1" ht="0.75">
      <c r="A70" s="1392"/>
      <c r="D70" s="771"/>
      <c r="E70" s="1237" t="str">
        <f>E69&amp;".0"</f>
        <v>2.14.0</v>
      </c>
      <c r="F70" s="1215"/>
      <c r="G70" s="1237"/>
      <c r="H70" s="1216"/>
      <c r="I70" s="1216"/>
      <c r="J70" s="1217"/>
      <c r="K70" s="1864" t="str">
        <f>IF((LEN(E70)-LEN(SUBSTITUTE(E70,".","")))/LEN(".")=1,"p","")</f>
        <v/>
      </c>
    </row>
    <row s="13533" customFormat="1" customHeight="1" ht="14.25">
      <c r="A71" s="1211"/>
      <c r="C71" s="1864"/>
      <c r="D71" s="1861"/>
      <c r="E71" s="793"/>
      <c r="F71" s="794" t="s">
        <v>580</v>
      </c>
      <c r="G71" s="795"/>
      <c r="H71" s="796"/>
      <c r="I71" s="796"/>
      <c r="J71" s="524"/>
      <c r="K71" s="1864"/>
      <c r="L71" s="1864"/>
      <c r="M71" s="1864"/>
      <c r="R71" s="1864"/>
      <c r="U71" s="767"/>
      <c r="AA71" s="1860"/>
      <c r="AB71" s="1860"/>
      <c r="AC71" s="1860"/>
      <c r="AD71" s="1860"/>
      <c r="AE71" s="1860"/>
    </row>
    <row s="13533" customFormat="1" customHeight="1" ht="18.75" hidden="1">
      <c r="A72" s="1213" t="s">
        <v>581</v>
      </c>
      <c r="C72" s="1864"/>
      <c r="D72" s="1866"/>
      <c r="E72" s="769" t="str">
        <f>FHD_NUM_P_34</f>
        <v/>
      </c>
      <c r="F72" s="2109" t="str">
        <f>FHD_P_34</f>
        <v/>
      </c>
      <c r="G72" s="2107" t="s">
        <v>555</v>
      </c>
      <c r="H72" s="780"/>
      <c r="I72" s="780"/>
      <c r="J72" s="512" t="str">
        <f>FHD_NOTE_P_34</f>
        <v/>
      </c>
      <c r="K72" s="766"/>
      <c r="L72" s="1864"/>
      <c r="M72" s="1864"/>
      <c r="R72" s="1864"/>
      <c r="U72" s="767"/>
      <c r="AA72" s="1860"/>
      <c r="AB72" s="1860"/>
      <c r="AC72" s="1860"/>
      <c r="AD72" s="1860"/>
      <c r="AE72" s="1860"/>
    </row>
    <row s="13533" customFormat="1" customHeight="1" ht="18.75">
      <c r="A73" s="1211"/>
      <c r="C73" s="1864"/>
      <c r="D73" s="798"/>
      <c r="E73" s="769" t="str">
        <f>FHD_NUM_P_35</f>
        <v>3</v>
      </c>
      <c r="F73" s="2109" t="str">
        <f>FHD_P_35</f>
        <v>Чистая прибыль, полученная от регулируемого вида деятельности в сфере горячего водоснабжения, в том числе:</v>
      </c>
      <c r="G73" s="2107" t="s">
        <v>555</v>
      </c>
      <c r="H73" s="780"/>
      <c r="I73" s="780"/>
      <c r="J73" s="512" t="str">
        <f>FHD_NOTE_P_35</f>
        <v>Указывается общая сумма чистой прибыли, полученной от регулируемого вида деятельности.</v>
      </c>
      <c r="K73" s="766"/>
      <c r="L73" s="1864"/>
      <c r="M73" s="1864"/>
      <c r="R73" s="1864"/>
      <c r="U73" s="767"/>
      <c r="AA73" s="1860"/>
      <c r="AB73" s="1860"/>
      <c r="AC73" s="1860"/>
      <c r="AD73" s="1860"/>
      <c r="AE73" s="1860"/>
    </row>
    <row s="13533" customFormat="1" customHeight="1" ht="18.75">
      <c r="A74" s="1211"/>
      <c r="C74" s="1864"/>
      <c r="D74" s="1866"/>
      <c r="E74" s="769" t="str">
        <f>FHD_NUM_P_36</f>
        <v>3.1</v>
      </c>
      <c r="F74" s="17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7" t="s">
        <v>555</v>
      </c>
      <c r="H74" s="780"/>
      <c r="I74" s="780"/>
      <c r="J74" s="512" t="str">
        <f>FHD_NOTE_P_36</f>
        <v/>
      </c>
      <c r="K74" s="766"/>
      <c r="L74" s="1864"/>
      <c r="M74" s="1864"/>
      <c r="R74" s="1864"/>
      <c r="U74" s="767"/>
      <c r="AA74" s="1860"/>
      <c r="AB74" s="1860"/>
      <c r="AC74" s="1860"/>
      <c r="AD74" s="1860"/>
      <c r="AE74" s="1860"/>
    </row>
    <row s="13533" customFormat="1" customHeight="1" ht="18.75">
      <c r="A75" s="1211"/>
      <c r="C75" s="1864"/>
      <c r="D75" s="1866"/>
      <c r="E75" s="769" t="str">
        <f>FHD_NUM_P_37</f>
        <v>4</v>
      </c>
      <c r="F75" s="2109" t="str">
        <f>FHD_P_37</f>
        <v>Изменение стоимости основных фондов, в том числе:</v>
      </c>
      <c r="G75" s="2107" t="s">
        <v>555</v>
      </c>
      <c r="H75" s="780"/>
      <c r="I75" s="780"/>
      <c r="J75" s="512" t="str">
        <f>FHD_NOTE_P_37</f>
        <v>Указывается общее изменение стоимости основных фондов.</v>
      </c>
      <c r="K75" s="766"/>
      <c r="L75" s="1864"/>
      <c r="M75" s="1864"/>
      <c r="R75" s="1864"/>
      <c r="U75" s="767"/>
      <c r="AA75" s="1860"/>
      <c r="AB75" s="1860"/>
      <c r="AC75" s="1860"/>
      <c r="AD75" s="1860"/>
      <c r="AE75" s="1860"/>
    </row>
    <row s="13533" customFormat="1" customHeight="1" ht="18.75">
      <c r="A76" s="1211"/>
      <c r="C76" s="1864"/>
      <c r="D76" s="1866"/>
      <c r="E76" s="769" t="str">
        <f>FHD_NUM_P_38</f>
        <v>4.1</v>
      </c>
      <c r="F76" s="1752" t="str">
        <f>FHD_P_38</f>
        <v>Изменение стоимости основных фондов за счет их ввода в эксплуатацию (вывода из эксплуатации)</v>
      </c>
      <c r="G76" s="2107" t="s">
        <v>555</v>
      </c>
      <c r="H76" s="780"/>
      <c r="I76" s="780"/>
      <c r="J76" s="512" t="str">
        <f>FHD_NOTE_P_38</f>
        <v>Указываются общее изменение стоимости основных фондов за счет их ввода в эксплуатацию и вывода из эксплуатации.</v>
      </c>
      <c r="K76" s="766"/>
      <c r="L76" s="1864"/>
      <c r="M76" s="1864"/>
      <c r="R76" s="1864"/>
      <c r="U76" s="767"/>
      <c r="AA76" s="1860"/>
      <c r="AB76" s="1860"/>
      <c r="AC76" s="1860"/>
      <c r="AD76" s="1860"/>
      <c r="AE76" s="1860"/>
    </row>
    <row s="13533" customFormat="1" customHeight="1" ht="18.75">
      <c r="A77" s="1211"/>
      <c r="C77" s="1864"/>
      <c r="D77" s="1866"/>
      <c r="E77" s="769" t="str">
        <f>FHD_NUM_P_39</f>
        <v>4.1.1</v>
      </c>
      <c r="F77" s="1878" t="str">
        <f>FHD_P_39</f>
        <v>Изменение стоимости основных фондов за счет их ввода в эксплуатацию</v>
      </c>
      <c r="G77" s="2107" t="s">
        <v>555</v>
      </c>
      <c r="H77" s="780"/>
      <c r="I77" s="780"/>
      <c r="J77" s="512" t="str">
        <f>FHD_NOTE_P_39</f>
        <v>Указываются изменение стоимости основных фондов за счет их ввода в эксплуатацию.</v>
      </c>
      <c r="K77" s="766"/>
      <c r="L77" s="1864"/>
      <c r="M77" s="1864"/>
      <c r="R77" s="1864"/>
      <c r="U77" s="767"/>
      <c r="AA77" s="1860"/>
      <c r="AB77" s="1860"/>
      <c r="AC77" s="1860"/>
      <c r="AD77" s="1860"/>
      <c r="AE77" s="1860"/>
    </row>
    <row s="13533" customFormat="1" customHeight="1" ht="18.75">
      <c r="A78" s="1211"/>
      <c r="C78" s="1864"/>
      <c r="D78" s="1866"/>
      <c r="E78" s="769" t="str">
        <f>FHD_NUM_P_40</f>
        <v>4.1.2</v>
      </c>
      <c r="F78" s="1878" t="str">
        <f>FHD_P_40</f>
        <v>Изменение стоимости основных фондов за счет их вывода в эксплуатацию</v>
      </c>
      <c r="G78" s="2107" t="s">
        <v>555</v>
      </c>
      <c r="H78" s="780"/>
      <c r="I78" s="780"/>
      <c r="J78" s="512" t="str">
        <f>FHD_NOTE_P_40</f>
        <v>Указываются изменение стоимости основных фондов за счет их вывода из эксплуатации.</v>
      </c>
      <c r="K78" s="766"/>
      <c r="L78" s="1864"/>
      <c r="M78" s="1864"/>
      <c r="R78" s="1864"/>
      <c r="U78" s="767"/>
      <c r="AA78" s="1860"/>
      <c r="AB78" s="1860"/>
      <c r="AC78" s="1860"/>
      <c r="AD78" s="1860"/>
      <c r="AE78" s="1860"/>
    </row>
    <row s="13533" customFormat="1" customHeight="1" ht="18.75">
      <c r="A79" s="1211"/>
      <c r="C79" s="1864"/>
      <c r="D79" s="1866"/>
      <c r="E79" s="769" t="str">
        <f>FHD_NUM_P_41</f>
        <v>4.2</v>
      </c>
      <c r="F79" s="1752" t="str">
        <f>FHD_P_41</f>
        <v>Изменение стоимости основных фондов за счет их переоценки</v>
      </c>
      <c r="G79" s="2108" t="s">
        <v>555</v>
      </c>
      <c r="H79" s="780"/>
      <c r="I79" s="780"/>
      <c r="J79" s="512" t="str">
        <f>FHD_NOTE_P_41</f>
        <v/>
      </c>
      <c r="K79" s="766"/>
      <c r="L79" s="1864"/>
      <c r="M79" s="1864"/>
      <c r="R79" s="1864"/>
      <c r="U79" s="767"/>
      <c r="AA79" s="1860"/>
      <c r="AB79" s="1860"/>
      <c r="AC79" s="1860"/>
      <c r="AD79" s="1860"/>
      <c r="AE79" s="1860"/>
    </row>
    <row s="13533" customFormat="1" customHeight="1" ht="18.75">
      <c r="A80" s="1213" t="s">
        <v>582</v>
      </c>
      <c r="C80" s="1864"/>
      <c r="D80" s="1866"/>
      <c r="E80" s="769" t="str">
        <f>FHD_NUM_P_42</f>
        <v>5</v>
      </c>
      <c r="F80" s="2109" t="str">
        <f>FHD_P_42</f>
        <v>Валовая прибыль (убытки) от продажи товаров и услуг по регулируемым видам деятельности в сфере горячего водоснабжения</v>
      </c>
      <c r="G80" s="2107" t="s">
        <v>555</v>
      </c>
      <c r="H80" s="1200"/>
      <c r="I80" s="780"/>
      <c r="J80" s="512" t="str">
        <f>FHD_NOTE_P_42</f>
        <v/>
      </c>
      <c r="K80" s="766"/>
      <c r="L80" s="1864"/>
      <c r="M80" s="1864"/>
      <c r="R80" s="1864"/>
      <c r="U80" s="767"/>
      <c r="AA80" s="1860"/>
      <c r="AB80" s="1860"/>
      <c r="AC80" s="1860"/>
      <c r="AD80" s="1860"/>
      <c r="AE80" s="1860"/>
    </row>
    <row s="13533" customFormat="1" customHeight="1" ht="18.75">
      <c r="A81" s="1211"/>
      <c r="C81" s="1864"/>
      <c r="D81" s="1866"/>
      <c r="E81" s="769" t="str">
        <f>FHD_NUM_P_43</f>
        <v>6</v>
      </c>
      <c r="F81" s="2109" t="str">
        <f>FHD_P_43</f>
        <v>Годовая бухгалтерская (финансовая) отчетность, включая бухгалтерский баланс и приложения к нему</v>
      </c>
      <c r="G81" s="2107" t="s">
        <v>307</v>
      </c>
      <c r="H81" s="1279"/>
      <c r="I81" s="1041"/>
      <c r="J81" s="51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66"/>
      <c r="L81" s="1864"/>
      <c r="M81" s="1864"/>
      <c r="R81" s="1864"/>
      <c r="U81" s="767"/>
      <c r="AA81" s="1860"/>
      <c r="AB81" s="1860"/>
      <c r="AC81" s="1860"/>
      <c r="AD81" s="1860"/>
      <c r="AE81" s="1860"/>
    </row>
    <row s="16716" customFormat="1" customHeight="1" ht="18.75" hidden="1">
      <c r="A82" s="2495" t="s">
        <v>583</v>
      </c>
      <c r="C82" s="958"/>
      <c r="D82" s="956"/>
      <c r="E82" s="769" t="str">
        <f>FHD_NUM_P_44</f>
        <v/>
      </c>
      <c r="F82" s="2109" t="str">
        <f>FHD_P_44</f>
        <v/>
      </c>
      <c r="G82" s="2110" t="s">
        <v>584</v>
      </c>
      <c r="H82" s="1201"/>
      <c r="I82" s="800"/>
      <c r="J82" s="512" t="str">
        <f>FHD_NOTE_P_44</f>
        <v/>
      </c>
      <c r="K82" s="957"/>
      <c r="L82" s="958"/>
      <c r="M82" s="958"/>
      <c r="R82" s="958"/>
      <c r="U82" s="959"/>
      <c r="AA82" s="960"/>
      <c r="AB82" s="960"/>
      <c r="AC82" s="960"/>
      <c r="AD82" s="960"/>
      <c r="AE82" s="960"/>
    </row>
    <row s="16716" customFormat="1" customHeight="1" ht="18.75" hidden="1">
      <c r="A83" s="2495"/>
      <c r="C83" s="958"/>
      <c r="D83" s="956"/>
      <c r="E83" s="769" t="str">
        <f>FHD_NUM_P_45</f>
        <v/>
      </c>
      <c r="F83" s="2109" t="str">
        <f>FHD_P_45</f>
        <v/>
      </c>
      <c r="G83" s="2110" t="s">
        <v>584</v>
      </c>
      <c r="H83" s="1201"/>
      <c r="I83" s="800"/>
      <c r="J83" s="512" t="str">
        <f>FHD_NOTE_P_45</f>
        <v/>
      </c>
      <c r="K83" s="957"/>
      <c r="L83" s="958"/>
      <c r="M83" s="958"/>
      <c r="R83" s="958"/>
      <c r="U83" s="959"/>
      <c r="AA83" s="960"/>
      <c r="AB83" s="960"/>
      <c r="AC83" s="960"/>
      <c r="AD83" s="960"/>
      <c r="AE83" s="960"/>
    </row>
    <row s="16716" customFormat="1" customHeight="1" ht="18.75" hidden="1">
      <c r="A84" s="2495"/>
      <c r="C84" s="958"/>
      <c r="D84" s="961"/>
      <c r="E84" s="769" t="str">
        <f>FHD_NUM_P_46</f>
        <v/>
      </c>
      <c r="F84" s="2109" t="str">
        <f>FHD_P_46</f>
        <v/>
      </c>
      <c r="G84" s="2110" t="s">
        <v>584</v>
      </c>
      <c r="H84" s="1201"/>
      <c r="I84" s="800"/>
      <c r="J84" s="512" t="str">
        <f>FHD_NOTE_P_46</f>
        <v/>
      </c>
      <c r="K84" s="957"/>
      <c r="L84" s="958"/>
      <c r="M84" s="958"/>
      <c r="R84" s="958"/>
      <c r="U84" s="959"/>
      <c r="AA84" s="960"/>
      <c r="AB84" s="960"/>
      <c r="AC84" s="960"/>
      <c r="AD84" s="960"/>
      <c r="AE84" s="960"/>
    </row>
    <row s="16716" customFormat="1" customHeight="1" ht="18.75" hidden="1">
      <c r="A85" s="2495"/>
      <c r="C85" s="958"/>
      <c r="D85" s="956"/>
      <c r="E85" s="769" t="str">
        <f>FHD_NUM_P_47</f>
        <v/>
      </c>
      <c r="F85" s="2109" t="str">
        <f>FHD_P_47</f>
        <v/>
      </c>
      <c r="G85" s="2110" t="s">
        <v>584</v>
      </c>
      <c r="H85" s="1201"/>
      <c r="I85" s="800"/>
      <c r="J85" s="512" t="str">
        <f>FHD_NOTE_P_47</f>
        <v/>
      </c>
      <c r="K85" s="957"/>
      <c r="L85" s="958"/>
      <c r="M85" s="958"/>
      <c r="R85" s="958"/>
      <c r="U85" s="959"/>
      <c r="AA85" s="960"/>
      <c r="AB85" s="960"/>
      <c r="AC85" s="960"/>
      <c r="AD85" s="960"/>
      <c r="AE85" s="960"/>
    </row>
    <row s="16725" customFormat="1" customHeight="1" ht="18.75" hidden="1">
      <c r="A86" s="2495"/>
      <c r="B86" s="1133"/>
      <c r="C86" s="958"/>
      <c r="D86" s="956"/>
      <c r="E86" s="769" t="str">
        <f>FHD_NUM_P_48</f>
        <v/>
      </c>
      <c r="F86" s="2109" t="str">
        <f>FHD_P_48</f>
        <v/>
      </c>
      <c r="G86" s="2110" t="s">
        <v>584</v>
      </c>
      <c r="H86" s="1201"/>
      <c r="I86" s="800"/>
      <c r="J86" s="512" t="str">
        <f>FHD_NOTE_P_48</f>
        <v/>
      </c>
      <c r="K86" s="957"/>
      <c r="L86" s="958"/>
      <c r="M86" s="958"/>
      <c r="N86" s="1133"/>
      <c r="O86" s="1133"/>
      <c r="P86" s="1133"/>
      <c r="Q86" s="1133"/>
      <c r="R86" s="958"/>
      <c r="S86" s="1133"/>
      <c r="T86" s="1133"/>
      <c r="U86" s="959"/>
      <c r="V86" s="1133"/>
      <c r="W86" s="1133"/>
      <c r="X86" s="1133"/>
      <c r="Y86" s="1133"/>
      <c r="Z86" s="1133"/>
      <c r="AA86" s="960"/>
      <c r="AB86" s="960"/>
      <c r="AC86" s="960"/>
      <c r="AD86" s="960"/>
      <c r="AE86" s="960"/>
    </row>
    <row s="16725" customFormat="1" customHeight="1" ht="18.75" hidden="1">
      <c r="A87" s="2495"/>
      <c r="B87" s="1133"/>
      <c r="C87" s="958"/>
      <c r="D87" s="956"/>
      <c r="E87" s="769" t="str">
        <f>FHD_NUM_P_49</f>
        <v/>
      </c>
      <c r="F87" s="2109" t="str">
        <f>FHD_P_49</f>
        <v/>
      </c>
      <c r="G87" s="2110" t="s">
        <v>584</v>
      </c>
      <c r="H87" s="1202">
        <f>SUM(H88:H89)</f>
        <v>0</v>
      </c>
      <c r="I87" s="972">
        <f>SUM(I88:I89)</f>
        <v>0</v>
      </c>
      <c r="J87" s="512" t="str">
        <f>FHD_NOTE_P_49</f>
        <v/>
      </c>
      <c r="K87" s="957"/>
      <c r="L87" s="958"/>
      <c r="M87" s="958"/>
      <c r="N87" s="1133"/>
      <c r="O87" s="1133"/>
      <c r="P87" s="1133"/>
      <c r="Q87" s="1133"/>
      <c r="R87" s="958"/>
      <c r="S87" s="1133"/>
      <c r="T87" s="1133"/>
      <c r="U87" s="959"/>
      <c r="V87" s="1133"/>
      <c r="W87" s="1133"/>
      <c r="X87" s="1133"/>
      <c r="Y87" s="1133"/>
      <c r="Z87" s="1133"/>
      <c r="AA87" s="960"/>
      <c r="AB87" s="960"/>
      <c r="AC87" s="960"/>
      <c r="AD87" s="960"/>
      <c r="AE87" s="960"/>
    </row>
    <row s="16725" customFormat="1" customHeight="1" ht="18.75" hidden="1">
      <c r="A88" s="2495"/>
      <c r="B88" s="1133"/>
      <c r="C88" s="958"/>
      <c r="D88" s="956"/>
      <c r="E88" s="769" t="str">
        <f>FHD_NUM_P_50</f>
        <v/>
      </c>
      <c r="F88" s="2109" t="str">
        <f>FHD_P_50</f>
        <v/>
      </c>
      <c r="G88" s="2110" t="s">
        <v>584</v>
      </c>
      <c r="H88" s="1201"/>
      <c r="I88" s="800"/>
      <c r="J88" s="512" t="str">
        <f>FHD_NOTE_P_50</f>
        <v/>
      </c>
      <c r="K88" s="957"/>
      <c r="L88" s="958"/>
      <c r="M88" s="958"/>
      <c r="N88" s="1133"/>
      <c r="O88" s="1133"/>
      <c r="P88" s="1133"/>
      <c r="Q88" s="1133"/>
      <c r="R88" s="958"/>
      <c r="S88" s="1133"/>
      <c r="T88" s="1133"/>
      <c r="U88" s="959"/>
      <c r="V88" s="1133"/>
      <c r="W88" s="1133"/>
      <c r="X88" s="1133"/>
      <c r="Y88" s="1133"/>
      <c r="Z88" s="1133"/>
      <c r="AA88" s="960"/>
      <c r="AB88" s="960"/>
      <c r="AC88" s="960"/>
      <c r="AD88" s="960"/>
      <c r="AE88" s="960"/>
    </row>
    <row s="16725" customFormat="1" customHeight="1" ht="18.75" hidden="1">
      <c r="A89" s="2495"/>
      <c r="B89" s="1133"/>
      <c r="C89" s="958"/>
      <c r="D89" s="956"/>
      <c r="E89" s="769" t="str">
        <f>FHD_NUM_P_51</f>
        <v/>
      </c>
      <c r="F89" s="2109" t="str">
        <f>FHD_P_51</f>
        <v/>
      </c>
      <c r="G89" s="2110" t="s">
        <v>584</v>
      </c>
      <c r="H89" s="1201"/>
      <c r="I89" s="800"/>
      <c r="J89" s="512" t="str">
        <f>FHD_NOTE_P_51</f>
        <v/>
      </c>
      <c r="K89" s="957"/>
      <c r="L89" s="958"/>
      <c r="M89" s="958"/>
      <c r="N89" s="1133"/>
      <c r="O89" s="1133"/>
      <c r="P89" s="1133"/>
      <c r="Q89" s="1133"/>
      <c r="R89" s="958"/>
      <c r="S89" s="1133"/>
      <c r="T89" s="1133"/>
      <c r="U89" s="959"/>
      <c r="V89" s="1133"/>
      <c r="W89" s="1133"/>
      <c r="X89" s="1133"/>
      <c r="Y89" s="1133"/>
      <c r="Z89" s="1133"/>
      <c r="AA89" s="960"/>
      <c r="AB89" s="960"/>
      <c r="AC89" s="960"/>
      <c r="AD89" s="960"/>
      <c r="AE89" s="960"/>
    </row>
    <row s="16725" customFormat="1" customHeight="1" ht="18.75" hidden="1">
      <c r="A90" s="2495"/>
      <c r="B90" s="1133"/>
      <c r="C90" s="958"/>
      <c r="D90" s="956"/>
      <c r="E90" s="769" t="str">
        <f>FHD_NUM_P_52</f>
        <v/>
      </c>
      <c r="F90" s="2109" t="str">
        <f>FHD_P_52</f>
        <v/>
      </c>
      <c r="G90" s="2110" t="s">
        <v>561</v>
      </c>
      <c r="H90" s="1200"/>
      <c r="I90" s="780"/>
      <c r="J90" s="512" t="str">
        <f>FHD_NOTE_P_52</f>
        <v/>
      </c>
      <c r="K90" s="957"/>
      <c r="L90" s="958"/>
      <c r="M90" s="958"/>
      <c r="N90" s="1133"/>
      <c r="O90" s="1133"/>
      <c r="P90" s="1133"/>
      <c r="Q90" s="1133"/>
      <c r="R90" s="958"/>
      <c r="S90" s="1133"/>
      <c r="T90" s="1133"/>
      <c r="U90" s="959"/>
      <c r="V90" s="1133"/>
      <c r="W90" s="1133"/>
      <c r="X90" s="1133"/>
      <c r="Y90" s="1133"/>
      <c r="Z90" s="1133"/>
      <c r="AA90" s="960"/>
      <c r="AB90" s="960"/>
      <c r="AC90" s="960"/>
      <c r="AD90" s="960"/>
      <c r="AE90" s="960"/>
    </row>
    <row s="16716" customFormat="1" customHeight="1" ht="18.75">
      <c r="A91" s="2497" t="s">
        <v>585</v>
      </c>
      <c r="C91" s="958"/>
      <c r="D91" s="956"/>
      <c r="E91" s="769" t="str">
        <f>FHD_NUM_P_53</f>
        <v>7</v>
      </c>
      <c r="F91" s="2109" t="str">
        <f>FHD_P_53</f>
        <v>Объём приобретаемой холодной воды, используемой для горячего водоснабжения</v>
      </c>
      <c r="G91" s="2110" t="s">
        <v>584</v>
      </c>
      <c r="H91" s="1201"/>
      <c r="I91" s="800"/>
      <c r="J91" s="512" t="str">
        <f>FHD_NOTE_P_53</f>
        <v/>
      </c>
      <c r="K91" s="957"/>
      <c r="L91" s="958"/>
      <c r="M91" s="958"/>
      <c r="R91" s="958"/>
      <c r="U91" s="959"/>
      <c r="AA91" s="960"/>
      <c r="AB91" s="960"/>
      <c r="AC91" s="960"/>
      <c r="AD91" s="960"/>
      <c r="AE91" s="960"/>
    </row>
    <row s="16716" customFormat="1" customHeight="1" ht="18.75">
      <c r="A92" s="2497"/>
      <c r="C92" s="958"/>
      <c r="D92" s="956"/>
      <c r="E92" s="769" t="str">
        <f>FHD_NUM_P_54</f>
        <v>8</v>
      </c>
      <c r="F92" s="2109" t="str">
        <f>FHD_P_54</f>
        <v>Объём холодной воды, получаемой с применением собственных источников водозабора (скважин) и используемой для горячего водоснабжения</v>
      </c>
      <c r="G92" s="2110" t="s">
        <v>584</v>
      </c>
      <c r="H92" s="1201"/>
      <c r="I92" s="800"/>
      <c r="J92" s="512" t="str">
        <f>FHD_NOTE_P_54</f>
        <v/>
      </c>
      <c r="K92" s="957"/>
      <c r="L92" s="958"/>
      <c r="M92" s="958"/>
      <c r="R92" s="958"/>
      <c r="U92" s="959"/>
      <c r="AA92" s="960"/>
      <c r="AB92" s="960"/>
      <c r="AC92" s="960"/>
      <c r="AD92" s="960"/>
      <c r="AE92" s="960"/>
    </row>
    <row s="16716" customFormat="1" customHeight="1" ht="18.75">
      <c r="A93" s="2497"/>
      <c r="C93" s="958"/>
      <c r="D93" s="961"/>
      <c r="E93" s="769" t="str">
        <f>FHD_NUM_P_55</f>
        <v>9</v>
      </c>
      <c r="F93" s="2109" t="str">
        <f>FHD_P_55</f>
        <v>Объём приобретаемой тепловой энергии (мощности), используемой для горячего водоснабжения</v>
      </c>
      <c r="G93" s="2113"/>
      <c r="H93" s="1201"/>
      <c r="I93" s="800"/>
      <c r="J93" s="512" t="str">
        <f>FHD_NOTE_P_55</f>
        <v/>
      </c>
      <c r="K93" s="957"/>
      <c r="L93" s="958"/>
      <c r="M93" s="958"/>
      <c r="R93" s="958"/>
      <c r="U93" s="959"/>
      <c r="AA93" s="960"/>
      <c r="AB93" s="960"/>
      <c r="AC93" s="960"/>
      <c r="AD93" s="960"/>
      <c r="AE93" s="960"/>
    </row>
    <row s="16716" customFormat="1" customHeight="1" ht="18.75">
      <c r="A94" s="2497"/>
      <c r="C94" s="958"/>
      <c r="D94" s="956"/>
      <c r="E94" s="769" t="str">
        <f>FHD_NUM_P_56</f>
        <v>10</v>
      </c>
      <c r="F94" s="2109" t="str">
        <f>FHD_P_56</f>
        <v>Объём тепловой энергии, производимой с применением собственных источников и используемой для горячего водоснабжения</v>
      </c>
      <c r="G94" s="2110" t="s">
        <v>586</v>
      </c>
      <c r="H94" s="1201"/>
      <c r="I94" s="800"/>
      <c r="J94" s="512" t="str">
        <f>FHD_NOTE_P_56</f>
        <v/>
      </c>
      <c r="K94" s="957"/>
      <c r="L94" s="958"/>
      <c r="M94" s="958"/>
      <c r="R94" s="958"/>
      <c r="U94" s="959"/>
      <c r="AA94" s="960"/>
      <c r="AB94" s="960"/>
      <c r="AC94" s="960"/>
      <c r="AD94" s="960"/>
      <c r="AE94" s="960"/>
    </row>
    <row s="16725" customFormat="1" customHeight="1" ht="18.75">
      <c r="A95" s="2497"/>
      <c r="B95" s="1133"/>
      <c r="C95" s="958"/>
      <c r="D95" s="956"/>
      <c r="E95" s="769" t="str">
        <f>FHD_NUM_P_57</f>
        <v>11</v>
      </c>
      <c r="F95" s="2109" t="str">
        <f>FHD_P_57</f>
        <v>Потери горячей воды в сетях (процентов)</v>
      </c>
      <c r="G95" s="2110" t="s">
        <v>561</v>
      </c>
      <c r="H95" s="1200"/>
      <c r="I95" s="780"/>
      <c r="J95" s="512" t="str">
        <f>FHD_NOTE_P_57</f>
        <v/>
      </c>
      <c r="K95" s="957"/>
      <c r="L95" s="958"/>
      <c r="M95" s="958"/>
      <c r="N95" s="1133"/>
      <c r="O95" s="1133"/>
      <c r="P95" s="1133"/>
      <c r="Q95" s="1133"/>
      <c r="R95" s="958"/>
      <c r="S95" s="1133"/>
      <c r="T95" s="1133"/>
      <c r="U95" s="959"/>
      <c r="V95" s="1133"/>
      <c r="W95" s="1133"/>
      <c r="X95" s="1133"/>
      <c r="Y95" s="1133"/>
      <c r="Z95" s="1133"/>
      <c r="AA95" s="960"/>
      <c r="AB95" s="960"/>
      <c r="AC95" s="960"/>
      <c r="AD95" s="960"/>
      <c r="AE95" s="960"/>
    </row>
    <row customHeight="1" ht="18.75" hidden="1">
      <c r="A96" s="2495" t="s">
        <v>587</v>
      </c>
      <c r="D96" s="1866"/>
      <c r="E96" s="769" t="str">
        <f>FHD_NUM_P_58</f>
        <v/>
      </c>
      <c r="F96" s="2109" t="str">
        <f>FHD_P_58</f>
        <v/>
      </c>
      <c r="G96" s="2110" t="s">
        <v>584</v>
      </c>
      <c r="H96" s="1201"/>
      <c r="I96" s="800"/>
      <c r="J96" s="512" t="str">
        <f>FHD_NOTE_P_58</f>
        <v/>
      </c>
      <c r="K96" s="766"/>
    </row>
    <row customHeight="1" ht="18.75" hidden="1">
      <c r="A97" s="2495"/>
      <c r="D97" s="1866"/>
      <c r="E97" s="769" t="str">
        <f>FHD_NUM_P_59</f>
        <v/>
      </c>
      <c r="F97" s="2109" t="str">
        <f>FHD_P_59</f>
        <v/>
      </c>
      <c r="G97" s="2110" t="s">
        <v>584</v>
      </c>
      <c r="H97" s="1201"/>
      <c r="I97" s="800"/>
      <c r="J97" s="512" t="str">
        <f>FHD_NOTE_P_59</f>
        <v/>
      </c>
      <c r="K97" s="766"/>
    </row>
    <row customHeight="1" ht="18.75" hidden="1">
      <c r="A98" s="2495"/>
      <c r="D98" s="1866"/>
      <c r="E98" s="769" t="str">
        <f>FHD_NUM_P_60</f>
        <v/>
      </c>
      <c r="F98" s="2109" t="str">
        <f>FHD_P_60</f>
        <v/>
      </c>
      <c r="G98" s="2110" t="s">
        <v>584</v>
      </c>
      <c r="H98" s="1201"/>
      <c r="I98" s="800"/>
      <c r="J98" s="512" t="str">
        <f>FHD_NOTE_P_60</f>
        <v/>
      </c>
      <c r="K98" s="766"/>
    </row>
    <row s="13533" customFormat="1" customHeight="1" ht="18.75" hidden="1">
      <c r="A99" s="2495" t="s">
        <v>588</v>
      </c>
      <c r="C99" s="1864"/>
      <c r="D99" s="1866"/>
      <c r="E99" s="769" t="str">
        <f>FHD_NUM_P_61</f>
        <v/>
      </c>
      <c r="F99" s="2109" t="str">
        <f>FHD_P_61</f>
        <v/>
      </c>
      <c r="G99" s="2107" t="s">
        <v>559</v>
      </c>
      <c r="H99" s="1203"/>
      <c r="I99" s="965"/>
      <c r="J99" s="512" t="str">
        <f>FHD_NOTE_P_61</f>
        <v/>
      </c>
      <c r="K99" s="766"/>
      <c r="L99" s="1864"/>
      <c r="M99" s="1864"/>
      <c r="R99" s="1864"/>
      <c r="U99" s="767"/>
      <c r="AA99" s="1860"/>
      <c r="AB99" s="1860"/>
      <c r="AC99" s="1860"/>
      <c r="AD99" s="1860"/>
      <c r="AE99" s="1860"/>
    </row>
    <row s="13659" customFormat="1" customHeight="1" ht="0.75" hidden="1">
      <c r="A100" s="2495"/>
      <c r="D100" s="771"/>
      <c r="E100" s="1237" t="str">
        <f>E99&amp;".0"</f>
        <v>.0</v>
      </c>
      <c r="F100" s="1218"/>
      <c r="G100" s="1219"/>
      <c r="H100" s="1216"/>
      <c r="I100" s="1216"/>
      <c r="J100" s="1220"/>
    </row>
    <row customHeight="1" ht="15" hidden="1">
      <c r="A101" s="2495"/>
      <c r="D101" s="1861"/>
      <c r="E101" s="1195"/>
      <c r="F101" s="1196" t="s">
        <v>589</v>
      </c>
      <c r="G101" s="795"/>
      <c r="H101" s="796"/>
      <c r="I101" s="796"/>
      <c r="J101" s="1228" t="s">
        <v>590</v>
      </c>
      <c r="K101" s="766"/>
    </row>
    <row s="13533" customFormat="1" customHeight="1" ht="18.75" hidden="1">
      <c r="A102" s="2495"/>
      <c r="C102" s="1864"/>
      <c r="D102" s="1866"/>
      <c r="E102" s="769" t="str">
        <f>FHD_NUM_P_62</f>
        <v/>
      </c>
      <c r="F102" s="2109" t="str">
        <f>FHD_P_62</f>
        <v/>
      </c>
      <c r="G102" s="2106" t="s">
        <v>559</v>
      </c>
      <c r="H102" s="780"/>
      <c r="I102" s="780"/>
      <c r="J102" s="512" t="str">
        <f>FHD_NOTE_P_62</f>
        <v/>
      </c>
      <c r="K102" s="766"/>
      <c r="L102" s="1864"/>
      <c r="M102" s="1864"/>
      <c r="R102" s="1864"/>
      <c r="U102" s="767"/>
      <c r="AA102" s="1860"/>
      <c r="AB102" s="1860"/>
      <c r="AC102" s="1860"/>
      <c r="AD102" s="1860"/>
      <c r="AE102" s="1860"/>
    </row>
    <row s="13533" customFormat="1" customHeight="1" ht="18.75" hidden="1">
      <c r="A103" s="2495"/>
      <c r="C103" s="1864"/>
      <c r="D103" s="1866"/>
      <c r="E103" s="769" t="str">
        <f>FHD_NUM_P_63</f>
        <v/>
      </c>
      <c r="F103" s="2109" t="str">
        <f>FHD_P_63</f>
        <v/>
      </c>
      <c r="G103" s="2106" t="s">
        <v>586</v>
      </c>
      <c r="H103" s="800"/>
      <c r="I103" s="800"/>
      <c r="J103" s="512" t="str">
        <f>FHD_NOTE_P_63</f>
        <v/>
      </c>
      <c r="K103" s="766"/>
      <c r="L103" s="1864"/>
      <c r="M103" s="1864"/>
      <c r="R103" s="1864"/>
      <c r="U103" s="767"/>
      <c r="AA103" s="1860"/>
      <c r="AB103" s="1860"/>
      <c r="AC103" s="1860"/>
      <c r="AD103" s="1860"/>
      <c r="AE103" s="1860"/>
    </row>
    <row s="13533" customFormat="1" customHeight="1" ht="18.75" hidden="1">
      <c r="A104" s="2495"/>
      <c r="C104" s="1864" t="s">
        <v>591</v>
      </c>
      <c r="D104" s="1866"/>
      <c r="E104" s="769" t="str">
        <f>FHD_NUM_P_64</f>
        <v/>
      </c>
      <c r="F104" s="2109" t="str">
        <f>FHD_P_64</f>
        <v/>
      </c>
      <c r="G104" s="2106" t="s">
        <v>586</v>
      </c>
      <c r="H104" s="768"/>
      <c r="I104" s="768"/>
      <c r="J104" s="512" t="str">
        <f>FHD_NOTE_P_64</f>
        <v/>
      </c>
      <c r="K104" s="766"/>
      <c r="L104" s="1864"/>
      <c r="M104" s="1864"/>
      <c r="R104" s="1864"/>
      <c r="U104" s="767"/>
      <c r="AA104" s="1860"/>
      <c r="AB104" s="1860"/>
      <c r="AC104" s="1860"/>
      <c r="AD104" s="1860"/>
      <c r="AE104" s="1860"/>
    </row>
    <row s="13533" customFormat="1" customHeight="1" ht="18.75" hidden="1">
      <c r="A105" s="2495"/>
      <c r="C105" s="1864"/>
      <c r="D105" s="1866"/>
      <c r="E105" s="769" t="str">
        <f>FHD_NUM_P_65</f>
        <v/>
      </c>
      <c r="F105" s="2109" t="str">
        <f>FHD_P_65</f>
        <v/>
      </c>
      <c r="G105" s="2106" t="s">
        <v>586</v>
      </c>
      <c r="H105" s="800"/>
      <c r="I105" s="800"/>
      <c r="J105" s="512" t="str">
        <f>FHD_NOTE_P_65</f>
        <v/>
      </c>
      <c r="K105" s="766"/>
      <c r="L105" s="1864"/>
      <c r="M105" s="1864"/>
      <c r="R105" s="1864"/>
      <c r="U105" s="767"/>
      <c r="AA105" s="1860"/>
      <c r="AB105" s="1860"/>
      <c r="AC105" s="1860"/>
      <c r="AD105" s="1860"/>
      <c r="AE105" s="1860"/>
    </row>
    <row s="13533" customFormat="1" customHeight="1" ht="18.75" hidden="1">
      <c r="A106" s="2495"/>
      <c r="C106" s="1864"/>
      <c r="D106" s="1866"/>
      <c r="E106" s="769" t="str">
        <f>FHD_NUM_P_66</f>
        <v/>
      </c>
      <c r="F106" s="1752" t="str">
        <f>FHD_P_66</f>
        <v/>
      </c>
      <c r="G106" s="2106" t="s">
        <v>586</v>
      </c>
      <c r="H106" s="800"/>
      <c r="I106" s="800"/>
      <c r="J106" s="512" t="str">
        <f>FHD_NOTE_P_66</f>
        <v/>
      </c>
      <c r="K106" s="766"/>
      <c r="L106" s="1864"/>
      <c r="M106" s="1864"/>
      <c r="R106" s="1864"/>
      <c r="U106" s="767"/>
      <c r="AA106" s="1860"/>
      <c r="AB106" s="1860"/>
      <c r="AC106" s="1860"/>
      <c r="AD106" s="1860"/>
      <c r="AE106" s="1860"/>
    </row>
    <row s="13533" customFormat="1" customHeight="1" ht="18.75" hidden="1">
      <c r="A107" s="2495"/>
      <c r="C107" s="1864"/>
      <c r="D107" s="1866"/>
      <c r="E107" s="769" t="str">
        <f>FHD_NUM_P_67</f>
        <v/>
      </c>
      <c r="F107" s="1878" t="str">
        <f>FHD_P_67</f>
        <v/>
      </c>
      <c r="G107" s="2106" t="s">
        <v>586</v>
      </c>
      <c r="H107" s="800"/>
      <c r="I107" s="800"/>
      <c r="J107" s="512" t="str">
        <f>FHD_NOTE_P_67</f>
        <v/>
      </c>
      <c r="K107" s="766"/>
      <c r="L107" s="1864"/>
      <c r="M107" s="1864"/>
      <c r="R107" s="1864"/>
      <c r="U107" s="767"/>
      <c r="AA107" s="1860"/>
      <c r="AB107" s="1860"/>
      <c r="AC107" s="1860"/>
      <c r="AD107" s="1860"/>
      <c r="AE107" s="1860"/>
    </row>
    <row s="13533" customFormat="1" customHeight="1" ht="18.75" hidden="1">
      <c r="A108" s="2495"/>
      <c r="C108" s="1864"/>
      <c r="D108" s="1866"/>
      <c r="E108" s="769" t="str">
        <f>FHD_NUM_P_68</f>
        <v/>
      </c>
      <c r="F108" s="1752" t="str">
        <f>FHD_P_68</f>
        <v/>
      </c>
      <c r="G108" s="2106" t="s">
        <v>586</v>
      </c>
      <c r="H108" s="800"/>
      <c r="I108" s="800"/>
      <c r="J108" s="512" t="str">
        <f>FHD_NOTE_P_68</f>
        <v/>
      </c>
      <c r="K108" s="766"/>
      <c r="L108" s="1864"/>
      <c r="M108" s="1864"/>
      <c r="R108" s="1864"/>
      <c r="U108" s="767"/>
      <c r="AA108" s="1860"/>
      <c r="AB108" s="1860"/>
      <c r="AC108" s="1860"/>
      <c r="AD108" s="1860"/>
      <c r="AE108" s="1860"/>
    </row>
    <row s="13533" customFormat="1" customHeight="1" ht="18.75" hidden="1">
      <c r="A109" s="2495"/>
      <c r="C109" s="1864"/>
      <c r="D109" s="1866"/>
      <c r="E109" s="769" t="str">
        <f>FHD_NUM_P_69</f>
        <v/>
      </c>
      <c r="F109" s="1752" t="str">
        <f>FHD_P_69</f>
        <v/>
      </c>
      <c r="G109" s="2106" t="s">
        <v>586</v>
      </c>
      <c r="H109" s="800"/>
      <c r="I109" s="800"/>
      <c r="J109" s="512" t="str">
        <f>FHD_NOTE_P_69</f>
        <v/>
      </c>
      <c r="K109" s="766"/>
      <c r="L109" s="1864"/>
      <c r="M109" s="1864"/>
      <c r="R109" s="1864"/>
      <c r="U109" s="767"/>
      <c r="AA109" s="1860"/>
      <c r="AB109" s="1860"/>
      <c r="AC109" s="1860"/>
      <c r="AD109" s="1860"/>
      <c r="AE109" s="1860"/>
    </row>
    <row s="13533" customFormat="1" customHeight="1" ht="22.5" hidden="1">
      <c r="A110" s="2495"/>
      <c r="C110" s="1864"/>
      <c r="D110" s="1866"/>
      <c r="E110" s="769" t="str">
        <f>FHD_NUM_P_70</f>
        <v/>
      </c>
      <c r="F110" s="2109" t="str">
        <f>FHD_P_70</f>
        <v/>
      </c>
      <c r="G110" s="2106" t="s">
        <v>592</v>
      </c>
      <c r="H110" s="780"/>
      <c r="I110" s="780"/>
      <c r="J110" s="512" t="str">
        <f>FHD_NOTE_P_70</f>
        <v/>
      </c>
      <c r="K110" s="766"/>
      <c r="L110" s="1864"/>
      <c r="M110" s="1864"/>
      <c r="R110" s="1864"/>
      <c r="U110" s="767"/>
      <c r="AA110" s="1860"/>
      <c r="AB110" s="1860"/>
      <c r="AC110" s="1860"/>
      <c r="AD110" s="1860"/>
      <c r="AE110" s="1860"/>
    </row>
    <row s="13533" customFormat="1" customHeight="1" ht="22.5" hidden="1">
      <c r="A111" s="2495"/>
      <c r="C111" s="1864"/>
      <c r="D111" s="1866"/>
      <c r="E111" s="769" t="str">
        <f>FHD_NUM_P_71</f>
        <v/>
      </c>
      <c r="F111" s="2109" t="str">
        <f>FHD_P_71</f>
        <v/>
      </c>
      <c r="G111" s="2106" t="s">
        <v>592</v>
      </c>
      <c r="H111" s="780"/>
      <c r="I111" s="780"/>
      <c r="J111" s="512" t="str">
        <f>FHD_NOTE_P_71</f>
        <v/>
      </c>
      <c r="K111" s="766"/>
      <c r="L111" s="1864"/>
      <c r="M111" s="1864"/>
      <c r="R111" s="1864"/>
      <c r="U111" s="767"/>
      <c r="AA111" s="1860"/>
      <c r="AB111" s="1860"/>
      <c r="AC111" s="1860"/>
      <c r="AD111" s="1860"/>
      <c r="AE111" s="1860"/>
    </row>
    <row customHeight="1" ht="18.75">
      <c r="D112" s="1866"/>
      <c r="E112" s="769" t="str">
        <f>FHD_NUM_P_72</f>
        <v>12</v>
      </c>
      <c r="F112" s="2109" t="str">
        <f>FHD_P_72</f>
        <v>Среднесписочная численность основного производственного персонала</v>
      </c>
      <c r="G112" s="2105" t="s">
        <v>593</v>
      </c>
      <c r="H112" s="800"/>
      <c r="I112" s="800"/>
      <c r="J112" s="512" t="str">
        <f>FHD_NOTE_P_72</f>
        <v/>
      </c>
      <c r="K112" s="766"/>
    </row>
    <row customHeight="1" ht="18.75" hidden="1">
      <c r="A113" s="1213" t="s">
        <v>594</v>
      </c>
      <c r="D113" s="1866"/>
      <c r="E113" s="769" t="str">
        <f>FHD_NUM_P_73</f>
        <v/>
      </c>
      <c r="F113" s="2109" t="str">
        <f>FHD_P_73</f>
        <v/>
      </c>
      <c r="G113" s="1194" t="s">
        <v>593</v>
      </c>
      <c r="H113" s="1192"/>
      <c r="I113" s="1192"/>
      <c r="J113" s="512" t="str">
        <f>FHD_NOTE_P_73</f>
        <v/>
      </c>
      <c r="K113" s="766"/>
    </row>
    <row customHeight="1" ht="33.75">
      <c r="A114" s="1213" t="s">
        <v>595</v>
      </c>
      <c r="D114" s="1866"/>
      <c r="E114" s="769" t="str">
        <f>FHD_NUM_P_74</f>
        <v>13</v>
      </c>
      <c r="F114" s="2109" t="str">
        <f>FHD_P_74</f>
        <v>Удельный расход электрической энергии на подачу воды в сеть</v>
      </c>
      <c r="G114" s="2105" t="s">
        <v>596</v>
      </c>
      <c r="H114" s="800"/>
      <c r="I114" s="800"/>
      <c r="J114" s="512" t="str">
        <f>FHD_NOTE_P_74</f>
        <v/>
      </c>
      <c r="K114" s="766"/>
    </row>
    <row s="16725" customFormat="1" customHeight="1" ht="18.75" hidden="1">
      <c r="A115" s="2497" t="s">
        <v>597</v>
      </c>
      <c r="B115" s="1133"/>
      <c r="C115" s="958"/>
      <c r="D115" s="956"/>
      <c r="E115" s="769" t="str">
        <f>FHD_NUM_P_75</f>
        <v/>
      </c>
      <c r="F115" s="2109" t="str">
        <f>FHD_P_75</f>
        <v/>
      </c>
      <c r="G115" s="2105" t="s">
        <v>561</v>
      </c>
      <c r="H115" s="780"/>
      <c r="I115" s="780"/>
      <c r="J115" s="512" t="str">
        <f>FHD_NOTE_P_75</f>
        <v/>
      </c>
      <c r="K115" s="957"/>
      <c r="L115" s="958"/>
      <c r="M115" s="958"/>
      <c r="N115" s="1133"/>
      <c r="O115" s="1133"/>
      <c r="P115" s="1133"/>
      <c r="Q115" s="1133"/>
      <c r="R115" s="958"/>
      <c r="S115" s="1133"/>
      <c r="T115" s="1133"/>
      <c r="U115" s="959"/>
      <c r="V115" s="1133"/>
      <c r="W115" s="1133"/>
      <c r="X115" s="1133"/>
      <c r="Y115" s="1133"/>
      <c r="Z115" s="1133"/>
      <c r="AA115" s="960"/>
      <c r="AB115" s="960"/>
      <c r="AC115" s="960"/>
      <c r="AD115" s="960"/>
      <c r="AE115" s="960"/>
    </row>
    <row s="16725" customFormat="1" customHeight="1" ht="18.75" hidden="1">
      <c r="A116" s="2497"/>
      <c r="B116" s="1133"/>
      <c r="C116" s="958"/>
      <c r="D116" s="956"/>
      <c r="E116" s="769" t="str">
        <f>FHD_NUM_P_76</f>
        <v/>
      </c>
      <c r="F116" s="2109" t="str">
        <f>FHD_P_76</f>
        <v/>
      </c>
      <c r="G116" s="2105" t="s">
        <v>561</v>
      </c>
      <c r="H116" s="780"/>
      <c r="I116" s="780"/>
      <c r="J116" s="512" t="str">
        <f>FHD_NOTE_P_76</f>
        <v/>
      </c>
      <c r="K116" s="957"/>
      <c r="L116" s="958"/>
      <c r="M116" s="958"/>
      <c r="N116" s="1133"/>
      <c r="O116" s="1133"/>
      <c r="P116" s="1133"/>
      <c r="Q116" s="1133"/>
      <c r="R116" s="958"/>
      <c r="S116" s="1133"/>
      <c r="T116" s="1133"/>
      <c r="U116" s="959"/>
      <c r="V116" s="1133"/>
      <c r="W116" s="1133"/>
      <c r="X116" s="1133"/>
      <c r="Y116" s="1133"/>
      <c r="Z116" s="1133"/>
      <c r="AA116" s="960"/>
      <c r="AB116" s="960"/>
      <c r="AC116" s="960"/>
      <c r="AD116" s="960"/>
      <c r="AE116" s="960"/>
    </row>
    <row s="16725" customFormat="1" customHeight="1" ht="18.75" hidden="1">
      <c r="A117" s="2497"/>
      <c r="B117" s="1133"/>
      <c r="C117" s="958"/>
      <c r="D117" s="956"/>
      <c r="E117" s="769" t="str">
        <f>FHD_NUM_P_77</f>
        <v/>
      </c>
      <c r="F117" s="2109" t="str">
        <f>FHD_P_77</f>
        <v/>
      </c>
      <c r="G117" s="2105" t="s">
        <v>561</v>
      </c>
      <c r="H117" s="780"/>
      <c r="I117" s="780"/>
      <c r="J117" s="512" t="str">
        <f>FHD_NOTE_P_77</f>
        <v/>
      </c>
      <c r="K117" s="957"/>
      <c r="L117" s="958"/>
      <c r="M117" s="958"/>
      <c r="N117" s="1133"/>
      <c r="O117" s="1133"/>
      <c r="P117" s="1133"/>
      <c r="Q117" s="1133"/>
      <c r="R117" s="958"/>
      <c r="S117" s="1133"/>
      <c r="T117" s="1133"/>
      <c r="U117" s="959"/>
      <c r="V117" s="1133"/>
      <c r="W117" s="1133"/>
      <c r="X117" s="1133"/>
      <c r="Y117" s="1133"/>
      <c r="Z117" s="1133"/>
      <c r="AA117" s="960"/>
      <c r="AB117" s="960"/>
      <c r="AC117" s="960"/>
      <c r="AD117" s="960"/>
      <c r="AE117" s="960"/>
    </row>
    <row s="13659" customFormat="1" customHeight="1" ht="0.75" hidden="1">
      <c r="A118" s="2497"/>
      <c r="D118" s="771"/>
      <c r="E118" s="1237" t="str">
        <f>E117&amp;".0"</f>
        <v>.0</v>
      </c>
      <c r="F118" s="1221"/>
      <c r="G118" s="1879"/>
      <c r="H118" s="1216"/>
      <c r="I118" s="1216"/>
      <c r="J118" s="1220"/>
    </row>
    <row s="16725" customFormat="1" customHeight="1" ht="15" hidden="1">
      <c r="A119" s="2497"/>
      <c r="B119" s="1133"/>
      <c r="C119" s="958"/>
      <c r="D119" s="969"/>
      <c r="E119" s="1197"/>
      <c r="F119" s="1198" t="s">
        <v>598</v>
      </c>
      <c r="G119" s="970"/>
      <c r="H119" s="971"/>
      <c r="I119" s="971"/>
      <c r="J119" s="1227" t="s">
        <v>599</v>
      </c>
      <c r="K119" s="957"/>
      <c r="L119" s="958"/>
      <c r="M119" s="958"/>
      <c r="N119" s="1133"/>
      <c r="O119" s="1133"/>
      <c r="P119" s="1133"/>
      <c r="Q119" s="1133"/>
      <c r="R119" s="958"/>
      <c r="S119" s="1133"/>
      <c r="T119" s="1133"/>
      <c r="U119" s="959"/>
      <c r="V119" s="1133"/>
      <c r="W119" s="1133"/>
      <c r="X119" s="1133"/>
      <c r="Y119" s="1133"/>
      <c r="Z119" s="1133"/>
      <c r="AA119" s="960"/>
      <c r="AB119" s="960"/>
      <c r="AC119" s="960"/>
      <c r="AD119" s="960"/>
      <c r="AE119" s="960"/>
    </row>
    <row customHeight="1" ht="22.5" hidden="1">
      <c r="A120" s="2495" t="s">
        <v>600</v>
      </c>
      <c r="D120" s="1866"/>
      <c r="E120" s="769" t="str">
        <f>FHD_NUM_P_78</f>
        <v/>
      </c>
      <c r="F120" s="2109" t="str">
        <f>FHD_P_78</f>
        <v/>
      </c>
      <c r="G120" s="2106" t="s">
        <v>563</v>
      </c>
      <c r="H120" s="800"/>
      <c r="I120" s="800"/>
      <c r="J120" s="512" t="str">
        <f>FHD_NOTE_P_78</f>
        <v/>
      </c>
      <c r="K120" s="766"/>
    </row>
    <row s="13659" customFormat="1" customHeight="1" ht="0.75" hidden="1">
      <c r="A121" s="2495"/>
      <c r="D121" s="771"/>
      <c r="E121" s="1237" t="str">
        <f>E120&amp;".0"</f>
        <v>.0</v>
      </c>
      <c r="F121" s="1221"/>
      <c r="G121" s="1879"/>
      <c r="H121" s="1216"/>
      <c r="I121" s="1216"/>
      <c r="J121" s="1220"/>
    </row>
    <row customHeight="1" ht="15" hidden="1">
      <c r="A122" s="2495"/>
      <c r="D122" s="1861"/>
      <c r="E122" s="793"/>
      <c r="F122" s="1393" t="s">
        <v>589</v>
      </c>
      <c r="G122" s="795"/>
      <c r="H122" s="796"/>
      <c r="I122" s="796"/>
      <c r="J122" s="1228" t="s">
        <v>601</v>
      </c>
      <c r="K122" s="766"/>
    </row>
    <row customHeight="1" ht="22.5" hidden="1">
      <c r="A123" s="2495"/>
      <c r="D123" s="1866"/>
      <c r="E123" s="769" t="str">
        <f>FHD_NUM_P_79</f>
        <v/>
      </c>
      <c r="F123" s="2109" t="str">
        <f>FHD_P_79</f>
        <v/>
      </c>
      <c r="G123" s="2107" t="s">
        <v>565</v>
      </c>
      <c r="H123" s="800"/>
      <c r="I123" s="800"/>
      <c r="J123" s="512" t="str">
        <f>FHD_NOTE_P_79</f>
        <v/>
      </c>
      <c r="K123" s="766"/>
    </row>
    <row s="13659" customFormat="1" customHeight="1" ht="0.75" hidden="1">
      <c r="A124" s="2495"/>
      <c r="D124" s="771"/>
      <c r="E124" s="1237" t="str">
        <f>E123&amp;".0"</f>
        <v>.0</v>
      </c>
      <c r="F124" s="1222"/>
      <c r="G124" s="1879"/>
      <c r="H124" s="1216"/>
      <c r="I124" s="1216"/>
      <c r="J124" s="1220"/>
    </row>
    <row customHeight="1" ht="15" hidden="1">
      <c r="A125" s="2495"/>
      <c r="D125" s="1861"/>
      <c r="E125" s="793"/>
      <c r="F125" s="1393" t="s">
        <v>589</v>
      </c>
      <c r="G125" s="795"/>
      <c r="H125" s="796"/>
      <c r="I125" s="796"/>
      <c r="J125" s="1228" t="s">
        <v>602</v>
      </c>
      <c r="K125" s="766"/>
    </row>
    <row customHeight="1" ht="22.5" hidden="1">
      <c r="A126" s="2495"/>
      <c r="D126" s="1866"/>
      <c r="E126" s="769" t="str">
        <f>FHD_NUM_P_80</f>
        <v/>
      </c>
      <c r="F126" s="2109" t="str">
        <f>FHD_P_80</f>
        <v/>
      </c>
      <c r="G126" s="2107" t="s">
        <v>603</v>
      </c>
      <c r="H126" s="780"/>
      <c r="I126" s="780"/>
      <c r="J126" s="512" t="str">
        <f>FHD_NOTE_P_80</f>
        <v/>
      </c>
      <c r="K126" s="766"/>
    </row>
    <row customHeight="1" ht="18.75" hidden="1">
      <c r="A127" s="2495"/>
      <c r="D127" s="1866"/>
      <c r="E127" s="769" t="str">
        <f>FHD_NUM_P_81</f>
        <v/>
      </c>
      <c r="F127" s="2109" t="str">
        <f>FHD_P_81</f>
        <v/>
      </c>
      <c r="G127" s="2107" t="s">
        <v>604</v>
      </c>
      <c r="H127" s="780"/>
      <c r="I127" s="780"/>
      <c r="J127" s="512" t="str">
        <f>FHD_NOTE_P_81</f>
        <v/>
      </c>
      <c r="K127" s="766"/>
    </row>
    <row customHeight="1" ht="18.75" hidden="1">
      <c r="A128" s="2495"/>
      <c r="C128" s="1864" t="s">
        <v>591</v>
      </c>
      <c r="D128" s="1866"/>
      <c r="E128" s="769" t="str">
        <f>FHD_NUM_P_82</f>
        <v/>
      </c>
      <c r="F128" s="2109" t="str">
        <f>FHD_P_82</f>
        <v/>
      </c>
      <c r="G128" s="2107" t="s">
        <v>307</v>
      </c>
      <c r="H128" s="624"/>
      <c r="I128" s="624"/>
      <c r="J128" s="512" t="str">
        <f>FHD_NOTE_P_82</f>
        <v/>
      </c>
      <c r="K128" s="766"/>
    </row>
    <row customHeight="1" ht="18.75" hidden="1">
      <c r="A129" s="2495"/>
      <c r="C129" s="1864" t="s">
        <v>591</v>
      </c>
      <c r="D129" s="1866"/>
      <c r="E129" s="769" t="str">
        <f>FHD_NUM_P_83</f>
        <v/>
      </c>
      <c r="F129" s="1752" t="str">
        <f>FHD_P_83</f>
        <v/>
      </c>
      <c r="G129" s="2107" t="s">
        <v>307</v>
      </c>
      <c r="H129" s="624"/>
      <c r="I129" s="624"/>
      <c r="J129" s="512" t="str">
        <f>FHD_NOTE_P_83</f>
        <v/>
      </c>
      <c r="K129" s="766"/>
    </row>
    <row customHeight="1" ht="18.75" hidden="1">
      <c r="A130" s="2495"/>
      <c r="C130" s="1864" t="s">
        <v>591</v>
      </c>
      <c r="D130" s="1866"/>
      <c r="E130" s="769" t="str">
        <f>FHD_NUM_P_84</f>
        <v/>
      </c>
      <c r="F130" s="1752" t="str">
        <f>FHD_P_84</f>
        <v/>
      </c>
      <c r="G130" s="2107" t="s">
        <v>307</v>
      </c>
      <c r="H130" s="624"/>
      <c r="I130" s="624"/>
      <c r="J130" s="512" t="str">
        <f>FHD_NOTE_P_84</f>
        <v/>
      </c>
      <c r="K130" s="766"/>
    </row>
    <row customHeight="1" ht="11.25">
      <c r="D131" s="1866"/>
    </row>
    <row customHeight="1" ht="12.75">
      <c r="D132" s="1866"/>
      <c r="E132" s="559"/>
      <c r="F132" s="592"/>
      <c r="G132" s="592"/>
      <c r="H132" s="592"/>
      <c r="I132" s="1875"/>
      <c r="J132" s="804"/>
    </row>
    <row s="13656" customFormat="1" customHeight="1" ht="11.25">
      <c r="A133" s="1211"/>
      <c r="B133" s="1864"/>
      <c r="C133" s="1864"/>
      <c r="D133" s="574"/>
      <c r="F133" s="1868"/>
      <c r="G133" s="1859"/>
      <c r="H133" s="1859"/>
      <c r="I133" s="1859"/>
      <c r="K133" s="1385"/>
      <c r="L133" s="1864"/>
      <c r="M133" s="1864"/>
      <c r="N133" s="1385"/>
      <c r="O133" s="1385"/>
      <c r="P133" s="1385"/>
      <c r="Q133" s="1385"/>
      <c r="R133" s="1864"/>
      <c r="S133" s="1385"/>
      <c r="T133" s="1385"/>
      <c r="U133" s="767"/>
      <c r="V133" s="1385"/>
      <c r="W133" s="1385"/>
      <c r="X133" s="1385"/>
      <c r="Y133" s="1385"/>
      <c r="Z133" s="1385"/>
      <c r="AA133" s="1860"/>
      <c r="AB133" s="789"/>
      <c r="AC133" s="789"/>
      <c r="AD133" s="789"/>
      <c r="AE133" s="789"/>
    </row>
    <row s="13656" customFormat="1" customHeight="1" ht="11.25">
      <c r="A134" s="1211"/>
      <c r="B134" s="1864"/>
      <c r="C134" s="1864"/>
      <c r="D134" s="574"/>
      <c r="K134" s="1385"/>
      <c r="L134" s="1864"/>
      <c r="M134" s="1864"/>
      <c r="N134" s="1385"/>
      <c r="O134" s="1385"/>
      <c r="P134" s="1385"/>
      <c r="Q134" s="1385"/>
      <c r="R134" s="1864"/>
      <c r="S134" s="1385"/>
      <c r="T134" s="1385"/>
      <c r="U134" s="767"/>
      <c r="V134" s="1385"/>
      <c r="W134" s="1385"/>
      <c r="X134" s="1385"/>
      <c r="Y134" s="1385"/>
      <c r="Z134" s="1385"/>
      <c r="AA134" s="1860"/>
      <c r="AB134" s="789"/>
      <c r="AC134" s="789"/>
      <c r="AD134" s="789"/>
      <c r="AE134" s="789"/>
    </row>
    <row s="13656" customFormat="1" customHeight="1" ht="11.25">
      <c r="A135" s="1211"/>
      <c r="B135" s="1864"/>
      <c r="C135" s="1864"/>
      <c r="D135" s="574"/>
      <c r="K135" s="1385"/>
      <c r="L135" s="1864"/>
      <c r="M135" s="1864"/>
      <c r="N135" s="1385"/>
      <c r="O135" s="1385"/>
      <c r="P135" s="1385"/>
      <c r="Q135" s="1385"/>
      <c r="R135" s="1864"/>
      <c r="S135" s="1385"/>
      <c r="T135" s="1385"/>
      <c r="U135" s="767"/>
      <c r="V135" s="1385"/>
      <c r="W135" s="1385"/>
      <c r="X135" s="1385"/>
      <c r="Y135" s="1385"/>
      <c r="Z135" s="1385"/>
      <c r="AA135" s="1860"/>
      <c r="AB135" s="789"/>
      <c r="AC135" s="789"/>
      <c r="AD135" s="789"/>
      <c r="AE135" s="789"/>
    </row>
    <row s="13656" customFormat="1" customHeight="1" ht="11.25">
      <c r="A136" s="1211"/>
      <c r="B136" s="1864"/>
      <c r="C136" s="1864"/>
      <c r="D136" s="574"/>
      <c r="H136" s="789" t="str">
        <f>IF(H30-H31&lt;&gt;H72,"WARNING","")</f>
        <v/>
      </c>
      <c r="I136" s="789" t="str">
        <f>IF(I30-I31&lt;&gt;I72,"WARNING","")</f>
        <v/>
      </c>
      <c r="K136" s="1385"/>
      <c r="L136" s="1864"/>
      <c r="M136" s="1864"/>
      <c r="N136" s="1385"/>
      <c r="O136" s="1385"/>
      <c r="P136" s="1385"/>
      <c r="Q136" s="1385"/>
      <c r="R136" s="1864"/>
      <c r="S136" s="1385"/>
      <c r="T136" s="1385"/>
      <c r="U136" s="767"/>
      <c r="V136" s="1385"/>
      <c r="W136" s="1385"/>
      <c r="X136" s="1385"/>
      <c r="Y136" s="1385"/>
      <c r="Z136" s="1385"/>
      <c r="AA136" s="1860"/>
      <c r="AB136" s="789"/>
      <c r="AC136" s="789"/>
      <c r="AD136" s="789"/>
      <c r="AE136" s="789"/>
    </row>
    <row s="13656" customFormat="1" customHeight="1" ht="11.25">
      <c r="A137" s="1211"/>
      <c r="B137" s="1864"/>
      <c r="C137" s="1864"/>
      <c r="D137" s="574"/>
      <c r="K137" s="1385"/>
      <c r="L137" s="1864"/>
      <c r="M137" s="1864"/>
      <c r="N137" s="1385"/>
      <c r="O137" s="1385"/>
      <c r="P137" s="1385"/>
      <c r="Q137" s="1385"/>
      <c r="R137" s="1864"/>
      <c r="S137" s="1385"/>
      <c r="T137" s="1385"/>
      <c r="U137" s="767"/>
      <c r="V137" s="1385"/>
      <c r="W137" s="1385"/>
      <c r="X137" s="1385"/>
      <c r="Y137" s="1385"/>
      <c r="Z137" s="1385"/>
      <c r="AA137" s="1860"/>
      <c r="AB137" s="789"/>
      <c r="AC137" s="789"/>
      <c r="AD137" s="789"/>
      <c r="AE137" s="789"/>
    </row>
    <row s="13656" customFormat="1" customHeight="1" ht="11.25">
      <c r="A138" s="1211"/>
      <c r="B138" s="1864"/>
      <c r="C138" s="1864"/>
      <c r="D138" s="574"/>
      <c r="K138" s="1385"/>
      <c r="L138" s="1864"/>
      <c r="M138" s="1864"/>
      <c r="N138" s="1385"/>
      <c r="O138" s="1385"/>
      <c r="P138" s="1385"/>
      <c r="Q138" s="1385"/>
      <c r="R138" s="1864"/>
      <c r="S138" s="1385"/>
      <c r="T138" s="1385"/>
      <c r="U138" s="767"/>
      <c r="V138" s="1385"/>
      <c r="W138" s="1385"/>
      <c r="X138" s="1385"/>
      <c r="Y138" s="1385"/>
      <c r="Z138" s="1385"/>
      <c r="AA138" s="1860"/>
      <c r="AB138" s="789"/>
      <c r="AC138" s="789"/>
      <c r="AD138" s="789"/>
      <c r="AE138" s="789"/>
    </row>
    <row s="13656" customFormat="1" customHeight="1" ht="11.25">
      <c r="A139" s="1211"/>
      <c r="B139" s="1864"/>
      <c r="C139" s="1864"/>
      <c r="D139" s="574"/>
      <c r="K139" s="1385"/>
      <c r="L139" s="1864"/>
      <c r="M139" s="1864"/>
      <c r="N139" s="1385"/>
      <c r="O139" s="1385"/>
      <c r="P139" s="1385"/>
      <c r="Q139" s="1385"/>
      <c r="R139" s="1864"/>
      <c r="S139" s="1385"/>
      <c r="T139" s="1385"/>
      <c r="U139" s="767"/>
      <c r="V139" s="1385"/>
      <c r="W139" s="1385"/>
      <c r="X139" s="1385"/>
      <c r="Y139" s="1385"/>
      <c r="Z139" s="1385"/>
      <c r="AA139" s="1860"/>
      <c r="AB139" s="789"/>
      <c r="AC139" s="789"/>
      <c r="AD139" s="789"/>
      <c r="AE139" s="789"/>
    </row>
    <row s="13656" customFormat="1" customHeight="1" ht="11.25">
      <c r="A140" s="1211"/>
      <c r="B140" s="1864"/>
      <c r="C140" s="1864"/>
      <c r="D140" s="574"/>
      <c r="K140" s="1385"/>
      <c r="L140" s="1864"/>
      <c r="M140" s="1864"/>
      <c r="N140" s="1385"/>
      <c r="O140" s="1385"/>
      <c r="P140" s="1385"/>
      <c r="Q140" s="1385"/>
      <c r="R140" s="1864"/>
      <c r="S140" s="1385"/>
      <c r="T140" s="1385"/>
      <c r="U140" s="767"/>
      <c r="V140" s="1385"/>
      <c r="W140" s="1385"/>
      <c r="X140" s="1385"/>
      <c r="Y140" s="1385"/>
      <c r="Z140" s="1385"/>
      <c r="AA140" s="1860"/>
      <c r="AB140" s="789"/>
      <c r="AC140" s="789"/>
      <c r="AD140" s="789"/>
      <c r="AE140" s="789"/>
    </row>
    <row s="13656" customFormat="1" customHeight="1" ht="11.25">
      <c r="A141" s="1211"/>
      <c r="B141" s="1864"/>
      <c r="C141" s="1864"/>
      <c r="D141" s="574"/>
      <c r="K141" s="1385"/>
      <c r="L141" s="1864"/>
      <c r="M141" s="1864"/>
      <c r="N141" s="1385"/>
      <c r="O141" s="1385"/>
      <c r="P141" s="1385"/>
      <c r="Q141" s="1385"/>
      <c r="R141" s="1864"/>
      <c r="S141" s="1385"/>
      <c r="T141" s="1385"/>
      <c r="U141" s="767"/>
      <c r="V141" s="1385"/>
      <c r="W141" s="1385"/>
      <c r="X141" s="1385"/>
      <c r="Y141" s="1385"/>
      <c r="Z141" s="1385"/>
      <c r="AA141" s="1860"/>
      <c r="AB141" s="789"/>
      <c r="AC141" s="789"/>
      <c r="AD141" s="789"/>
      <c r="AE141" s="789"/>
    </row>
    <row s="13656" customFormat="1" customHeight="1" ht="11.25">
      <c r="A142" s="1211"/>
      <c r="B142" s="1864"/>
      <c r="C142" s="1864"/>
      <c r="D142" s="574"/>
      <c r="K142" s="1385"/>
      <c r="L142" s="1864"/>
      <c r="M142" s="1864"/>
      <c r="N142" s="1385"/>
      <c r="O142" s="1385"/>
      <c r="P142" s="1385"/>
      <c r="Q142" s="1385"/>
      <c r="R142" s="1864"/>
      <c r="S142" s="1385"/>
      <c r="T142" s="1385"/>
      <c r="U142" s="767"/>
      <c r="V142" s="1385"/>
      <c r="W142" s="1385"/>
      <c r="X142" s="1385"/>
      <c r="Y142" s="1385"/>
      <c r="Z142" s="1385"/>
      <c r="AA142" s="1860"/>
      <c r="AB142" s="789"/>
      <c r="AC142" s="789"/>
      <c r="AD142" s="789"/>
      <c r="AE142" s="789"/>
    </row>
    <row s="13656" customFormat="1" customHeight="1" ht="11.25">
      <c r="A143" s="1211"/>
      <c r="B143" s="1864"/>
      <c r="C143" s="1864"/>
      <c r="D143" s="574"/>
      <c r="K143" s="1385"/>
      <c r="L143" s="1864"/>
      <c r="M143" s="1864"/>
      <c r="N143" s="1385"/>
      <c r="O143" s="1385"/>
      <c r="P143" s="1385"/>
      <c r="Q143" s="1385"/>
      <c r="R143" s="1864"/>
      <c r="S143" s="1385"/>
      <c r="T143" s="1385"/>
      <c r="U143" s="767"/>
      <c r="V143" s="1385"/>
      <c r="W143" s="1385"/>
      <c r="X143" s="1385"/>
      <c r="Y143" s="1385"/>
      <c r="Z143" s="1385"/>
      <c r="AA143" s="1860"/>
      <c r="AB143" s="789"/>
      <c r="AC143" s="789"/>
      <c r="AD143" s="789"/>
      <c r="AE143" s="789"/>
    </row>
    <row s="13656" customFormat="1" customHeight="1" ht="11.25">
      <c r="A144" s="1211"/>
      <c r="B144" s="1864"/>
      <c r="C144" s="1864"/>
      <c r="D144" s="574"/>
      <c r="K144" s="1385"/>
      <c r="L144" s="1864"/>
      <c r="M144" s="1864"/>
      <c r="N144" s="1385"/>
      <c r="O144" s="1385"/>
      <c r="P144" s="1385"/>
      <c r="Q144" s="1385"/>
      <c r="R144" s="1864"/>
      <c r="S144" s="1385"/>
      <c r="T144" s="1385"/>
      <c r="U144" s="767"/>
      <c r="V144" s="1385"/>
      <c r="W144" s="1385"/>
      <c r="X144" s="1385"/>
      <c r="Y144" s="1385"/>
      <c r="Z144" s="1385"/>
      <c r="AA144" s="1860"/>
      <c r="AB144" s="789"/>
      <c r="AC144" s="789"/>
      <c r="AD144" s="789"/>
      <c r="AE144" s="789"/>
    </row>
    <row s="13656" customFormat="1" customHeight="1" ht="11.25">
      <c r="A145" s="1211"/>
      <c r="B145" s="1864"/>
      <c r="C145" s="1864"/>
      <c r="D145" s="574"/>
      <c r="K145" s="1385"/>
      <c r="L145" s="1864"/>
      <c r="M145" s="1864"/>
      <c r="N145" s="1385"/>
      <c r="O145" s="1385"/>
      <c r="P145" s="1385"/>
      <c r="Q145" s="1385"/>
      <c r="R145" s="1864"/>
      <c r="S145" s="1385"/>
      <c r="T145" s="1385"/>
      <c r="U145" s="767"/>
      <c r="V145" s="1385"/>
      <c r="W145" s="1385"/>
      <c r="X145" s="1385"/>
      <c r="Y145" s="1385"/>
      <c r="Z145" s="1385"/>
      <c r="AA145" s="1860"/>
      <c r="AB145" s="789"/>
      <c r="AC145" s="789"/>
      <c r="AD145" s="789"/>
      <c r="AE145" s="789"/>
    </row>
    <row s="13656" customFormat="1" customHeight="1" ht="11.25">
      <c r="A146" s="1211"/>
      <c r="B146" s="1864"/>
      <c r="C146" s="1864"/>
      <c r="D146" s="574"/>
      <c r="K146" s="1385"/>
      <c r="L146" s="1864"/>
      <c r="M146" s="1864"/>
      <c r="N146" s="1385"/>
      <c r="O146" s="1385"/>
      <c r="P146" s="1385"/>
      <c r="Q146" s="1385"/>
      <c r="R146" s="1864"/>
      <c r="S146" s="1385"/>
      <c r="T146" s="1385"/>
      <c r="U146" s="767"/>
      <c r="V146" s="1385"/>
      <c r="W146" s="1385"/>
      <c r="X146" s="1385"/>
      <c r="Y146" s="1385"/>
      <c r="Z146" s="1385"/>
      <c r="AA146" s="1860"/>
      <c r="AB146" s="789"/>
      <c r="AC146" s="789"/>
      <c r="AD146" s="789"/>
      <c r="AE146" s="789"/>
    </row>
    <row s="13656" customFormat="1" customHeight="1" ht="11.25">
      <c r="A147" s="1211"/>
      <c r="B147" s="1864"/>
      <c r="C147" s="1864"/>
      <c r="D147" s="574"/>
      <c r="K147" s="1385"/>
      <c r="L147" s="1864"/>
      <c r="M147" s="1864"/>
      <c r="N147" s="1385"/>
      <c r="O147" s="1385"/>
      <c r="P147" s="1385"/>
      <c r="Q147" s="1385"/>
      <c r="R147" s="1864"/>
      <c r="S147" s="1385"/>
      <c r="T147" s="1385"/>
      <c r="U147" s="767"/>
      <c r="V147" s="1385"/>
      <c r="W147" s="1385"/>
      <c r="X147" s="1385"/>
      <c r="Y147" s="1385"/>
      <c r="Z147" s="1385"/>
      <c r="AA147" s="1860"/>
      <c r="AB147" s="789"/>
      <c r="AC147" s="789"/>
      <c r="AD147" s="789"/>
      <c r="AE147" s="789"/>
    </row>
    <row s="13656" customFormat="1" customHeight="1" ht="11.25">
      <c r="A148" s="1211"/>
      <c r="B148" s="1864"/>
      <c r="C148" s="1864"/>
      <c r="D148" s="574"/>
      <c r="K148" s="1385"/>
      <c r="L148" s="1864"/>
      <c r="M148" s="1864"/>
      <c r="N148" s="1385"/>
      <c r="O148" s="1385"/>
      <c r="P148" s="1385"/>
      <c r="Q148" s="1385"/>
      <c r="R148" s="1864"/>
      <c r="S148" s="1385"/>
      <c r="T148" s="1385"/>
      <c r="U148" s="767"/>
      <c r="V148" s="1385"/>
      <c r="W148" s="1385"/>
      <c r="X148" s="1385"/>
      <c r="Y148" s="1385"/>
      <c r="Z148" s="1385"/>
      <c r="AA148" s="1860"/>
      <c r="AB148" s="789"/>
      <c r="AC148" s="789"/>
      <c r="AD148" s="789"/>
      <c r="AE148" s="789"/>
    </row>
    <row s="13656" customFormat="1" customHeight="1" ht="11.25">
      <c r="A149" s="1211"/>
      <c r="B149" s="1864"/>
      <c r="C149" s="1864"/>
      <c r="D149" s="574"/>
      <c r="K149" s="1385"/>
      <c r="L149" s="1864"/>
      <c r="M149" s="1864"/>
      <c r="N149" s="1385"/>
      <c r="O149" s="1385"/>
      <c r="P149" s="1385"/>
      <c r="Q149" s="1385"/>
      <c r="R149" s="1864"/>
      <c r="S149" s="1385"/>
      <c r="T149" s="1385"/>
      <c r="U149" s="767"/>
      <c r="V149" s="1385"/>
      <c r="W149" s="1385"/>
      <c r="X149" s="1385"/>
      <c r="Y149" s="1385"/>
      <c r="Z149" s="1385"/>
      <c r="AA149" s="1860"/>
      <c r="AB149" s="789"/>
      <c r="AC149" s="789"/>
      <c r="AD149" s="789"/>
      <c r="AE149" s="789"/>
    </row>
    <row s="13656" customFormat="1" customHeight="1" ht="11.25">
      <c r="A150" s="1211"/>
      <c r="B150" s="1864"/>
      <c r="C150" s="1864"/>
      <c r="D150" s="574"/>
      <c r="K150" s="1385"/>
      <c r="L150" s="1864"/>
      <c r="M150" s="1864"/>
      <c r="N150" s="1385"/>
      <c r="O150" s="1385"/>
      <c r="P150" s="1385"/>
      <c r="Q150" s="1385"/>
      <c r="R150" s="1864"/>
      <c r="S150" s="1385"/>
      <c r="T150" s="1385"/>
      <c r="U150" s="767"/>
      <c r="V150" s="1385"/>
      <c r="W150" s="1385"/>
      <c r="X150" s="1385"/>
      <c r="Y150" s="1385"/>
      <c r="Z150" s="1385"/>
      <c r="AA150" s="1860"/>
      <c r="AB150" s="789"/>
      <c r="AC150" s="789"/>
      <c r="AD150" s="789"/>
      <c r="AE150" s="789"/>
    </row>
    <row s="13656" customFormat="1" customHeight="1" ht="11.25">
      <c r="A151" s="1211"/>
      <c r="B151" s="1864"/>
      <c r="C151" s="1864"/>
      <c r="D151" s="574"/>
      <c r="K151" s="1385"/>
      <c r="L151" s="1864"/>
      <c r="M151" s="1864"/>
      <c r="N151" s="1385"/>
      <c r="O151" s="1385"/>
      <c r="P151" s="1385"/>
      <c r="Q151" s="1385"/>
      <c r="R151" s="1864"/>
      <c r="S151" s="1385"/>
      <c r="T151" s="1385"/>
      <c r="U151" s="767"/>
      <c r="V151" s="1385"/>
      <c r="W151" s="1385"/>
      <c r="X151" s="1385"/>
      <c r="Y151" s="1385"/>
      <c r="Z151" s="1385"/>
      <c r="AA151" s="1860"/>
      <c r="AB151" s="789"/>
      <c r="AC151" s="789"/>
      <c r="AD151" s="789"/>
      <c r="AE151" s="789"/>
    </row>
    <row s="13656" customFormat="1" customHeight="1" ht="11.25">
      <c r="A152" s="1211"/>
      <c r="B152" s="1864"/>
      <c r="C152" s="1864"/>
      <c r="D152" s="574"/>
      <c r="K152" s="1385"/>
      <c r="L152" s="1864"/>
      <c r="M152" s="1864"/>
      <c r="N152" s="1385"/>
      <c r="O152" s="1385"/>
      <c r="P152" s="1385"/>
      <c r="Q152" s="1385"/>
      <c r="R152" s="1864"/>
      <c r="S152" s="1385"/>
      <c r="T152" s="1385"/>
      <c r="U152" s="767"/>
      <c r="V152" s="1385"/>
      <c r="W152" s="1385"/>
      <c r="X152" s="1385"/>
      <c r="Y152" s="1385"/>
      <c r="Z152" s="1385"/>
      <c r="AA152" s="1860"/>
      <c r="AB152" s="789"/>
      <c r="AC152" s="789"/>
      <c r="AD152" s="789"/>
      <c r="AE152" s="789"/>
    </row>
    <row s="13656" customFormat="1" customHeight="1" ht="11.25">
      <c r="A153" s="1211"/>
      <c r="B153" s="1864"/>
      <c r="C153" s="1864"/>
      <c r="D153" s="574"/>
      <c r="K153" s="1385"/>
      <c r="L153" s="1864"/>
      <c r="M153" s="1864"/>
      <c r="N153" s="1385"/>
      <c r="O153" s="1385"/>
      <c r="P153" s="1385"/>
      <c r="Q153" s="1385"/>
      <c r="R153" s="1864"/>
      <c r="S153" s="1385"/>
      <c r="T153" s="1385"/>
      <c r="U153" s="767"/>
      <c r="V153" s="1385"/>
      <c r="W153" s="1385"/>
      <c r="X153" s="1385"/>
      <c r="Y153" s="1385"/>
      <c r="Z153" s="1385"/>
      <c r="AA153" s="1860"/>
      <c r="AB153" s="789"/>
      <c r="AC153" s="789"/>
      <c r="AD153" s="789"/>
      <c r="AE153" s="789"/>
    </row>
    <row s="13656" customFormat="1" customHeight="1" ht="11.25">
      <c r="A154" s="1211"/>
      <c r="B154" s="1864"/>
      <c r="C154" s="1864"/>
      <c r="D154" s="574"/>
      <c r="K154" s="1385"/>
      <c r="L154" s="1864"/>
      <c r="M154" s="1864"/>
      <c r="N154" s="1385"/>
      <c r="O154" s="1385"/>
      <c r="P154" s="1385"/>
      <c r="Q154" s="1385"/>
      <c r="R154" s="1864"/>
      <c r="S154" s="1385"/>
      <c r="T154" s="1385"/>
      <c r="U154" s="767"/>
      <c r="V154" s="1385"/>
      <c r="W154" s="1385"/>
      <c r="X154" s="1385"/>
      <c r="Y154" s="1385"/>
      <c r="Z154" s="1385"/>
      <c r="AA154" s="1860"/>
      <c r="AB154" s="789"/>
      <c r="AC154" s="789"/>
      <c r="AD154" s="789"/>
      <c r="AE154" s="789"/>
    </row>
    <row s="13656" customFormat="1" customHeight="1" ht="11.25">
      <c r="A155" s="1211"/>
      <c r="B155" s="1864"/>
      <c r="C155" s="1864"/>
      <c r="D155" s="574"/>
      <c r="K155" s="1385"/>
      <c r="L155" s="1864"/>
      <c r="M155" s="1864"/>
      <c r="N155" s="1385"/>
      <c r="O155" s="1385"/>
      <c r="P155" s="1385"/>
      <c r="Q155" s="1385"/>
      <c r="R155" s="1864"/>
      <c r="S155" s="1385"/>
      <c r="T155" s="1385"/>
      <c r="U155" s="767"/>
      <c r="V155" s="1385"/>
      <c r="W155" s="1385"/>
      <c r="X155" s="1385"/>
      <c r="Y155" s="1385"/>
      <c r="Z155" s="1385"/>
      <c r="AA155" s="1860"/>
      <c r="AB155" s="789"/>
      <c r="AC155" s="789"/>
      <c r="AD155" s="789"/>
      <c r="AE155" s="789"/>
    </row>
    <row s="13656" customFormat="1" customHeight="1" ht="11.25">
      <c r="A156" s="1211"/>
      <c r="B156" s="1864"/>
      <c r="C156" s="1864"/>
      <c r="D156" s="574"/>
      <c r="K156" s="1385"/>
      <c r="L156" s="1864"/>
      <c r="M156" s="1864"/>
      <c r="N156" s="1385"/>
      <c r="O156" s="1385"/>
      <c r="P156" s="1385"/>
      <c r="Q156" s="1385"/>
      <c r="R156" s="1864"/>
      <c r="S156" s="1385"/>
      <c r="T156" s="1385"/>
      <c r="U156" s="767"/>
      <c r="V156" s="1385"/>
      <c r="W156" s="1385"/>
      <c r="X156" s="1385"/>
      <c r="Y156" s="1385"/>
      <c r="Z156" s="1385"/>
      <c r="AA156" s="1860"/>
      <c r="AB156" s="789"/>
      <c r="AC156" s="789"/>
      <c r="AD156" s="789"/>
      <c r="AE156" s="789"/>
    </row>
    <row s="13656" customFormat="1" customHeight="1" ht="11.25">
      <c r="A157" s="1211"/>
      <c r="B157" s="1864"/>
      <c r="C157" s="1864"/>
      <c r="D157" s="574"/>
      <c r="K157" s="1385"/>
      <c r="L157" s="1864"/>
      <c r="M157" s="1864"/>
      <c r="N157" s="1385"/>
      <c r="O157" s="1385"/>
      <c r="P157" s="1385"/>
      <c r="Q157" s="1385"/>
      <c r="R157" s="1864"/>
      <c r="S157" s="1385"/>
      <c r="T157" s="1385"/>
      <c r="U157" s="767"/>
      <c r="V157" s="1385"/>
      <c r="W157" s="1385"/>
      <c r="X157" s="1385"/>
      <c r="Y157" s="1385"/>
      <c r="Z157" s="1385"/>
      <c r="AA157" s="1860"/>
      <c r="AB157" s="789"/>
      <c r="AC157" s="789"/>
      <c r="AD157" s="789"/>
      <c r="AE157" s="789"/>
    </row>
    <row s="13656" customFormat="1" customHeight="1" ht="11.25">
      <c r="A158" s="1211"/>
      <c r="B158" s="1864"/>
      <c r="C158" s="1864"/>
      <c r="D158" s="574"/>
      <c r="K158" s="1385"/>
      <c r="L158" s="1864"/>
      <c r="M158" s="1864"/>
      <c r="N158" s="1385"/>
      <c r="O158" s="1385"/>
      <c r="P158" s="1385"/>
      <c r="Q158" s="1385"/>
      <c r="R158" s="1864"/>
      <c r="S158" s="1385"/>
      <c r="T158" s="1385"/>
      <c r="U158" s="767"/>
      <c r="V158" s="1385"/>
      <c r="W158" s="1385"/>
      <c r="X158" s="1385"/>
      <c r="Y158" s="1385"/>
      <c r="Z158" s="1385"/>
      <c r="AA158" s="1860"/>
      <c r="AB158" s="789"/>
      <c r="AC158" s="789"/>
      <c r="AD158" s="789"/>
      <c r="AE158" s="789"/>
    </row>
    <row s="13656" customFormat="1" customHeight="1" ht="11.25">
      <c r="A159" s="1211"/>
      <c r="B159" s="1864"/>
      <c r="C159" s="1864"/>
      <c r="D159" s="574"/>
      <c r="K159" s="1385"/>
      <c r="L159" s="1864"/>
      <c r="M159" s="1864"/>
      <c r="N159" s="1385"/>
      <c r="O159" s="1385"/>
      <c r="P159" s="1385"/>
      <c r="Q159" s="1385"/>
      <c r="R159" s="1864"/>
      <c r="S159" s="1385"/>
      <c r="T159" s="1385"/>
      <c r="U159" s="767"/>
      <c r="V159" s="1385"/>
      <c r="W159" s="1385"/>
      <c r="X159" s="1385"/>
      <c r="Y159" s="1385"/>
      <c r="Z159" s="1385"/>
      <c r="AA159" s="1860"/>
      <c r="AB159" s="789"/>
      <c r="AC159" s="789"/>
      <c r="AD159" s="789"/>
      <c r="AE159" s="789"/>
    </row>
    <row s="13656" customFormat="1" customHeight="1" ht="11.25">
      <c r="A160" s="1211"/>
      <c r="B160" s="1864"/>
      <c r="C160" s="1864"/>
      <c r="D160" s="574"/>
      <c r="K160" s="1385"/>
      <c r="L160" s="1864"/>
      <c r="M160" s="1864"/>
      <c r="N160" s="1385"/>
      <c r="O160" s="1385"/>
      <c r="P160" s="1385"/>
      <c r="Q160" s="1385"/>
      <c r="R160" s="1864"/>
      <c r="S160" s="1385"/>
      <c r="T160" s="1385"/>
      <c r="U160" s="767"/>
      <c r="V160" s="1385"/>
      <c r="W160" s="1385"/>
      <c r="X160" s="1385"/>
      <c r="Y160" s="1385"/>
      <c r="Z160" s="1385"/>
      <c r="AA160" s="1860"/>
      <c r="AB160" s="789"/>
      <c r="AC160" s="789"/>
      <c r="AD160" s="789"/>
      <c r="AE160" s="789"/>
    </row>
    <row s="13656" customFormat="1" customHeight="1" ht="11.25">
      <c r="A161" s="1211"/>
      <c r="B161" s="1864"/>
      <c r="C161" s="1864"/>
      <c r="D161" s="574"/>
      <c r="K161" s="1385"/>
      <c r="L161" s="1864"/>
      <c r="M161" s="1864"/>
      <c r="N161" s="1385"/>
      <c r="O161" s="1385"/>
      <c r="P161" s="1385"/>
      <c r="Q161" s="1385"/>
      <c r="R161" s="1864"/>
      <c r="S161" s="1385"/>
      <c r="T161" s="1385"/>
      <c r="U161" s="767"/>
      <c r="V161" s="1385"/>
      <c r="W161" s="1385"/>
      <c r="X161" s="1385"/>
      <c r="Y161" s="1385"/>
      <c r="Z161" s="1385"/>
      <c r="AA161" s="1860"/>
      <c r="AB161" s="789"/>
      <c r="AC161" s="789"/>
      <c r="AD161" s="789"/>
      <c r="AE161" s="789"/>
    </row>
    <row s="13656" customFormat="1" customHeight="1" ht="11.25">
      <c r="A162" s="1211"/>
      <c r="B162" s="1864"/>
      <c r="C162" s="1864"/>
      <c r="D162" s="574"/>
      <c r="K162" s="1385"/>
      <c r="L162" s="1864"/>
      <c r="M162" s="1864"/>
      <c r="N162" s="1385"/>
      <c r="O162" s="1385"/>
      <c r="P162" s="1385"/>
      <c r="Q162" s="1385"/>
      <c r="R162" s="1864"/>
      <c r="S162" s="1385"/>
      <c r="T162" s="1385"/>
      <c r="U162" s="767"/>
      <c r="V162" s="1385"/>
      <c r="W162" s="1385"/>
      <c r="X162" s="1385"/>
      <c r="Y162" s="1385"/>
      <c r="Z162" s="1385"/>
      <c r="AA162" s="1860"/>
      <c r="AB162" s="789"/>
      <c r="AC162" s="789"/>
      <c r="AD162" s="789"/>
      <c r="AE162" s="789"/>
    </row>
    <row s="13656" customFormat="1" customHeight="1" ht="11.25">
      <c r="A163" s="1211"/>
      <c r="B163" s="1864"/>
      <c r="C163" s="1864"/>
      <c r="D163" s="574"/>
      <c r="K163" s="1385"/>
      <c r="L163" s="1864"/>
      <c r="M163" s="1864"/>
      <c r="N163" s="1385"/>
      <c r="O163" s="1385"/>
      <c r="P163" s="1385"/>
      <c r="Q163" s="1385"/>
      <c r="R163" s="1864"/>
      <c r="S163" s="1385"/>
      <c r="T163" s="1385"/>
      <c r="U163" s="767"/>
      <c r="V163" s="1385"/>
      <c r="W163" s="1385"/>
      <c r="X163" s="1385"/>
      <c r="Y163" s="1385"/>
      <c r="Z163" s="1385"/>
      <c r="AA163" s="1860"/>
      <c r="AB163" s="789"/>
      <c r="AC163" s="789"/>
      <c r="AD163" s="789"/>
      <c r="AE163" s="789"/>
    </row>
    <row s="13656" customFormat="1" customHeight="1" ht="11.25">
      <c r="A164" s="1211"/>
      <c r="B164" s="1864"/>
      <c r="C164" s="1864"/>
      <c r="D164" s="574"/>
      <c r="K164" s="1385"/>
      <c r="L164" s="1864"/>
      <c r="M164" s="1864"/>
      <c r="N164" s="1385"/>
      <c r="O164" s="1385"/>
      <c r="P164" s="1385"/>
      <c r="Q164" s="1385"/>
      <c r="R164" s="1864"/>
      <c r="S164" s="1385"/>
      <c r="T164" s="1385"/>
      <c r="U164" s="767"/>
      <c r="V164" s="1385"/>
      <c r="W164" s="1385"/>
      <c r="X164" s="1385"/>
      <c r="Y164" s="1385"/>
      <c r="Z164" s="1385"/>
      <c r="AA164" s="1860"/>
      <c r="AB164" s="789"/>
      <c r="AC164" s="789"/>
      <c r="AD164" s="789"/>
      <c r="AE164" s="789"/>
    </row>
    <row s="13656" customFormat="1" customHeight="1" ht="11.25">
      <c r="A165" s="1211"/>
      <c r="B165" s="1864"/>
      <c r="C165" s="1864"/>
      <c r="D165" s="574"/>
      <c r="K165" s="1385"/>
      <c r="L165" s="1864"/>
      <c r="M165" s="1864"/>
      <c r="N165" s="1385"/>
      <c r="O165" s="1385"/>
      <c r="P165" s="1385"/>
      <c r="Q165" s="1385"/>
      <c r="R165" s="1864"/>
      <c r="S165" s="1385"/>
      <c r="T165" s="1385"/>
      <c r="U165" s="767"/>
      <c r="V165" s="1385"/>
      <c r="W165" s="1385"/>
      <c r="X165" s="1385"/>
      <c r="Y165" s="1385"/>
      <c r="Z165" s="1385"/>
      <c r="AA165" s="1860"/>
      <c r="AB165" s="789"/>
      <c r="AC165" s="789"/>
      <c r="AD165" s="789"/>
      <c r="AE165" s="789"/>
    </row>
    <row s="13656" customFormat="1" customHeight="1" ht="11.25">
      <c r="A166" s="1211"/>
      <c r="B166" s="1864"/>
      <c r="C166" s="1864"/>
      <c r="D166" s="574"/>
      <c r="K166" s="1385"/>
      <c r="L166" s="1864"/>
      <c r="M166" s="1864"/>
      <c r="N166" s="1385"/>
      <c r="O166" s="1385"/>
      <c r="P166" s="1385"/>
      <c r="Q166" s="1385"/>
      <c r="R166" s="1864"/>
      <c r="S166" s="1385"/>
      <c r="T166" s="1385"/>
      <c r="U166" s="767"/>
      <c r="V166" s="1385"/>
      <c r="W166" s="1385"/>
      <c r="X166" s="1385"/>
      <c r="Y166" s="1385"/>
      <c r="Z166" s="1385"/>
      <c r="AA166" s="1860"/>
      <c r="AB166" s="789"/>
      <c r="AC166" s="789"/>
      <c r="AD166" s="789"/>
      <c r="AE166" s="789"/>
    </row>
    <row s="13656" customFormat="1" customHeight="1" ht="11.25">
      <c r="A167" s="1211"/>
      <c r="B167" s="1864"/>
      <c r="C167" s="1864"/>
      <c r="D167" s="574"/>
      <c r="K167" s="1385"/>
      <c r="L167" s="1864"/>
      <c r="M167" s="1864"/>
      <c r="N167" s="1385"/>
      <c r="O167" s="1385"/>
      <c r="P167" s="1385"/>
      <c r="Q167" s="1385"/>
      <c r="R167" s="1864"/>
      <c r="S167" s="1385"/>
      <c r="T167" s="1385"/>
      <c r="U167" s="767"/>
      <c r="V167" s="1385"/>
      <c r="W167" s="1385"/>
      <c r="X167" s="1385"/>
      <c r="Y167" s="1385"/>
      <c r="Z167" s="1385"/>
      <c r="AA167" s="1860"/>
      <c r="AB167" s="789"/>
      <c r="AC167" s="789"/>
      <c r="AD167" s="789"/>
      <c r="AE167" s="789"/>
    </row>
    <row s="13656" customFormat="1" customHeight="1" ht="11.25">
      <c r="A168" s="1211"/>
      <c r="B168" s="1864"/>
      <c r="C168" s="1864"/>
      <c r="D168" s="574"/>
      <c r="K168" s="1385"/>
      <c r="L168" s="1864"/>
      <c r="M168" s="1864"/>
      <c r="N168" s="1385"/>
      <c r="O168" s="1385"/>
      <c r="P168" s="1385"/>
      <c r="Q168" s="1385"/>
      <c r="R168" s="1864"/>
      <c r="S168" s="1385"/>
      <c r="T168" s="1385"/>
      <c r="U168" s="767"/>
      <c r="V168" s="1385"/>
      <c r="W168" s="1385"/>
      <c r="X168" s="1385"/>
      <c r="Y168" s="1385"/>
      <c r="Z168" s="1385"/>
      <c r="AA168" s="1860"/>
      <c r="AB168" s="789"/>
      <c r="AC168" s="789"/>
      <c r="AD168" s="789"/>
      <c r="AE168" s="789"/>
    </row>
    <row s="13656" customFormat="1" customHeight="1" ht="11.25">
      <c r="A169" s="1211"/>
      <c r="B169" s="1864"/>
      <c r="C169" s="1864"/>
      <c r="D169" s="574"/>
      <c r="K169" s="1385"/>
      <c r="L169" s="1864"/>
      <c r="M169" s="1864"/>
      <c r="N169" s="1385"/>
      <c r="O169" s="1385"/>
      <c r="P169" s="1385"/>
      <c r="Q169" s="1385"/>
      <c r="R169" s="1864"/>
      <c r="S169" s="1385"/>
      <c r="T169" s="1385"/>
      <c r="U169" s="767"/>
      <c r="V169" s="1385"/>
      <c r="W169" s="1385"/>
      <c r="X169" s="1385"/>
      <c r="Y169" s="1385"/>
      <c r="Z169" s="1385"/>
      <c r="AA169" s="1860"/>
      <c r="AB169" s="789"/>
      <c r="AC169" s="789"/>
      <c r="AD169" s="789"/>
      <c r="AE169" s="789"/>
    </row>
    <row s="13656" customFormat="1" customHeight="1" ht="11.25">
      <c r="A170" s="1211"/>
      <c r="B170" s="1864"/>
      <c r="C170" s="1864"/>
      <c r="D170" s="574"/>
      <c r="K170" s="1385"/>
      <c r="L170" s="1864"/>
      <c r="M170" s="1864"/>
      <c r="N170" s="1385"/>
      <c r="O170" s="1385"/>
      <c r="P170" s="1385"/>
      <c r="Q170" s="1385"/>
      <c r="R170" s="1864"/>
      <c r="S170" s="1385"/>
      <c r="T170" s="1385"/>
      <c r="U170" s="767"/>
      <c r="V170" s="1385"/>
      <c r="W170" s="1385"/>
      <c r="X170" s="1385"/>
      <c r="Y170" s="1385"/>
      <c r="Z170" s="1385"/>
      <c r="AA170" s="1860"/>
      <c r="AB170" s="789"/>
      <c r="AC170" s="789"/>
      <c r="AD170" s="789"/>
      <c r="AE170" s="789"/>
    </row>
    <row s="13656" customFormat="1" customHeight="1" ht="11.25">
      <c r="A171" s="1211"/>
      <c r="B171" s="1864"/>
      <c r="C171" s="1864"/>
      <c r="D171" s="574"/>
      <c r="K171" s="1385"/>
      <c r="L171" s="1864"/>
      <c r="M171" s="1864"/>
      <c r="N171" s="1385"/>
      <c r="O171" s="1385"/>
      <c r="P171" s="1385"/>
      <c r="Q171" s="1385"/>
      <c r="R171" s="1864"/>
      <c r="S171" s="1385"/>
      <c r="T171" s="1385"/>
      <c r="U171" s="767"/>
      <c r="V171" s="1385"/>
      <c r="W171" s="1385"/>
      <c r="X171" s="1385"/>
      <c r="Y171" s="1385"/>
      <c r="Z171" s="1385"/>
      <c r="AA171" s="1860"/>
      <c r="AB171" s="789"/>
      <c r="AC171" s="789"/>
      <c r="AD171" s="789"/>
      <c r="AE171" s="789"/>
    </row>
    <row s="13656" customFormat="1" customHeight="1" ht="11.25">
      <c r="A172" s="1211"/>
      <c r="B172" s="1864"/>
      <c r="C172" s="1864"/>
      <c r="D172" s="574"/>
      <c r="K172" s="1385"/>
      <c r="L172" s="1864"/>
      <c r="M172" s="1864"/>
      <c r="N172" s="1385"/>
      <c r="O172" s="1385"/>
      <c r="P172" s="1385"/>
      <c r="Q172" s="1385"/>
      <c r="R172" s="1864"/>
      <c r="S172" s="1385"/>
      <c r="T172" s="1385"/>
      <c r="U172" s="767"/>
      <c r="V172" s="1385"/>
      <c r="W172" s="1385"/>
      <c r="X172" s="1385"/>
      <c r="Y172" s="1385"/>
      <c r="Z172" s="1385"/>
      <c r="AA172" s="1860"/>
      <c r="AB172" s="789"/>
      <c r="AC172" s="789"/>
      <c r="AD172" s="789"/>
      <c r="AE172" s="789"/>
    </row>
    <row s="13656" customFormat="1" customHeight="1" ht="11.25">
      <c r="A173" s="1211"/>
      <c r="B173" s="1864"/>
      <c r="C173" s="1864"/>
      <c r="D173" s="574"/>
      <c r="K173" s="1385"/>
      <c r="L173" s="1864"/>
      <c r="M173" s="1864"/>
      <c r="N173" s="1385"/>
      <c r="O173" s="1385"/>
      <c r="P173" s="1385"/>
      <c r="Q173" s="1385"/>
      <c r="R173" s="1864"/>
      <c r="S173" s="1385"/>
      <c r="T173" s="1385"/>
      <c r="U173" s="767"/>
      <c r="V173" s="1385"/>
      <c r="W173" s="1385"/>
      <c r="X173" s="1385"/>
      <c r="Y173" s="1385"/>
      <c r="Z173" s="1385"/>
      <c r="AA173" s="1860"/>
      <c r="AB173" s="789"/>
      <c r="AC173" s="789"/>
      <c r="AD173" s="789"/>
      <c r="AE173" s="789"/>
    </row>
    <row s="13656" customFormat="1" customHeight="1" ht="11.25">
      <c r="A174" s="1211"/>
      <c r="B174" s="1864"/>
      <c r="C174" s="1864"/>
      <c r="D174" s="574"/>
      <c r="K174" s="1385"/>
      <c r="L174" s="1864"/>
      <c r="M174" s="1864"/>
      <c r="N174" s="1385"/>
      <c r="O174" s="1385"/>
      <c r="P174" s="1385"/>
      <c r="Q174" s="1385"/>
      <c r="R174" s="1864"/>
      <c r="S174" s="1385"/>
      <c r="T174" s="1385"/>
      <c r="U174" s="767"/>
      <c r="V174" s="1385"/>
      <c r="W174" s="1385"/>
      <c r="X174" s="1385"/>
      <c r="Y174" s="1385"/>
      <c r="Z174" s="1385"/>
      <c r="AA174" s="1860"/>
      <c r="AB174" s="789"/>
      <c r="AC174" s="789"/>
      <c r="AD174" s="789"/>
      <c r="AE174" s="789"/>
    </row>
    <row s="13656" customFormat="1" customHeight="1" ht="11.25">
      <c r="A175" s="1211"/>
      <c r="B175" s="1864"/>
      <c r="C175" s="1864"/>
      <c r="D175" s="574"/>
      <c r="K175" s="1385"/>
      <c r="L175" s="1864"/>
      <c r="M175" s="1864"/>
      <c r="N175" s="1385"/>
      <c r="O175" s="1385"/>
      <c r="P175" s="1385"/>
      <c r="Q175" s="1385"/>
      <c r="R175" s="1864"/>
      <c r="S175" s="1385"/>
      <c r="T175" s="1385"/>
      <c r="U175" s="767"/>
      <c r="V175" s="1385"/>
      <c r="W175" s="1385"/>
      <c r="X175" s="1385"/>
      <c r="Y175" s="1385"/>
      <c r="Z175" s="1385"/>
      <c r="AA175" s="1860"/>
      <c r="AB175" s="789"/>
      <c r="AC175" s="789"/>
      <c r="AD175" s="789"/>
      <c r="AE175" s="789"/>
    </row>
    <row s="13656" customFormat="1" customHeight="1" ht="11.25">
      <c r="A176" s="1211"/>
      <c r="B176" s="1864"/>
      <c r="C176" s="1864"/>
      <c r="D176" s="574"/>
      <c r="K176" s="1385"/>
      <c r="L176" s="1864"/>
      <c r="M176" s="1864"/>
      <c r="N176" s="1385"/>
      <c r="O176" s="1385"/>
      <c r="P176" s="1385"/>
      <c r="Q176" s="1385"/>
      <c r="R176" s="1864"/>
      <c r="S176" s="1385"/>
      <c r="T176" s="1385"/>
      <c r="U176" s="767"/>
      <c r="V176" s="1385"/>
      <c r="W176" s="1385"/>
      <c r="X176" s="1385"/>
      <c r="Y176" s="1385"/>
      <c r="Z176" s="1385"/>
      <c r="AA176" s="1860"/>
      <c r="AB176" s="789"/>
      <c r="AC176" s="789"/>
      <c r="AD176" s="789"/>
      <c r="AE176" s="789"/>
    </row>
    <row s="13656" customFormat="1" customHeight="1" ht="11.25">
      <c r="A177" s="1211"/>
      <c r="B177" s="1864"/>
      <c r="C177" s="1864"/>
      <c r="D177" s="574"/>
      <c r="K177" s="1385"/>
      <c r="L177" s="1864"/>
      <c r="M177" s="1864"/>
      <c r="N177" s="1385"/>
      <c r="O177" s="1385"/>
      <c r="P177" s="1385"/>
      <c r="Q177" s="1385"/>
      <c r="R177" s="1864"/>
      <c r="S177" s="1385"/>
      <c r="T177" s="1385"/>
      <c r="U177" s="767"/>
      <c r="V177" s="1385"/>
      <c r="W177" s="1385"/>
      <c r="X177" s="1385"/>
      <c r="Y177" s="1385"/>
      <c r="Z177" s="1385"/>
      <c r="AA177" s="1860"/>
      <c r="AB177" s="789"/>
      <c r="AC177" s="789"/>
      <c r="AD177" s="789"/>
      <c r="AE177" s="789"/>
    </row>
    <row s="13656" customFormat="1" customHeight="1" ht="11.25">
      <c r="A178" s="1211"/>
      <c r="B178" s="1864"/>
      <c r="C178" s="1864"/>
      <c r="D178" s="574"/>
      <c r="K178" s="1385"/>
      <c r="L178" s="1864"/>
      <c r="M178" s="1864"/>
      <c r="N178" s="1385"/>
      <c r="O178" s="1385"/>
      <c r="P178" s="1385"/>
      <c r="Q178" s="1385"/>
      <c r="R178" s="1864"/>
      <c r="S178" s="1385"/>
      <c r="T178" s="1385"/>
      <c r="U178" s="767"/>
      <c r="V178" s="1385"/>
      <c r="W178" s="1385"/>
      <c r="X178" s="1385"/>
      <c r="Y178" s="1385"/>
      <c r="Z178" s="1385"/>
      <c r="AA178" s="1860"/>
      <c r="AB178" s="789"/>
      <c r="AC178" s="789"/>
      <c r="AD178" s="789"/>
      <c r="AE178" s="789"/>
    </row>
    <row s="13656" customFormat="1" customHeight="1" ht="11.25">
      <c r="A179" s="1211"/>
      <c r="B179" s="1864"/>
      <c r="C179" s="1864"/>
      <c r="D179" s="574"/>
      <c r="K179" s="1385"/>
      <c r="L179" s="1864"/>
      <c r="M179" s="1864"/>
      <c r="N179" s="1385"/>
      <c r="O179" s="1385"/>
      <c r="P179" s="1385"/>
      <c r="Q179" s="1385"/>
      <c r="R179" s="1864"/>
      <c r="S179" s="1385"/>
      <c r="T179" s="1385"/>
      <c r="U179" s="767"/>
      <c r="V179" s="1385"/>
      <c r="W179" s="1385"/>
      <c r="X179" s="1385"/>
      <c r="Y179" s="1385"/>
      <c r="Z179" s="1385"/>
      <c r="AA179" s="1860"/>
      <c r="AB179" s="789"/>
      <c r="AC179" s="789"/>
      <c r="AD179" s="789"/>
      <c r="AE179" s="789"/>
    </row>
    <row s="13656" customFormat="1" customHeight="1" ht="11.25">
      <c r="A180" s="1211"/>
      <c r="B180" s="1864"/>
      <c r="C180" s="1864"/>
      <c r="D180" s="574"/>
      <c r="K180" s="1385"/>
      <c r="L180" s="1864"/>
      <c r="M180" s="1864"/>
      <c r="N180" s="1385"/>
      <c r="O180" s="1385"/>
      <c r="P180" s="1385"/>
      <c r="Q180" s="1385"/>
      <c r="R180" s="1864"/>
      <c r="S180" s="1385"/>
      <c r="T180" s="1385"/>
      <c r="U180" s="767"/>
      <c r="V180" s="1385"/>
      <c r="W180" s="1385"/>
      <c r="X180" s="1385"/>
      <c r="Y180" s="1385"/>
      <c r="Z180" s="1385"/>
      <c r="AA180" s="1860"/>
      <c r="AB180" s="789"/>
      <c r="AC180" s="789"/>
      <c r="AD180" s="789"/>
      <c r="AE180" s="789"/>
    </row>
    <row s="13656" customFormat="1" customHeight="1" ht="11.25">
      <c r="A181" s="1211"/>
      <c r="B181" s="1864"/>
      <c r="C181" s="1864"/>
      <c r="D181" s="574"/>
      <c r="K181" s="1385"/>
      <c r="L181" s="1864"/>
      <c r="M181" s="1864"/>
      <c r="N181" s="1385"/>
      <c r="O181" s="1385"/>
      <c r="P181" s="1385"/>
      <c r="Q181" s="1385"/>
      <c r="R181" s="1864"/>
      <c r="S181" s="1385"/>
      <c r="T181" s="1385"/>
      <c r="U181" s="767"/>
      <c r="V181" s="1385"/>
      <c r="W181" s="1385"/>
      <c r="X181" s="1385"/>
      <c r="Y181" s="1385"/>
      <c r="Z181" s="1385"/>
      <c r="AA181" s="1860"/>
      <c r="AB181" s="789"/>
      <c r="AC181" s="789"/>
      <c r="AD181" s="789"/>
      <c r="AE181" s="789"/>
    </row>
    <row s="13656" customFormat="1" customHeight="1" ht="11.25">
      <c r="A182" s="1211"/>
      <c r="B182" s="1864"/>
      <c r="C182" s="1864"/>
      <c r="D182" s="574"/>
      <c r="K182" s="1385"/>
      <c r="L182" s="1864"/>
      <c r="M182" s="1864"/>
      <c r="N182" s="1385"/>
      <c r="O182" s="1385"/>
      <c r="P182" s="1385"/>
      <c r="Q182" s="1385"/>
      <c r="R182" s="1864"/>
      <c r="S182" s="1385"/>
      <c r="T182" s="1385"/>
      <c r="U182" s="767"/>
      <c r="V182" s="1385"/>
      <c r="W182" s="1385"/>
      <c r="X182" s="1385"/>
      <c r="Y182" s="1385"/>
      <c r="Z182" s="1385"/>
      <c r="AA182" s="1860"/>
      <c r="AB182" s="789"/>
      <c r="AC182" s="789"/>
      <c r="AD182" s="789"/>
      <c r="AE182" s="789"/>
    </row>
    <row s="13656" customFormat="1" customHeight="1" ht="11.25">
      <c r="A183" s="1211"/>
      <c r="B183" s="1864"/>
      <c r="C183" s="1864"/>
      <c r="D183" s="574"/>
      <c r="K183" s="1385"/>
      <c r="L183" s="1864"/>
      <c r="M183" s="1864"/>
      <c r="N183" s="1385"/>
      <c r="O183" s="1385"/>
      <c r="P183" s="1385"/>
      <c r="Q183" s="1385"/>
      <c r="R183" s="1864"/>
      <c r="S183" s="1385"/>
      <c r="T183" s="1385"/>
      <c r="U183" s="767"/>
      <c r="V183" s="1385"/>
      <c r="W183" s="1385"/>
      <c r="X183" s="1385"/>
      <c r="Y183" s="1385"/>
      <c r="Z183" s="1385"/>
      <c r="AA183" s="1860"/>
      <c r="AB183" s="789"/>
      <c r="AC183" s="789"/>
      <c r="AD183" s="789"/>
      <c r="AE183" s="789"/>
    </row>
    <row s="13656" customFormat="1" customHeight="1" ht="11.25">
      <c r="A184" s="1211"/>
      <c r="B184" s="1864"/>
      <c r="C184" s="1864"/>
      <c r="D184" s="574"/>
      <c r="K184" s="1385"/>
      <c r="L184" s="1864"/>
      <c r="M184" s="1864"/>
      <c r="N184" s="1385"/>
      <c r="O184" s="1385"/>
      <c r="P184" s="1385"/>
      <c r="Q184" s="1385"/>
      <c r="R184" s="1864"/>
      <c r="S184" s="1385"/>
      <c r="T184" s="1385"/>
      <c r="U184" s="767"/>
      <c r="V184" s="1385"/>
      <c r="W184" s="1385"/>
      <c r="X184" s="1385"/>
      <c r="Y184" s="1385"/>
      <c r="Z184" s="1385"/>
      <c r="AA184" s="1860"/>
      <c r="AB184" s="789"/>
      <c r="AC184" s="789"/>
      <c r="AD184" s="789"/>
      <c r="AE184" s="789"/>
    </row>
    <row s="13656" customFormat="1" customHeight="1" ht="11.25">
      <c r="A185" s="1211"/>
      <c r="B185" s="1864"/>
      <c r="C185" s="1864"/>
      <c r="D185" s="574"/>
      <c r="K185" s="1385"/>
      <c r="L185" s="1864"/>
      <c r="M185" s="1864"/>
      <c r="N185" s="1385"/>
      <c r="O185" s="1385"/>
      <c r="P185" s="1385"/>
      <c r="Q185" s="1385"/>
      <c r="R185" s="1864"/>
      <c r="S185" s="1385"/>
      <c r="T185" s="1385"/>
      <c r="U185" s="767"/>
      <c r="V185" s="1385"/>
      <c r="W185" s="1385"/>
      <c r="X185" s="1385"/>
      <c r="Y185" s="1385"/>
      <c r="Z185" s="1385"/>
      <c r="AA185" s="1860"/>
      <c r="AB185" s="789"/>
      <c r="AC185" s="789"/>
      <c r="AD185" s="789"/>
      <c r="AE185" s="789"/>
    </row>
    <row s="13656" customFormat="1" customHeight="1" ht="11.25">
      <c r="A186" s="1211"/>
      <c r="B186" s="1864"/>
      <c r="C186" s="1864"/>
      <c r="D186" s="574"/>
      <c r="K186" s="1385"/>
      <c r="L186" s="1864"/>
      <c r="M186" s="1864"/>
      <c r="N186" s="1385"/>
      <c r="O186" s="1385"/>
      <c r="P186" s="1385"/>
      <c r="Q186" s="1385"/>
      <c r="R186" s="1864"/>
      <c r="S186" s="1385"/>
      <c r="T186" s="1385"/>
      <c r="U186" s="767"/>
      <c r="V186" s="1385"/>
      <c r="W186" s="1385"/>
      <c r="X186" s="1385"/>
      <c r="Y186" s="1385"/>
      <c r="Z186" s="1385"/>
      <c r="AA186" s="1860"/>
      <c r="AB186" s="789"/>
      <c r="AC186" s="789"/>
      <c r="AD186" s="789"/>
      <c r="AE186" s="789"/>
    </row>
    <row s="13656" customFormat="1" customHeight="1" ht="11.25">
      <c r="A187" s="1211"/>
      <c r="B187" s="1864"/>
      <c r="C187" s="1864"/>
      <c r="D187" s="574"/>
      <c r="K187" s="1385"/>
      <c r="L187" s="1864"/>
      <c r="M187" s="1864"/>
      <c r="N187" s="1385"/>
      <c r="O187" s="1385"/>
      <c r="P187" s="1385"/>
      <c r="Q187" s="1385"/>
      <c r="R187" s="1864"/>
      <c r="S187" s="1385"/>
      <c r="T187" s="1385"/>
      <c r="U187" s="767"/>
      <c r="V187" s="1385"/>
      <c r="W187" s="1385"/>
      <c r="X187" s="1385"/>
      <c r="Y187" s="1385"/>
      <c r="Z187" s="1385"/>
      <c r="AA187" s="1860"/>
      <c r="AB187" s="789"/>
      <c r="AC187" s="789"/>
      <c r="AD187" s="789"/>
      <c r="AE187" s="789"/>
    </row>
    <row s="13656" customFormat="1" customHeight="1" ht="11.25">
      <c r="A188" s="1211"/>
      <c r="B188" s="1864"/>
      <c r="C188" s="1864"/>
      <c r="D188" s="574"/>
      <c r="K188" s="1385"/>
      <c r="L188" s="1864"/>
      <c r="M188" s="1864"/>
      <c r="N188" s="1385"/>
      <c r="O188" s="1385"/>
      <c r="P188" s="1385"/>
      <c r="Q188" s="1385"/>
      <c r="R188" s="1864"/>
      <c r="S188" s="1385"/>
      <c r="T188" s="1385"/>
      <c r="U188" s="767"/>
      <c r="V188" s="1385"/>
      <c r="W188" s="1385"/>
      <c r="X188" s="1385"/>
      <c r="Y188" s="1385"/>
      <c r="Z188" s="1385"/>
      <c r="AA188" s="1860"/>
      <c r="AB188" s="789"/>
      <c r="AC188" s="789"/>
      <c r="AD188" s="789"/>
      <c r="AE188" s="789"/>
    </row>
    <row s="13656" customFormat="1" customHeight="1" ht="11.25">
      <c r="A189" s="1211"/>
      <c r="B189" s="1864"/>
      <c r="C189" s="1864"/>
      <c r="D189" s="574"/>
      <c r="K189" s="1385"/>
      <c r="L189" s="1864"/>
      <c r="M189" s="1864"/>
      <c r="N189" s="1385"/>
      <c r="O189" s="1385"/>
      <c r="P189" s="1385"/>
      <c r="Q189" s="1385"/>
      <c r="R189" s="1864"/>
      <c r="S189" s="1385"/>
      <c r="T189" s="1385"/>
      <c r="U189" s="767"/>
      <c r="V189" s="1385"/>
      <c r="W189" s="1385"/>
      <c r="X189" s="1385"/>
      <c r="Y189" s="1385"/>
      <c r="Z189" s="1385"/>
      <c r="AA189" s="1860"/>
      <c r="AB189" s="789"/>
      <c r="AC189" s="789"/>
      <c r="AD189" s="789"/>
      <c r="AE189" s="789"/>
    </row>
    <row s="13656" customFormat="1" customHeight="1" ht="11.25">
      <c r="A190" s="1211"/>
      <c r="B190" s="1864"/>
      <c r="C190" s="1864"/>
      <c r="D190" s="574"/>
      <c r="K190" s="1385"/>
      <c r="L190" s="1864"/>
      <c r="M190" s="1864"/>
      <c r="N190" s="1385"/>
      <c r="O190" s="1385"/>
      <c r="P190" s="1385"/>
      <c r="Q190" s="1385"/>
      <c r="R190" s="1864"/>
      <c r="S190" s="1385"/>
      <c r="T190" s="1385"/>
      <c r="U190" s="767"/>
      <c r="V190" s="1385"/>
      <c r="W190" s="1385"/>
      <c r="X190" s="1385"/>
      <c r="Y190" s="1385"/>
      <c r="Z190" s="1385"/>
      <c r="AA190" s="1860"/>
      <c r="AB190" s="789"/>
      <c r="AC190" s="789"/>
      <c r="AD190" s="789"/>
      <c r="AE190" s="789"/>
    </row>
    <row s="13656" customFormat="1" customHeight="1" ht="11.25">
      <c r="A191" s="1211"/>
      <c r="B191" s="1864"/>
      <c r="C191" s="1864"/>
      <c r="D191" s="574"/>
      <c r="K191" s="1385"/>
      <c r="L191" s="1864"/>
      <c r="M191" s="1864"/>
      <c r="N191" s="1385"/>
      <c r="O191" s="1385"/>
      <c r="P191" s="1385"/>
      <c r="Q191" s="1385"/>
      <c r="R191" s="1864"/>
      <c r="S191" s="1385"/>
      <c r="T191" s="1385"/>
      <c r="U191" s="767"/>
      <c r="V191" s="1385"/>
      <c r="W191" s="1385"/>
      <c r="X191" s="1385"/>
      <c r="Y191" s="1385"/>
      <c r="Z191" s="1385"/>
      <c r="AA191" s="1860"/>
      <c r="AB191" s="789"/>
      <c r="AC191" s="789"/>
      <c r="AD191" s="789"/>
      <c r="AE191" s="789"/>
    </row>
    <row s="13656" customFormat="1" customHeight="1" ht="11.25">
      <c r="A192" s="1211"/>
      <c r="B192" s="1864"/>
      <c r="C192" s="1864"/>
      <c r="D192" s="574"/>
      <c r="K192" s="1385"/>
      <c r="L192" s="1864"/>
      <c r="M192" s="1864"/>
      <c r="N192" s="1385"/>
      <c r="O192" s="1385"/>
      <c r="P192" s="1385"/>
      <c r="Q192" s="1385"/>
      <c r="R192" s="1864"/>
      <c r="S192" s="1385"/>
      <c r="T192" s="1385"/>
      <c r="U192" s="767"/>
      <c r="V192" s="1385"/>
      <c r="W192" s="1385"/>
      <c r="X192" s="1385"/>
      <c r="Y192" s="1385"/>
      <c r="Z192" s="1385"/>
      <c r="AA192" s="1860"/>
      <c r="AB192" s="789"/>
      <c r="AC192" s="789"/>
      <c r="AD192" s="789"/>
      <c r="AE192" s="789"/>
    </row>
    <row s="13656" customFormat="1" customHeight="1" ht="11.25">
      <c r="A193" s="1211"/>
      <c r="B193" s="1864"/>
      <c r="C193" s="1864"/>
      <c r="D193" s="574"/>
      <c r="K193" s="1385"/>
      <c r="L193" s="1864"/>
      <c r="M193" s="1864"/>
      <c r="N193" s="1385"/>
      <c r="O193" s="1385"/>
      <c r="P193" s="1385"/>
      <c r="Q193" s="1385"/>
      <c r="R193" s="1864"/>
      <c r="S193" s="1385"/>
      <c r="T193" s="1385"/>
      <c r="U193" s="767"/>
      <c r="V193" s="1385"/>
      <c r="W193" s="1385"/>
      <c r="X193" s="1385"/>
      <c r="Y193" s="1385"/>
      <c r="Z193" s="1385"/>
      <c r="AA193" s="1860"/>
      <c r="AB193" s="789"/>
      <c r="AC193" s="789"/>
      <c r="AD193" s="789"/>
      <c r="AE193" s="789"/>
    </row>
    <row s="13656" customFormat="1" customHeight="1" ht="11.25">
      <c r="A194" s="1211"/>
      <c r="B194" s="1864"/>
      <c r="C194" s="1864"/>
      <c r="D194" s="574"/>
      <c r="K194" s="1385"/>
      <c r="L194" s="1864"/>
      <c r="M194" s="1864"/>
      <c r="N194" s="1385"/>
      <c r="O194" s="1385"/>
      <c r="P194" s="1385"/>
      <c r="Q194" s="1385"/>
      <c r="R194" s="1864"/>
      <c r="S194" s="1385"/>
      <c r="T194" s="1385"/>
      <c r="U194" s="767"/>
      <c r="V194" s="1385"/>
      <c r="W194" s="1385"/>
      <c r="X194" s="1385"/>
      <c r="Y194" s="1385"/>
      <c r="Z194" s="1385"/>
      <c r="AA194" s="1860"/>
      <c r="AB194" s="789"/>
      <c r="AC194" s="789"/>
      <c r="AD194" s="789"/>
      <c r="AE194" s="789"/>
    </row>
    <row s="13656" customFormat="1" customHeight="1" ht="11.25">
      <c r="A195" s="1211"/>
      <c r="B195" s="1864"/>
      <c r="C195" s="1864"/>
      <c r="D195" s="574"/>
      <c r="K195" s="1385"/>
      <c r="L195" s="1864"/>
      <c r="M195" s="1864"/>
      <c r="N195" s="1385"/>
      <c r="O195" s="1385"/>
      <c r="P195" s="1385"/>
      <c r="Q195" s="1385"/>
      <c r="R195" s="1864"/>
      <c r="S195" s="1385"/>
      <c r="T195" s="1385"/>
      <c r="U195" s="767"/>
      <c r="V195" s="1385"/>
      <c r="W195" s="1385"/>
      <c r="X195" s="1385"/>
      <c r="Y195" s="1385"/>
      <c r="Z195" s="1385"/>
      <c r="AA195" s="1860"/>
      <c r="AB195" s="789"/>
      <c r="AC195" s="789"/>
      <c r="AD195" s="789"/>
      <c r="AE195" s="789"/>
    </row>
    <row s="13656" customFormat="1" customHeight="1" ht="11.25">
      <c r="A196" s="1211"/>
      <c r="B196" s="1864"/>
      <c r="C196" s="1864"/>
      <c r="D196" s="574"/>
      <c r="K196" s="1385"/>
      <c r="L196" s="1864"/>
      <c r="M196" s="1864"/>
      <c r="N196" s="1385"/>
      <c r="O196" s="1385"/>
      <c r="P196" s="1385"/>
      <c r="Q196" s="1385"/>
      <c r="R196" s="1864"/>
      <c r="S196" s="1385"/>
      <c r="T196" s="1385"/>
      <c r="U196" s="767"/>
      <c r="V196" s="1385"/>
      <c r="W196" s="1385"/>
      <c r="X196" s="1385"/>
      <c r="Y196" s="1385"/>
      <c r="Z196" s="1385"/>
      <c r="AA196" s="1860"/>
      <c r="AB196" s="789"/>
      <c r="AC196" s="789"/>
      <c r="AD196" s="789"/>
      <c r="AE196" s="789"/>
    </row>
    <row s="13656" customFormat="1" customHeight="1" ht="11.25">
      <c r="A197" s="1211"/>
      <c r="B197" s="1864"/>
      <c r="C197" s="1864"/>
      <c r="D197" s="574"/>
      <c r="K197" s="1385"/>
      <c r="L197" s="1864"/>
      <c r="M197" s="1864"/>
      <c r="N197" s="1385"/>
      <c r="O197" s="1385"/>
      <c r="P197" s="1385"/>
      <c r="Q197" s="1385"/>
      <c r="R197" s="1864"/>
      <c r="S197" s="1385"/>
      <c r="T197" s="1385"/>
      <c r="U197" s="767"/>
      <c r="V197" s="1385"/>
      <c r="W197" s="1385"/>
      <c r="X197" s="1385"/>
      <c r="Y197" s="1385"/>
      <c r="Z197" s="1385"/>
      <c r="AA197" s="1860"/>
      <c r="AB197" s="789"/>
      <c r="AC197" s="789"/>
      <c r="AD197" s="789"/>
      <c r="AE197" s="789"/>
    </row>
    <row s="13656" customFormat="1" customHeight="1" ht="11.25">
      <c r="A198" s="1211"/>
      <c r="B198" s="1864"/>
      <c r="C198" s="1864"/>
      <c r="D198" s="574"/>
      <c r="K198" s="1385"/>
      <c r="L198" s="1864"/>
      <c r="M198" s="1864"/>
      <c r="N198" s="1385"/>
      <c r="O198" s="1385"/>
      <c r="P198" s="1385"/>
      <c r="Q198" s="1385"/>
      <c r="R198" s="1864"/>
      <c r="S198" s="1385"/>
      <c r="T198" s="1385"/>
      <c r="U198" s="767"/>
      <c r="V198" s="1385"/>
      <c r="W198" s="1385"/>
      <c r="X198" s="1385"/>
      <c r="Y198" s="1385"/>
      <c r="Z198" s="1385"/>
      <c r="AA198" s="1860"/>
      <c r="AB198" s="789"/>
      <c r="AC198" s="789"/>
      <c r="AD198" s="789"/>
      <c r="AE198" s="789"/>
    </row>
    <row s="13656" customFormat="1" customHeight="1" ht="11.25">
      <c r="A199" s="1211"/>
      <c r="B199" s="1864"/>
      <c r="C199" s="1864"/>
      <c r="D199" s="574"/>
      <c r="K199" s="1385"/>
      <c r="L199" s="1864"/>
      <c r="M199" s="1864"/>
      <c r="N199" s="1385"/>
      <c r="O199" s="1385"/>
      <c r="P199" s="1385"/>
      <c r="Q199" s="1385"/>
      <c r="R199" s="1864"/>
      <c r="S199" s="1385"/>
      <c r="T199" s="1385"/>
      <c r="U199" s="767"/>
      <c r="V199" s="1385"/>
      <c r="W199" s="1385"/>
      <c r="X199" s="1385"/>
      <c r="Y199" s="1385"/>
      <c r="Z199" s="1385"/>
      <c r="AA199" s="1860"/>
      <c r="AB199" s="789"/>
      <c r="AC199" s="789"/>
      <c r="AD199" s="789"/>
      <c r="AE199" s="789"/>
    </row>
    <row s="13656" customFormat="1" customHeight="1" ht="11.25">
      <c r="A200" s="1211"/>
      <c r="B200" s="1864"/>
      <c r="C200" s="1864"/>
      <c r="D200" s="574"/>
      <c r="K200" s="1385"/>
      <c r="L200" s="1864"/>
      <c r="M200" s="1864"/>
      <c r="N200" s="1385"/>
      <c r="O200" s="1385"/>
      <c r="P200" s="1385"/>
      <c r="Q200" s="1385"/>
      <c r="R200" s="1864"/>
      <c r="S200" s="1385"/>
      <c r="T200" s="1385"/>
      <c r="U200" s="767"/>
      <c r="V200" s="1385"/>
      <c r="W200" s="1385"/>
      <c r="X200" s="1385"/>
      <c r="Y200" s="1385"/>
      <c r="Z200" s="1385"/>
      <c r="AA200" s="1860"/>
      <c r="AB200" s="789"/>
      <c r="AC200" s="789"/>
      <c r="AD200" s="789"/>
      <c r="AE200" s="789"/>
    </row>
    <row s="13656" customFormat="1" customHeight="1" ht="11.25">
      <c r="A201" s="1211"/>
      <c r="B201" s="1864"/>
      <c r="C201" s="1864"/>
      <c r="D201" s="574"/>
      <c r="K201" s="1385"/>
      <c r="L201" s="1864"/>
      <c r="M201" s="1864"/>
      <c r="N201" s="1385"/>
      <c r="O201" s="1385"/>
      <c r="P201" s="1385"/>
      <c r="Q201" s="1385"/>
      <c r="R201" s="1864"/>
      <c r="S201" s="1385"/>
      <c r="T201" s="1385"/>
      <c r="U201" s="767"/>
      <c r="V201" s="1385"/>
      <c r="W201" s="1385"/>
      <c r="X201" s="1385"/>
      <c r="Y201" s="1385"/>
      <c r="Z201" s="1385"/>
      <c r="AA201" s="1860"/>
      <c r="AB201" s="789"/>
      <c r="AC201" s="789"/>
      <c r="AD201" s="789"/>
      <c r="AE201" s="789"/>
    </row>
    <row s="13656" customFormat="1" customHeight="1" ht="11.25">
      <c r="A202" s="1211"/>
      <c r="B202" s="1864"/>
      <c r="C202" s="1864"/>
      <c r="D202" s="574"/>
      <c r="K202" s="1385"/>
      <c r="L202" s="1864"/>
      <c r="M202" s="1864"/>
      <c r="N202" s="1385"/>
      <c r="O202" s="1385"/>
      <c r="P202" s="1385"/>
      <c r="Q202" s="1385"/>
      <c r="R202" s="1864"/>
      <c r="S202" s="1385"/>
      <c r="T202" s="1385"/>
      <c r="U202" s="767"/>
      <c r="V202" s="1385"/>
      <c r="W202" s="1385"/>
      <c r="X202" s="1385"/>
      <c r="Y202" s="1385"/>
      <c r="Z202" s="1385"/>
      <c r="AA202" s="1860"/>
      <c r="AB202" s="789"/>
      <c r="AC202" s="789"/>
      <c r="AD202" s="789"/>
      <c r="AE202" s="789"/>
    </row>
    <row s="13656" customFormat="1" customHeight="1" ht="11.25">
      <c r="A203" s="1211"/>
      <c r="B203" s="1864"/>
      <c r="C203" s="1864"/>
      <c r="D203" s="574"/>
      <c r="K203" s="1385"/>
      <c r="L203" s="1864"/>
      <c r="M203" s="1864"/>
      <c r="N203" s="1385"/>
      <c r="O203" s="1385"/>
      <c r="P203" s="1385"/>
      <c r="Q203" s="1385"/>
      <c r="R203" s="1864"/>
      <c r="S203" s="1385"/>
      <c r="T203" s="1385"/>
      <c r="U203" s="767"/>
      <c r="V203" s="1385"/>
      <c r="W203" s="1385"/>
      <c r="X203" s="1385"/>
      <c r="Y203" s="1385"/>
      <c r="Z203" s="1385"/>
      <c r="AA203" s="1860"/>
      <c r="AB203" s="789"/>
      <c r="AC203" s="789"/>
      <c r="AD203" s="789"/>
      <c r="AE203" s="789"/>
    </row>
    <row s="13656" customFormat="1" customHeight="1" ht="11.25">
      <c r="A204" s="1211"/>
      <c r="B204" s="1864"/>
      <c r="C204" s="1864"/>
      <c r="D204" s="574"/>
      <c r="K204" s="1385"/>
      <c r="L204" s="1864"/>
      <c r="M204" s="1864"/>
      <c r="N204" s="1385"/>
      <c r="O204" s="1385"/>
      <c r="P204" s="1385"/>
      <c r="Q204" s="1385"/>
      <c r="R204" s="1864"/>
      <c r="S204" s="1385"/>
      <c r="T204" s="1385"/>
      <c r="U204" s="767"/>
      <c r="V204" s="1385"/>
      <c r="W204" s="1385"/>
      <c r="X204" s="1385"/>
      <c r="Y204" s="1385"/>
      <c r="Z204" s="1385"/>
      <c r="AA204" s="1860"/>
      <c r="AB204" s="789"/>
      <c r="AC204" s="789"/>
      <c r="AD204" s="789"/>
      <c r="AE204" s="789"/>
    </row>
    <row s="13656" customFormat="1" customHeight="1" ht="11.25">
      <c r="A205" s="1211"/>
      <c r="B205" s="1864"/>
      <c r="C205" s="1864"/>
      <c r="D205" s="574"/>
      <c r="K205" s="1385"/>
      <c r="L205" s="1864"/>
      <c r="M205" s="1864"/>
      <c r="N205" s="1385"/>
      <c r="O205" s="1385"/>
      <c r="P205" s="1385"/>
      <c r="Q205" s="1385"/>
      <c r="R205" s="1864"/>
      <c r="S205" s="1385"/>
      <c r="T205" s="1385"/>
      <c r="U205" s="767"/>
      <c r="V205" s="1385"/>
      <c r="W205" s="1385"/>
      <c r="X205" s="1385"/>
      <c r="Y205" s="1385"/>
      <c r="Z205" s="1385"/>
      <c r="AA205" s="1860"/>
      <c r="AB205" s="789"/>
      <c r="AC205" s="789"/>
      <c r="AD205" s="789"/>
      <c r="AE205" s="789"/>
    </row>
    <row s="13656" customFormat="1" customHeight="1" ht="11.25">
      <c r="A206" s="1211"/>
      <c r="B206" s="1864"/>
      <c r="C206" s="1864"/>
      <c r="D206" s="574"/>
      <c r="K206" s="1385"/>
      <c r="L206" s="1864"/>
      <c r="M206" s="1864"/>
      <c r="N206" s="1385"/>
      <c r="O206" s="1385"/>
      <c r="P206" s="1385"/>
      <c r="Q206" s="1385"/>
      <c r="R206" s="1864"/>
      <c r="S206" s="1385"/>
      <c r="T206" s="1385"/>
      <c r="U206" s="767"/>
      <c r="V206" s="1385"/>
      <c r="W206" s="1385"/>
      <c r="X206" s="1385"/>
      <c r="Y206" s="1385"/>
      <c r="Z206" s="1385"/>
      <c r="AA206" s="1860"/>
      <c r="AB206" s="789"/>
      <c r="AC206" s="789"/>
      <c r="AD206" s="789"/>
      <c r="AE206" s="789"/>
    </row>
    <row s="13656" customFormat="1" customHeight="1" ht="11.25">
      <c r="A207" s="1211"/>
      <c r="B207" s="1864"/>
      <c r="C207" s="1864"/>
      <c r="D207" s="574"/>
      <c r="K207" s="1385"/>
      <c r="L207" s="1864"/>
      <c r="M207" s="1864"/>
      <c r="N207" s="1385"/>
      <c r="O207" s="1385"/>
      <c r="P207" s="1385"/>
      <c r="Q207" s="1385"/>
      <c r="R207" s="1864"/>
      <c r="S207" s="1385"/>
      <c r="T207" s="1385"/>
      <c r="U207" s="767"/>
      <c r="V207" s="1385"/>
      <c r="W207" s="1385"/>
      <c r="X207" s="1385"/>
      <c r="Y207" s="1385"/>
      <c r="Z207" s="1385"/>
      <c r="AA207" s="1860"/>
      <c r="AB207" s="789"/>
      <c r="AC207" s="789"/>
      <c r="AD207" s="789"/>
      <c r="AE207" s="789"/>
    </row>
    <row s="13656" customFormat="1" customHeight="1" ht="11.25">
      <c r="A208" s="1211"/>
      <c r="B208" s="1864"/>
      <c r="C208" s="1864"/>
      <c r="D208" s="574"/>
      <c r="K208" s="1385"/>
      <c r="L208" s="1864"/>
      <c r="M208" s="1864"/>
      <c r="N208" s="1385"/>
      <c r="O208" s="1385"/>
      <c r="P208" s="1385"/>
      <c r="Q208" s="1385"/>
      <c r="R208" s="1864"/>
      <c r="S208" s="1385"/>
      <c r="T208" s="1385"/>
      <c r="U208" s="767"/>
      <c r="V208" s="1385"/>
      <c r="W208" s="1385"/>
      <c r="X208" s="1385"/>
      <c r="Y208" s="1385"/>
      <c r="Z208" s="1385"/>
      <c r="AA208" s="1860"/>
      <c r="AB208" s="789"/>
      <c r="AC208" s="789"/>
      <c r="AD208" s="789"/>
      <c r="AE208" s="789"/>
    </row>
    <row s="13656" customFormat="1" customHeight="1" ht="11.25">
      <c r="A209" s="1211"/>
      <c r="B209" s="1864"/>
      <c r="C209" s="1864"/>
      <c r="D209" s="574"/>
      <c r="K209" s="1385"/>
      <c r="L209" s="1864"/>
      <c r="M209" s="1864"/>
      <c r="N209" s="1385"/>
      <c r="O209" s="1385"/>
      <c r="P209" s="1385"/>
      <c r="Q209" s="1385"/>
      <c r="R209" s="1864"/>
      <c r="S209" s="1385"/>
      <c r="T209" s="1385"/>
      <c r="U209" s="767"/>
      <c r="V209" s="1385"/>
      <c r="W209" s="1385"/>
      <c r="X209" s="1385"/>
      <c r="Y209" s="1385"/>
      <c r="Z209" s="1385"/>
      <c r="AA209" s="1860"/>
      <c r="AB209" s="789"/>
      <c r="AC209" s="789"/>
      <c r="AD209" s="789"/>
      <c r="AE209" s="789"/>
    </row>
    <row s="13656" customFormat="1" customHeight="1" ht="11.25">
      <c r="A210" s="1211"/>
      <c r="B210" s="1864"/>
      <c r="C210" s="1864"/>
      <c r="D210" s="574"/>
      <c r="K210" s="1385"/>
      <c r="L210" s="1864"/>
      <c r="M210" s="1864"/>
      <c r="N210" s="1385"/>
      <c r="O210" s="1385"/>
      <c r="P210" s="1385"/>
      <c r="Q210" s="1385"/>
      <c r="R210" s="1864"/>
      <c r="S210" s="1385"/>
      <c r="T210" s="1385"/>
      <c r="U210" s="767"/>
      <c r="V210" s="1385"/>
      <c r="W210" s="1385"/>
      <c r="X210" s="1385"/>
      <c r="Y210" s="1385"/>
      <c r="Z210" s="1385"/>
      <c r="AA210" s="1860"/>
      <c r="AB210" s="789"/>
      <c r="AC210" s="789"/>
      <c r="AD210" s="789"/>
      <c r="AE210" s="789"/>
    </row>
    <row s="13656" customFormat="1" customHeight="1" ht="11.25">
      <c r="A211" s="1211"/>
      <c r="B211" s="1864"/>
      <c r="C211" s="1864"/>
      <c r="D211" s="574"/>
      <c r="K211" s="1385"/>
      <c r="L211" s="1864"/>
      <c r="M211" s="1864"/>
      <c r="N211" s="1385"/>
      <c r="O211" s="1385"/>
      <c r="P211" s="1385"/>
      <c r="Q211" s="1385"/>
      <c r="R211" s="1864"/>
      <c r="S211" s="1385"/>
      <c r="T211" s="1385"/>
      <c r="U211" s="767"/>
      <c r="V211" s="1385"/>
      <c r="W211" s="1385"/>
      <c r="X211" s="1385"/>
      <c r="Y211" s="1385"/>
      <c r="Z211" s="1385"/>
      <c r="AA211" s="1860"/>
      <c r="AB211" s="789"/>
      <c r="AC211" s="789"/>
      <c r="AD211" s="789"/>
      <c r="AE211" s="789"/>
    </row>
    <row s="13656" customFormat="1" customHeight="1" ht="11.25">
      <c r="A212" s="1211"/>
      <c r="B212" s="1864"/>
      <c r="C212" s="1864"/>
      <c r="D212" s="574"/>
      <c r="K212" s="1385"/>
      <c r="L212" s="1864"/>
      <c r="M212" s="1864"/>
      <c r="N212" s="1385"/>
      <c r="O212" s="1385"/>
      <c r="P212" s="1385"/>
      <c r="Q212" s="1385"/>
      <c r="R212" s="1864"/>
      <c r="S212" s="1385"/>
      <c r="T212" s="1385"/>
      <c r="U212" s="767"/>
      <c r="V212" s="1385"/>
      <c r="W212" s="1385"/>
      <c r="X212" s="1385"/>
      <c r="Y212" s="1385"/>
      <c r="Z212" s="1385"/>
      <c r="AA212" s="1860"/>
      <c r="AB212" s="789"/>
      <c r="AC212" s="789"/>
      <c r="AD212" s="789"/>
      <c r="AE212" s="789"/>
    </row>
    <row s="13656" customFormat="1" customHeight="1" ht="11.25">
      <c r="A213" s="1211"/>
      <c r="B213" s="1864"/>
      <c r="C213" s="1864"/>
      <c r="D213" s="574"/>
      <c r="K213" s="1385"/>
      <c r="L213" s="1864"/>
      <c r="M213" s="1864"/>
      <c r="N213" s="1385"/>
      <c r="O213" s="1385"/>
      <c r="P213" s="1385"/>
      <c r="Q213" s="1385"/>
      <c r="R213" s="1864"/>
      <c r="S213" s="1385"/>
      <c r="T213" s="1385"/>
      <c r="U213" s="767"/>
      <c r="V213" s="1385"/>
      <c r="W213" s="1385"/>
      <c r="X213" s="1385"/>
      <c r="Y213" s="1385"/>
      <c r="Z213" s="1385"/>
      <c r="AA213" s="1860"/>
      <c r="AB213" s="789"/>
      <c r="AC213" s="789"/>
      <c r="AD213" s="789"/>
      <c r="AE213" s="789"/>
    </row>
    <row s="13656" customFormat="1" customHeight="1" ht="11.25">
      <c r="A214" s="1211"/>
      <c r="B214" s="1864"/>
      <c r="C214" s="1864"/>
      <c r="D214" s="574"/>
      <c r="K214" s="1385"/>
      <c r="L214" s="1864"/>
      <c r="M214" s="1864"/>
      <c r="N214" s="1385"/>
      <c r="O214" s="1385"/>
      <c r="P214" s="1385"/>
      <c r="Q214" s="1385"/>
      <c r="R214" s="1864"/>
      <c r="S214" s="1385"/>
      <c r="T214" s="1385"/>
      <c r="U214" s="767"/>
      <c r="V214" s="1385"/>
      <c r="W214" s="1385"/>
      <c r="X214" s="1385"/>
      <c r="Y214" s="1385"/>
      <c r="Z214" s="1385"/>
      <c r="AA214" s="1860"/>
      <c r="AB214" s="789"/>
      <c r="AC214" s="789"/>
      <c r="AD214" s="789"/>
      <c r="AE214" s="789"/>
    </row>
    <row s="13656" customFormat="1" customHeight="1" ht="11.25">
      <c r="A215" s="1211"/>
      <c r="B215" s="1864"/>
      <c r="C215" s="1864"/>
      <c r="D215" s="574"/>
      <c r="K215" s="1385"/>
      <c r="L215" s="1864"/>
      <c r="M215" s="1864"/>
      <c r="N215" s="1385"/>
      <c r="O215" s="1385"/>
      <c r="P215" s="1385"/>
      <c r="Q215" s="1385"/>
      <c r="R215" s="1864"/>
      <c r="S215" s="1385"/>
      <c r="T215" s="1385"/>
      <c r="U215" s="767"/>
      <c r="V215" s="1385"/>
      <c r="W215" s="1385"/>
      <c r="X215" s="1385"/>
      <c r="Y215" s="1385"/>
      <c r="Z215" s="1385"/>
      <c r="AA215" s="1860"/>
      <c r="AB215" s="789"/>
      <c r="AC215" s="789"/>
      <c r="AD215" s="789"/>
      <c r="AE215" s="789"/>
    </row>
    <row s="13656" customFormat="1" customHeight="1" ht="11.25">
      <c r="A216" s="1211"/>
      <c r="B216" s="1864"/>
      <c r="C216" s="1864"/>
      <c r="D216" s="574"/>
      <c r="K216" s="1385"/>
      <c r="L216" s="1864"/>
      <c r="M216" s="1864"/>
      <c r="N216" s="1385"/>
      <c r="O216" s="1385"/>
      <c r="P216" s="1385"/>
      <c r="Q216" s="1385"/>
      <c r="R216" s="1864"/>
      <c r="S216" s="1385"/>
      <c r="T216" s="1385"/>
      <c r="U216" s="767"/>
      <c r="V216" s="1385"/>
      <c r="W216" s="1385"/>
      <c r="X216" s="1385"/>
      <c r="Y216" s="1385"/>
      <c r="Z216" s="1385"/>
      <c r="AA216" s="1860"/>
      <c r="AB216" s="789"/>
      <c r="AC216" s="789"/>
      <c r="AD216" s="789"/>
      <c r="AE216" s="789"/>
    </row>
    <row s="13656" customFormat="1" customHeight="1" ht="11.25">
      <c r="A217" s="1211"/>
      <c r="B217" s="1864"/>
      <c r="C217" s="1864"/>
      <c r="D217" s="574"/>
      <c r="K217" s="1385"/>
      <c r="L217" s="1864"/>
      <c r="M217" s="1864"/>
      <c r="N217" s="1385"/>
      <c r="O217" s="1385"/>
      <c r="P217" s="1385"/>
      <c r="Q217" s="1385"/>
      <c r="R217" s="1864"/>
      <c r="S217" s="1385"/>
      <c r="T217" s="1385"/>
      <c r="U217" s="767"/>
      <c r="V217" s="1385"/>
      <c r="W217" s="1385"/>
      <c r="X217" s="1385"/>
      <c r="Y217" s="1385"/>
      <c r="Z217" s="1385"/>
      <c r="AA217" s="1860"/>
      <c r="AB217" s="789"/>
      <c r="AC217" s="789"/>
      <c r="AD217" s="789"/>
      <c r="AE217" s="789"/>
    </row>
    <row s="13656" customFormat="1" customHeight="1" ht="11.25">
      <c r="A218" s="1211"/>
      <c r="B218" s="1864"/>
      <c r="C218" s="1864"/>
      <c r="D218" s="574"/>
      <c r="K218" s="1385"/>
      <c r="L218" s="1864"/>
      <c r="M218" s="1864"/>
      <c r="N218" s="1385"/>
      <c r="O218" s="1385"/>
      <c r="P218" s="1385"/>
      <c r="Q218" s="1385"/>
      <c r="R218" s="1864"/>
      <c r="S218" s="1385"/>
      <c r="T218" s="1385"/>
      <c r="U218" s="767"/>
      <c r="V218" s="1385"/>
      <c r="W218" s="1385"/>
      <c r="X218" s="1385"/>
      <c r="Y218" s="1385"/>
      <c r="Z218" s="1385"/>
      <c r="AA218" s="1860"/>
      <c r="AB218" s="789"/>
      <c r="AC218" s="789"/>
      <c r="AD218" s="789"/>
      <c r="AE218" s="789"/>
    </row>
    <row s="13656" customFormat="1" customHeight="1" ht="11.25">
      <c r="A219" s="1211"/>
      <c r="B219" s="1864"/>
      <c r="C219" s="1864"/>
      <c r="D219" s="574"/>
      <c r="K219" s="1385"/>
      <c r="L219" s="1864"/>
      <c r="M219" s="1864"/>
      <c r="N219" s="1385"/>
      <c r="O219" s="1385"/>
      <c r="P219" s="1385"/>
      <c r="Q219" s="1385"/>
      <c r="R219" s="1864"/>
      <c r="S219" s="1385"/>
      <c r="T219" s="1385"/>
      <c r="U219" s="767"/>
      <c r="V219" s="1385"/>
      <c r="W219" s="1385"/>
      <c r="X219" s="1385"/>
      <c r="Y219" s="1385"/>
      <c r="Z219" s="1385"/>
      <c r="AA219" s="1860"/>
      <c r="AB219" s="789"/>
      <c r="AC219" s="789"/>
      <c r="AD219" s="789"/>
      <c r="AE219" s="789"/>
    </row>
    <row s="13656" customFormat="1" customHeight="1" ht="11.25">
      <c r="A220" s="1211"/>
      <c r="B220" s="1864"/>
      <c r="C220" s="1864"/>
      <c r="D220" s="574"/>
      <c r="K220" s="1385"/>
      <c r="L220" s="1864"/>
      <c r="M220" s="1864"/>
      <c r="N220" s="1385"/>
      <c r="O220" s="1385"/>
      <c r="P220" s="1385"/>
      <c r="Q220" s="1385"/>
      <c r="R220" s="1864"/>
      <c r="S220" s="1385"/>
      <c r="T220" s="1385"/>
      <c r="U220" s="767"/>
      <c r="V220" s="1385"/>
      <c r="W220" s="1385"/>
      <c r="X220" s="1385"/>
      <c r="Y220" s="1385"/>
      <c r="Z220" s="1385"/>
      <c r="AA220" s="1860"/>
      <c r="AB220" s="789"/>
      <c r="AC220" s="789"/>
      <c r="AD220" s="789"/>
      <c r="AE220" s="789"/>
    </row>
    <row s="13656" customFormat="1" customHeight="1" ht="11.25">
      <c r="A221" s="1211"/>
      <c r="B221" s="1864"/>
      <c r="C221" s="1864"/>
      <c r="D221" s="574"/>
      <c r="K221" s="1385"/>
      <c r="L221" s="1864"/>
      <c r="M221" s="1864"/>
      <c r="N221" s="1385"/>
      <c r="O221" s="1385"/>
      <c r="P221" s="1385"/>
      <c r="Q221" s="1385"/>
      <c r="R221" s="1864"/>
      <c r="S221" s="1385"/>
      <c r="T221" s="1385"/>
      <c r="U221" s="767"/>
      <c r="V221" s="1385"/>
      <c r="W221" s="1385"/>
      <c r="X221" s="1385"/>
      <c r="Y221" s="1385"/>
      <c r="Z221" s="1385"/>
      <c r="AA221" s="1860"/>
      <c r="AB221" s="789"/>
      <c r="AC221" s="789"/>
      <c r="AD221" s="789"/>
      <c r="AE221" s="789"/>
    </row>
    <row s="13656" customFormat="1" customHeight="1" ht="11.25">
      <c r="A222" s="1211"/>
      <c r="B222" s="1864"/>
      <c r="C222" s="1864"/>
      <c r="D222" s="574"/>
      <c r="K222" s="1385"/>
      <c r="L222" s="1864"/>
      <c r="M222" s="1864"/>
      <c r="N222" s="1385"/>
      <c r="O222" s="1385"/>
      <c r="P222" s="1385"/>
      <c r="Q222" s="1385"/>
      <c r="R222" s="1864"/>
      <c r="S222" s="1385"/>
      <c r="T222" s="1385"/>
      <c r="U222" s="767"/>
      <c r="V222" s="1385"/>
      <c r="W222" s="1385"/>
      <c r="X222" s="1385"/>
      <c r="Y222" s="1385"/>
      <c r="Z222" s="1385"/>
      <c r="AA222" s="1860"/>
      <c r="AB222" s="789"/>
      <c r="AC222" s="789"/>
      <c r="AD222" s="789"/>
      <c r="AE222" s="789"/>
    </row>
    <row s="13656" customFormat="1" customHeight="1" ht="11.25">
      <c r="A223" s="1211"/>
      <c r="B223" s="1864"/>
      <c r="C223" s="1864"/>
      <c r="D223" s="574"/>
      <c r="K223" s="1385"/>
      <c r="L223" s="1864"/>
      <c r="M223" s="1864"/>
      <c r="N223" s="1385"/>
      <c r="O223" s="1385"/>
      <c r="P223" s="1385"/>
      <c r="Q223" s="1385"/>
      <c r="R223" s="1864"/>
      <c r="S223" s="1385"/>
      <c r="T223" s="1385"/>
      <c r="U223" s="767"/>
      <c r="V223" s="1385"/>
      <c r="W223" s="1385"/>
      <c r="X223" s="1385"/>
      <c r="Y223" s="1385"/>
      <c r="Z223" s="1385"/>
      <c r="AA223" s="1860"/>
      <c r="AB223" s="789"/>
      <c r="AC223" s="789"/>
      <c r="AD223" s="789"/>
      <c r="AE223" s="789"/>
    </row>
    <row s="13656" customFormat="1" customHeight="1" ht="11.25">
      <c r="A224" s="1211"/>
      <c r="B224" s="1864"/>
      <c r="C224" s="1864"/>
      <c r="D224" s="574"/>
      <c r="K224" s="1385"/>
      <c r="L224" s="1864"/>
      <c r="M224" s="1864"/>
      <c r="N224" s="1385"/>
      <c r="O224" s="1385"/>
      <c r="P224" s="1385"/>
      <c r="Q224" s="1385"/>
      <c r="R224" s="1864"/>
      <c r="S224" s="1385"/>
      <c r="T224" s="1385"/>
      <c r="U224" s="767"/>
      <c r="V224" s="1385"/>
      <c r="W224" s="1385"/>
      <c r="X224" s="1385"/>
      <c r="Y224" s="1385"/>
      <c r="Z224" s="1385"/>
      <c r="AA224" s="1860"/>
      <c r="AB224" s="789"/>
      <c r="AC224" s="789"/>
      <c r="AD224" s="789"/>
      <c r="AE224" s="789"/>
    </row>
    <row s="13656" customFormat="1" customHeight="1" ht="11.25">
      <c r="A225" s="1211"/>
      <c r="B225" s="1864"/>
      <c r="C225" s="1864"/>
      <c r="D225" s="574"/>
      <c r="K225" s="1385"/>
      <c r="L225" s="1864"/>
      <c r="M225" s="1864"/>
      <c r="N225" s="1385"/>
      <c r="O225" s="1385"/>
      <c r="P225" s="1385"/>
      <c r="Q225" s="1385"/>
      <c r="R225" s="1864"/>
      <c r="S225" s="1385"/>
      <c r="T225" s="1385"/>
      <c r="U225" s="767"/>
      <c r="V225" s="1385"/>
      <c r="W225" s="1385"/>
      <c r="X225" s="1385"/>
      <c r="Y225" s="1385"/>
      <c r="Z225" s="1385"/>
      <c r="AA225" s="1860"/>
      <c r="AB225" s="789"/>
      <c r="AC225" s="789"/>
      <c r="AD225" s="789"/>
      <c r="AE225" s="789"/>
    </row>
    <row s="13656" customFormat="1" customHeight="1" ht="11.25">
      <c r="A226" s="1211"/>
      <c r="B226" s="1864"/>
      <c r="C226" s="1864"/>
      <c r="D226" s="574"/>
      <c r="K226" s="1385"/>
      <c r="L226" s="1864"/>
      <c r="M226" s="1864"/>
      <c r="N226" s="1385"/>
      <c r="O226" s="1385"/>
      <c r="P226" s="1385"/>
      <c r="Q226" s="1385"/>
      <c r="R226" s="1864"/>
      <c r="S226" s="1385"/>
      <c r="T226" s="1385"/>
      <c r="U226" s="767"/>
      <c r="V226" s="1385"/>
      <c r="W226" s="1385"/>
      <c r="X226" s="1385"/>
      <c r="Y226" s="1385"/>
      <c r="Z226" s="1385"/>
      <c r="AA226" s="1860"/>
      <c r="AB226" s="789"/>
      <c r="AC226" s="789"/>
      <c r="AD226" s="789"/>
      <c r="AE226" s="789"/>
    </row>
    <row s="13656" customFormat="1" customHeight="1" ht="11.25">
      <c r="A227" s="1211"/>
      <c r="B227" s="1864"/>
      <c r="C227" s="1864"/>
      <c r="D227" s="574"/>
      <c r="K227" s="1385"/>
      <c r="L227" s="1864"/>
      <c r="M227" s="1864"/>
      <c r="N227" s="1385"/>
      <c r="O227" s="1385"/>
      <c r="P227" s="1385"/>
      <c r="Q227" s="1385"/>
      <c r="R227" s="1864"/>
      <c r="S227" s="1385"/>
      <c r="T227" s="1385"/>
      <c r="U227" s="767"/>
      <c r="V227" s="1385"/>
      <c r="W227" s="1385"/>
      <c r="X227" s="1385"/>
      <c r="Y227" s="1385"/>
      <c r="Z227" s="1385"/>
      <c r="AA227" s="1860"/>
      <c r="AB227" s="789"/>
      <c r="AC227" s="789"/>
      <c r="AD227" s="789"/>
      <c r="AE227" s="789"/>
    </row>
    <row s="13656" customFormat="1" customHeight="1" ht="11.25">
      <c r="A228" s="1211"/>
      <c r="B228" s="1864"/>
      <c r="C228" s="1864"/>
      <c r="D228" s="574"/>
      <c r="K228" s="1385"/>
      <c r="L228" s="1864"/>
      <c r="M228" s="1864"/>
      <c r="N228" s="1385"/>
      <c r="O228" s="1385"/>
      <c r="P228" s="1385"/>
      <c r="Q228" s="1385"/>
      <c r="R228" s="1864"/>
      <c r="S228" s="1385"/>
      <c r="T228" s="1385"/>
      <c r="U228" s="767"/>
      <c r="V228" s="1385"/>
      <c r="W228" s="1385"/>
      <c r="X228" s="1385"/>
      <c r="Y228" s="1385"/>
      <c r="Z228" s="1385"/>
      <c r="AA228" s="1860"/>
      <c r="AB228" s="789"/>
      <c r="AC228" s="789"/>
      <c r="AD228" s="789"/>
      <c r="AE228" s="789"/>
    </row>
    <row s="13656" customFormat="1" customHeight="1" ht="11.25">
      <c r="A229" s="1211"/>
      <c r="B229" s="1864"/>
      <c r="C229" s="1864"/>
      <c r="D229" s="574"/>
      <c r="K229" s="1385"/>
      <c r="L229" s="1864"/>
      <c r="M229" s="1864"/>
      <c r="N229" s="1385"/>
      <c r="O229" s="1385"/>
      <c r="P229" s="1385"/>
      <c r="Q229" s="1385"/>
      <c r="R229" s="1864"/>
      <c r="S229" s="1385"/>
      <c r="T229" s="1385"/>
      <c r="U229" s="767"/>
      <c r="V229" s="1385"/>
      <c r="W229" s="1385"/>
      <c r="X229" s="1385"/>
      <c r="Y229" s="1385"/>
      <c r="Z229" s="1385"/>
      <c r="AA229" s="1860"/>
      <c r="AB229" s="789"/>
      <c r="AC229" s="789"/>
      <c r="AD229" s="789"/>
      <c r="AE229" s="789"/>
    </row>
    <row s="13656" customFormat="1" customHeight="1" ht="11.25">
      <c r="A230" s="1211"/>
      <c r="B230" s="1864"/>
      <c r="C230" s="1864"/>
      <c r="D230" s="574"/>
      <c r="K230" s="1385"/>
      <c r="L230" s="1864"/>
      <c r="M230" s="1864"/>
      <c r="N230" s="1385"/>
      <c r="O230" s="1385"/>
      <c r="P230" s="1385"/>
      <c r="Q230" s="1385"/>
      <c r="R230" s="1864"/>
      <c r="S230" s="1385"/>
      <c r="T230" s="1385"/>
      <c r="U230" s="767"/>
      <c r="V230" s="1385"/>
      <c r="W230" s="1385"/>
      <c r="X230" s="1385"/>
      <c r="Y230" s="1385"/>
      <c r="Z230" s="1385"/>
      <c r="AA230" s="1860"/>
      <c r="AB230" s="789"/>
      <c r="AC230" s="789"/>
      <c r="AD230" s="789"/>
      <c r="AE230" s="789"/>
    </row>
    <row s="13656" customFormat="1" customHeight="1" ht="11.25">
      <c r="A231" s="1211"/>
      <c r="B231" s="1864"/>
      <c r="C231" s="1864"/>
      <c r="D231" s="574"/>
      <c r="K231" s="1385"/>
      <c r="L231" s="1864"/>
      <c r="M231" s="1864"/>
      <c r="N231" s="1385"/>
      <c r="O231" s="1385"/>
      <c r="P231" s="1385"/>
      <c r="Q231" s="1385"/>
      <c r="R231" s="1864"/>
      <c r="S231" s="1385"/>
      <c r="T231" s="1385"/>
      <c r="U231" s="767"/>
      <c r="V231" s="1385"/>
      <c r="W231" s="1385"/>
      <c r="X231" s="1385"/>
      <c r="Y231" s="1385"/>
      <c r="Z231" s="1385"/>
      <c r="AA231" s="1860"/>
      <c r="AB231" s="789"/>
      <c r="AC231" s="789"/>
      <c r="AD231" s="789"/>
      <c r="AE231" s="789"/>
    </row>
    <row s="13656" customFormat="1" customHeight="1" ht="11.25">
      <c r="A232" s="1211"/>
      <c r="B232" s="1864"/>
      <c r="C232" s="1864"/>
      <c r="D232" s="574"/>
      <c r="K232" s="1385"/>
      <c r="L232" s="1864"/>
      <c r="M232" s="1864"/>
      <c r="N232" s="1385"/>
      <c r="O232" s="1385"/>
      <c r="P232" s="1385"/>
      <c r="Q232" s="1385"/>
      <c r="R232" s="1864"/>
      <c r="S232" s="1385"/>
      <c r="T232" s="1385"/>
      <c r="U232" s="767"/>
      <c r="V232" s="1385"/>
      <c r="W232" s="1385"/>
      <c r="X232" s="1385"/>
      <c r="Y232" s="1385"/>
      <c r="Z232" s="1385"/>
      <c r="AA232" s="1860"/>
      <c r="AB232" s="789"/>
      <c r="AC232" s="789"/>
      <c r="AD232" s="789"/>
      <c r="AE232" s="789"/>
    </row>
    <row s="13656" customFormat="1" customHeight="1" ht="11.25">
      <c r="A233" s="1211"/>
      <c r="B233" s="1864"/>
      <c r="C233" s="1864"/>
      <c r="D233" s="574"/>
      <c r="K233" s="1385"/>
      <c r="L233" s="1864"/>
      <c r="M233" s="1864"/>
      <c r="N233" s="1385"/>
      <c r="O233" s="1385"/>
      <c r="P233" s="1385"/>
      <c r="Q233" s="1385"/>
      <c r="R233" s="1864"/>
      <c r="S233" s="1385"/>
      <c r="T233" s="1385"/>
      <c r="U233" s="767"/>
      <c r="V233" s="1385"/>
      <c r="W233" s="1385"/>
      <c r="X233" s="1385"/>
      <c r="Y233" s="1385"/>
      <c r="Z233" s="1385"/>
      <c r="AA233" s="1860"/>
      <c r="AB233" s="789"/>
      <c r="AC233" s="789"/>
      <c r="AD233" s="789"/>
      <c r="AE233" s="789"/>
    </row>
    <row s="13656" customFormat="1" customHeight="1" ht="11.25">
      <c r="A234" s="1211"/>
      <c r="B234" s="1864"/>
      <c r="C234" s="1864"/>
      <c r="D234" s="574"/>
      <c r="K234" s="1385"/>
      <c r="L234" s="1864"/>
      <c r="M234" s="1864"/>
      <c r="N234" s="1385"/>
      <c r="O234" s="1385"/>
      <c r="P234" s="1385"/>
      <c r="Q234" s="1385"/>
      <c r="R234" s="1864"/>
      <c r="S234" s="1385"/>
      <c r="T234" s="1385"/>
      <c r="U234" s="767"/>
      <c r="V234" s="1385"/>
      <c r="W234" s="1385"/>
      <c r="X234" s="1385"/>
      <c r="Y234" s="1385"/>
      <c r="Z234" s="1385"/>
      <c r="AA234" s="1860"/>
      <c r="AB234" s="789"/>
      <c r="AC234" s="789"/>
      <c r="AD234" s="789"/>
      <c r="AE234" s="789"/>
    </row>
    <row s="13656" customFormat="1" customHeight="1" ht="11.25">
      <c r="A235" s="1211"/>
      <c r="B235" s="1864"/>
      <c r="C235" s="1864"/>
      <c r="D235" s="574"/>
      <c r="K235" s="1385"/>
      <c r="L235" s="1864"/>
      <c r="M235" s="1864"/>
      <c r="N235" s="1385"/>
      <c r="O235" s="1385"/>
      <c r="P235" s="1385"/>
      <c r="Q235" s="1385"/>
      <c r="R235" s="1864"/>
      <c r="S235" s="1385"/>
      <c r="T235" s="1385"/>
      <c r="U235" s="767"/>
      <c r="V235" s="1385"/>
      <c r="W235" s="1385"/>
      <c r="X235" s="1385"/>
      <c r="Y235" s="1385"/>
      <c r="Z235" s="1385"/>
      <c r="AA235" s="1860"/>
      <c r="AB235" s="789"/>
      <c r="AC235" s="789"/>
      <c r="AD235" s="789"/>
      <c r="AE235" s="789"/>
    </row>
    <row s="13656" customFormat="1" customHeight="1" ht="11.25">
      <c r="A236" s="1211"/>
      <c r="B236" s="1864"/>
      <c r="C236" s="1864"/>
      <c r="D236" s="574"/>
      <c r="K236" s="1385"/>
      <c r="L236" s="1864"/>
      <c r="M236" s="1864"/>
      <c r="N236" s="1385"/>
      <c r="O236" s="1385"/>
      <c r="P236" s="1385"/>
      <c r="Q236" s="1385"/>
      <c r="R236" s="1864"/>
      <c r="S236" s="1385"/>
      <c r="T236" s="1385"/>
      <c r="U236" s="767"/>
      <c r="V236" s="1385"/>
      <c r="W236" s="1385"/>
      <c r="X236" s="1385"/>
      <c r="Y236" s="1385"/>
      <c r="Z236" s="1385"/>
      <c r="AA236" s="1860"/>
      <c r="AB236" s="789"/>
      <c r="AC236" s="789"/>
      <c r="AD236" s="789"/>
      <c r="AE236" s="789"/>
    </row>
    <row s="13656" customFormat="1" customHeight="1" ht="11.25">
      <c r="A237" s="1211"/>
      <c r="B237" s="1864"/>
      <c r="C237" s="1864"/>
      <c r="D237" s="574"/>
      <c r="K237" s="1385"/>
      <c r="L237" s="1864"/>
      <c r="M237" s="1864"/>
      <c r="N237" s="1385"/>
      <c r="O237" s="1385"/>
      <c r="P237" s="1385"/>
      <c r="Q237" s="1385"/>
      <c r="R237" s="1864"/>
      <c r="S237" s="1385"/>
      <c r="T237" s="1385"/>
      <c r="U237" s="767"/>
      <c r="V237" s="1385"/>
      <c r="W237" s="1385"/>
      <c r="X237" s="1385"/>
      <c r="Y237" s="1385"/>
      <c r="Z237" s="1385"/>
      <c r="AA237" s="1860"/>
      <c r="AB237" s="789"/>
      <c r="AC237" s="789"/>
      <c r="AD237" s="789"/>
      <c r="AE237" s="789"/>
    </row>
    <row s="13656" customFormat="1" customHeight="1" ht="11.25">
      <c r="A238" s="1211"/>
      <c r="B238" s="1864"/>
      <c r="C238" s="1864"/>
      <c r="D238" s="574"/>
      <c r="K238" s="1385"/>
      <c r="L238" s="1864"/>
      <c r="M238" s="1864"/>
      <c r="N238" s="1385"/>
      <c r="O238" s="1385"/>
      <c r="P238" s="1385"/>
      <c r="Q238" s="1385"/>
      <c r="R238" s="1864"/>
      <c r="S238" s="1385"/>
      <c r="T238" s="1385"/>
      <c r="U238" s="767"/>
      <c r="V238" s="1385"/>
      <c r="W238" s="1385"/>
      <c r="X238" s="1385"/>
      <c r="Y238" s="1385"/>
      <c r="Z238" s="1385"/>
      <c r="AA238" s="1860"/>
      <c r="AB238" s="789"/>
      <c r="AC238" s="789"/>
      <c r="AD238" s="789"/>
      <c r="AE238" s="789"/>
    </row>
    <row s="13656" customFormat="1" customHeight="1" ht="11.25">
      <c r="A239" s="1211"/>
      <c r="B239" s="1864"/>
      <c r="C239" s="1864"/>
      <c r="D239" s="574"/>
      <c r="K239" s="1385"/>
      <c r="L239" s="1864"/>
      <c r="M239" s="1864"/>
      <c r="N239" s="1385"/>
      <c r="O239" s="1385"/>
      <c r="P239" s="1385"/>
      <c r="Q239" s="1385"/>
      <c r="R239" s="1864"/>
      <c r="S239" s="1385"/>
      <c r="T239" s="1385"/>
      <c r="U239" s="767"/>
      <c r="V239" s="1385"/>
      <c r="W239" s="1385"/>
      <c r="X239" s="1385"/>
      <c r="Y239" s="1385"/>
      <c r="Z239" s="1385"/>
      <c r="AA239" s="1860"/>
      <c r="AB239" s="789"/>
      <c r="AC239" s="789"/>
      <c r="AD239" s="789"/>
      <c r="AE239" s="789"/>
    </row>
    <row s="13656" customFormat="1" customHeight="1" ht="11.25">
      <c r="A240" s="1211"/>
      <c r="B240" s="1864"/>
      <c r="C240" s="1864"/>
      <c r="D240" s="574"/>
      <c r="K240" s="1385"/>
      <c r="L240" s="1864"/>
      <c r="M240" s="1864"/>
      <c r="N240" s="1385"/>
      <c r="O240" s="1385"/>
      <c r="P240" s="1385"/>
      <c r="Q240" s="1385"/>
      <c r="R240" s="1864"/>
      <c r="S240" s="1385"/>
      <c r="T240" s="1385"/>
      <c r="U240" s="767"/>
      <c r="V240" s="1385"/>
      <c r="W240" s="1385"/>
      <c r="X240" s="1385"/>
      <c r="Y240" s="1385"/>
      <c r="Z240" s="1385"/>
      <c r="AA240" s="1860"/>
      <c r="AB240" s="789"/>
      <c r="AC240" s="789"/>
      <c r="AD240" s="789"/>
      <c r="AE240" s="789"/>
    </row>
    <row s="13656" customFormat="1" customHeight="1" ht="11.25">
      <c r="A241" s="1211"/>
      <c r="B241" s="1864"/>
      <c r="C241" s="1864"/>
      <c r="D241" s="574"/>
      <c r="K241" s="1385"/>
      <c r="L241" s="1864"/>
      <c r="M241" s="1864"/>
      <c r="N241" s="1385"/>
      <c r="O241" s="1385"/>
      <c r="P241" s="1385"/>
      <c r="Q241" s="1385"/>
      <c r="R241" s="1864"/>
      <c r="S241" s="1385"/>
      <c r="T241" s="1385"/>
      <c r="U241" s="767"/>
      <c r="V241" s="1385"/>
      <c r="W241" s="1385"/>
      <c r="X241" s="1385"/>
      <c r="Y241" s="1385"/>
      <c r="Z241" s="1385"/>
      <c r="AA241" s="1860"/>
      <c r="AB241" s="789"/>
      <c r="AC241" s="789"/>
      <c r="AD241" s="789"/>
      <c r="AE241" s="789"/>
    </row>
    <row s="13656" customFormat="1" customHeight="1" ht="11.25">
      <c r="A242" s="1211"/>
      <c r="B242" s="1864"/>
      <c r="C242" s="1864"/>
      <c r="D242" s="574"/>
      <c r="K242" s="1385"/>
      <c r="L242" s="1864"/>
      <c r="M242" s="1864"/>
      <c r="N242" s="1385"/>
      <c r="O242" s="1385"/>
      <c r="P242" s="1385"/>
      <c r="Q242" s="1385"/>
      <c r="R242" s="1864"/>
      <c r="S242" s="1385"/>
      <c r="T242" s="1385"/>
      <c r="U242" s="767"/>
      <c r="V242" s="1385"/>
      <c r="W242" s="1385"/>
      <c r="X242" s="1385"/>
      <c r="Y242" s="1385"/>
      <c r="Z242" s="1385"/>
      <c r="AA242" s="1860"/>
      <c r="AB242" s="789"/>
      <c r="AC242" s="789"/>
      <c r="AD242" s="789"/>
      <c r="AE242" s="789"/>
    </row>
    <row s="13656" customFormat="1" customHeight="1" ht="11.25">
      <c r="A243" s="1211"/>
      <c r="B243" s="1864"/>
      <c r="C243" s="1864"/>
      <c r="D243" s="574"/>
      <c r="K243" s="1385"/>
      <c r="L243" s="1864"/>
      <c r="M243" s="1864"/>
      <c r="N243" s="1385"/>
      <c r="O243" s="1385"/>
      <c r="P243" s="1385"/>
      <c r="Q243" s="1385"/>
      <c r="R243" s="1864"/>
      <c r="S243" s="1385"/>
      <c r="T243" s="1385"/>
      <c r="U243" s="767"/>
      <c r="V243" s="1385"/>
      <c r="W243" s="1385"/>
      <c r="X243" s="1385"/>
      <c r="Y243" s="1385"/>
      <c r="Z243" s="1385"/>
      <c r="AA243" s="1860"/>
      <c r="AB243" s="789"/>
      <c r="AC243" s="789"/>
      <c r="AD243" s="789"/>
      <c r="AE243" s="789"/>
    </row>
    <row s="13656" customFormat="1" customHeight="1" ht="11.25">
      <c r="A244" s="1211"/>
      <c r="B244" s="1864"/>
      <c r="C244" s="1864"/>
      <c r="D244" s="574"/>
      <c r="K244" s="1385"/>
      <c r="L244" s="1864"/>
      <c r="M244" s="1864"/>
      <c r="N244" s="1385"/>
      <c r="O244" s="1385"/>
      <c r="P244" s="1385"/>
      <c r="Q244" s="1385"/>
      <c r="R244" s="1864"/>
      <c r="S244" s="1385"/>
      <c r="T244" s="1385"/>
      <c r="U244" s="767"/>
      <c r="V244" s="1385"/>
      <c r="W244" s="1385"/>
      <c r="X244" s="1385"/>
      <c r="Y244" s="1385"/>
      <c r="Z244" s="1385"/>
      <c r="AA244" s="1860"/>
      <c r="AB244" s="789"/>
      <c r="AC244" s="789"/>
      <c r="AD244" s="789"/>
      <c r="AE244" s="789"/>
    </row>
    <row s="13656" customFormat="1" customHeight="1" ht="11.25">
      <c r="A245" s="1211"/>
      <c r="B245" s="1864"/>
      <c r="C245" s="1864"/>
      <c r="D245" s="574"/>
      <c r="K245" s="1385"/>
      <c r="L245" s="1864"/>
      <c r="M245" s="1864"/>
      <c r="N245" s="1385"/>
      <c r="O245" s="1385"/>
      <c r="P245" s="1385"/>
      <c r="Q245" s="1385"/>
      <c r="R245" s="1864"/>
      <c r="S245" s="1385"/>
      <c r="T245" s="1385"/>
      <c r="U245" s="767"/>
      <c r="V245" s="1385"/>
      <c r="W245" s="1385"/>
      <c r="X245" s="1385"/>
      <c r="Y245" s="1385"/>
      <c r="Z245" s="1385"/>
      <c r="AA245" s="1860"/>
      <c r="AB245" s="789"/>
      <c r="AC245" s="789"/>
      <c r="AD245" s="789"/>
      <c r="AE245" s="789"/>
    </row>
    <row s="13656" customFormat="1" customHeight="1" ht="11.25">
      <c r="A246" s="1211"/>
      <c r="B246" s="1864"/>
      <c r="C246" s="1864"/>
      <c r="D246" s="574"/>
      <c r="K246" s="1385"/>
      <c r="L246" s="1864"/>
      <c r="M246" s="1864"/>
      <c r="N246" s="1385"/>
      <c r="O246" s="1385"/>
      <c r="P246" s="1385"/>
      <c r="Q246" s="1385"/>
      <c r="R246" s="1864"/>
      <c r="S246" s="1385"/>
      <c r="T246" s="1385"/>
      <c r="U246" s="767"/>
      <c r="V246" s="1385"/>
      <c r="W246" s="1385"/>
      <c r="X246" s="1385"/>
      <c r="Y246" s="1385"/>
      <c r="Z246" s="1385"/>
      <c r="AA246" s="1860"/>
      <c r="AB246" s="789"/>
      <c r="AC246" s="789"/>
      <c r="AD246" s="789"/>
      <c r="AE246" s="789"/>
    </row>
    <row s="13656" customFormat="1" customHeight="1" ht="11.25">
      <c r="A247" s="1211"/>
      <c r="B247" s="1864"/>
      <c r="C247" s="1864"/>
      <c r="D247" s="574"/>
      <c r="K247" s="1385"/>
      <c r="L247" s="1864"/>
      <c r="M247" s="1864"/>
      <c r="N247" s="1385"/>
      <c r="O247" s="1385"/>
      <c r="P247" s="1385"/>
      <c r="Q247" s="1385"/>
      <c r="R247" s="1864"/>
      <c r="S247" s="1385"/>
      <c r="T247" s="1385"/>
      <c r="U247" s="767"/>
      <c r="V247" s="1385"/>
      <c r="W247" s="1385"/>
      <c r="X247" s="1385"/>
      <c r="Y247" s="1385"/>
      <c r="Z247" s="1385"/>
      <c r="AA247" s="1860"/>
      <c r="AB247" s="789"/>
      <c r="AC247" s="789"/>
      <c r="AD247" s="789"/>
      <c r="AE247" s="789"/>
    </row>
    <row s="13656" customFormat="1" customHeight="1" ht="11.25">
      <c r="A248" s="1211"/>
      <c r="B248" s="1864"/>
      <c r="C248" s="1864"/>
      <c r="D248" s="574"/>
      <c r="K248" s="1385"/>
      <c r="L248" s="1864"/>
      <c r="M248" s="1864"/>
      <c r="N248" s="1385"/>
      <c r="O248" s="1385"/>
      <c r="P248" s="1385"/>
      <c r="Q248" s="1385"/>
      <c r="R248" s="1864"/>
      <c r="S248" s="1385"/>
      <c r="T248" s="1385"/>
      <c r="U248" s="767"/>
      <c r="V248" s="1385"/>
      <c r="W248" s="1385"/>
      <c r="X248" s="1385"/>
      <c r="Y248" s="1385"/>
      <c r="Z248" s="1385"/>
      <c r="AA248" s="1860"/>
      <c r="AB248" s="789"/>
      <c r="AC248" s="789"/>
      <c r="AD248" s="789"/>
      <c r="AE248" s="789"/>
    </row>
    <row s="13656" customFormat="1" customHeight="1" ht="11.25">
      <c r="A249" s="1211"/>
      <c r="B249" s="1864"/>
      <c r="C249" s="1864"/>
      <c r="D249" s="574"/>
      <c r="K249" s="1385"/>
      <c r="L249" s="1864"/>
      <c r="M249" s="1864"/>
      <c r="N249" s="1385"/>
      <c r="O249" s="1385"/>
      <c r="P249" s="1385"/>
      <c r="Q249" s="1385"/>
      <c r="R249" s="1864"/>
      <c r="S249" s="1385"/>
      <c r="T249" s="1385"/>
      <c r="U249" s="767"/>
      <c r="V249" s="1385"/>
      <c r="W249" s="1385"/>
      <c r="X249" s="1385"/>
      <c r="Y249" s="1385"/>
      <c r="Z249" s="1385"/>
      <c r="AA249" s="1860"/>
      <c r="AB249" s="789"/>
      <c r="AC249" s="789"/>
      <c r="AD249" s="789"/>
      <c r="AE249" s="789"/>
    </row>
    <row s="13656" customFormat="1" customHeight="1" ht="11.25">
      <c r="A250" s="1211"/>
      <c r="B250" s="1864"/>
      <c r="C250" s="1864"/>
      <c r="D250" s="574"/>
      <c r="K250" s="1385"/>
      <c r="L250" s="1864"/>
      <c r="M250" s="1864"/>
      <c r="N250" s="1385"/>
      <c r="O250" s="1385"/>
      <c r="P250" s="1385"/>
      <c r="Q250" s="1385"/>
      <c r="R250" s="1864"/>
      <c r="S250" s="1385"/>
      <c r="T250" s="1385"/>
      <c r="U250" s="767"/>
      <c r="V250" s="1385"/>
      <c r="W250" s="1385"/>
      <c r="X250" s="1385"/>
      <c r="Y250" s="1385"/>
      <c r="Z250" s="1385"/>
      <c r="AA250" s="1860"/>
      <c r="AB250" s="789"/>
      <c r="AC250" s="789"/>
      <c r="AD250" s="789"/>
      <c r="AE250" s="789"/>
    </row>
    <row s="13656" customFormat="1" customHeight="1" ht="11.25">
      <c r="A251" s="1211"/>
      <c r="B251" s="1864"/>
      <c r="C251" s="1864"/>
      <c r="D251" s="574"/>
      <c r="K251" s="1385"/>
      <c r="L251" s="1864"/>
      <c r="M251" s="1864"/>
      <c r="N251" s="1385"/>
      <c r="O251" s="1385"/>
      <c r="P251" s="1385"/>
      <c r="Q251" s="1385"/>
      <c r="R251" s="1864"/>
      <c r="S251" s="1385"/>
      <c r="T251" s="1385"/>
      <c r="U251" s="767"/>
      <c r="V251" s="1385"/>
      <c r="W251" s="1385"/>
      <c r="X251" s="1385"/>
      <c r="Y251" s="1385"/>
      <c r="Z251" s="1385"/>
      <c r="AA251" s="1860"/>
      <c r="AB251" s="789"/>
      <c r="AC251" s="789"/>
      <c r="AD251" s="789"/>
      <c r="AE251" s="789"/>
    </row>
    <row s="13656" customFormat="1" customHeight="1" ht="11.25">
      <c r="A252" s="1211"/>
      <c r="B252" s="1864"/>
      <c r="C252" s="1864"/>
      <c r="D252" s="574"/>
      <c r="K252" s="1385"/>
      <c r="L252" s="1864"/>
      <c r="M252" s="1864"/>
      <c r="N252" s="1385"/>
      <c r="O252" s="1385"/>
      <c r="P252" s="1385"/>
      <c r="Q252" s="1385"/>
      <c r="R252" s="1864"/>
      <c r="S252" s="1385"/>
      <c r="T252" s="1385"/>
      <c r="U252" s="767"/>
      <c r="V252" s="1385"/>
      <c r="W252" s="1385"/>
      <c r="X252" s="1385"/>
      <c r="Y252" s="1385"/>
      <c r="Z252" s="1385"/>
      <c r="AA252" s="1860"/>
      <c r="AB252" s="789"/>
      <c r="AC252" s="789"/>
      <c r="AD252" s="789"/>
      <c r="AE252" s="789"/>
    </row>
    <row s="13656" customFormat="1" customHeight="1" ht="11.25">
      <c r="A253" s="1211"/>
      <c r="B253" s="1864"/>
      <c r="C253" s="1864"/>
      <c r="D253" s="574"/>
      <c r="K253" s="1385"/>
      <c r="L253" s="1864"/>
      <c r="M253" s="1864"/>
      <c r="N253" s="1385"/>
      <c r="O253" s="1385"/>
      <c r="P253" s="1385"/>
      <c r="Q253" s="1385"/>
      <c r="R253" s="1864"/>
      <c r="S253" s="1385"/>
      <c r="T253" s="1385"/>
      <c r="U253" s="767"/>
      <c r="V253" s="1385"/>
      <c r="W253" s="1385"/>
      <c r="X253" s="1385"/>
      <c r="Y253" s="1385"/>
      <c r="Z253" s="1385"/>
      <c r="AA253" s="1860"/>
      <c r="AB253" s="789"/>
      <c r="AC253" s="789"/>
      <c r="AD253" s="789"/>
      <c r="AE253" s="789"/>
    </row>
    <row s="13656" customFormat="1" customHeight="1" ht="11.25">
      <c r="A254" s="1211"/>
      <c r="B254" s="1864"/>
      <c r="C254" s="1864"/>
      <c r="D254" s="574"/>
      <c r="K254" s="1385"/>
      <c r="L254" s="1864"/>
      <c r="M254" s="1864"/>
      <c r="N254" s="1385"/>
      <c r="O254" s="1385"/>
      <c r="P254" s="1385"/>
      <c r="Q254" s="1385"/>
      <c r="R254" s="1864"/>
      <c r="S254" s="1385"/>
      <c r="T254" s="1385"/>
      <c r="U254" s="767"/>
      <c r="V254" s="1385"/>
      <c r="W254" s="1385"/>
      <c r="X254" s="1385"/>
      <c r="Y254" s="1385"/>
      <c r="Z254" s="1385"/>
      <c r="AA254" s="1860"/>
      <c r="AB254" s="789"/>
      <c r="AC254" s="789"/>
      <c r="AD254" s="789"/>
      <c r="AE254" s="789"/>
    </row>
    <row s="13656" customFormat="1" customHeight="1" ht="11.25">
      <c r="A255" s="1211"/>
      <c r="B255" s="1864"/>
      <c r="C255" s="1864"/>
      <c r="D255" s="574"/>
      <c r="K255" s="1385"/>
      <c r="L255" s="1864"/>
      <c r="M255" s="1864"/>
      <c r="N255" s="1385"/>
      <c r="O255" s="1385"/>
      <c r="P255" s="1385"/>
      <c r="Q255" s="1385"/>
      <c r="R255" s="1864"/>
      <c r="S255" s="1385"/>
      <c r="T255" s="1385"/>
      <c r="U255" s="767"/>
      <c r="V255" s="1385"/>
      <c r="W255" s="1385"/>
      <c r="X255" s="1385"/>
      <c r="Y255" s="1385"/>
      <c r="Z255" s="1385"/>
      <c r="AA255" s="1860"/>
      <c r="AB255" s="789"/>
      <c r="AC255" s="789"/>
      <c r="AD255" s="789"/>
      <c r="AE255" s="789"/>
    </row>
    <row s="13656" customFormat="1" customHeight="1" ht="11.25">
      <c r="A256" s="1211"/>
      <c r="B256" s="1864"/>
      <c r="C256" s="1864"/>
      <c r="D256" s="574"/>
      <c r="K256" s="1385"/>
      <c r="L256" s="1864"/>
      <c r="M256" s="1864"/>
      <c r="N256" s="1385"/>
      <c r="O256" s="1385"/>
      <c r="P256" s="1385"/>
      <c r="Q256" s="1385"/>
      <c r="R256" s="1864"/>
      <c r="S256" s="1385"/>
      <c r="T256" s="1385"/>
      <c r="U256" s="767"/>
      <c r="V256" s="1385"/>
      <c r="W256" s="1385"/>
      <c r="X256" s="1385"/>
      <c r="Y256" s="1385"/>
      <c r="Z256" s="1385"/>
      <c r="AA256" s="1860"/>
      <c r="AB256" s="789"/>
      <c r="AC256" s="789"/>
      <c r="AD256" s="789"/>
      <c r="AE256" s="789"/>
    </row>
    <row s="13656" customFormat="1" customHeight="1" ht="11.25">
      <c r="A257" s="1211"/>
      <c r="B257" s="1864"/>
      <c r="C257" s="1864"/>
      <c r="D257" s="574"/>
      <c r="K257" s="1385"/>
      <c r="L257" s="1864"/>
      <c r="M257" s="1864"/>
      <c r="N257" s="1385"/>
      <c r="O257" s="1385"/>
      <c r="P257" s="1385"/>
      <c r="Q257" s="1385"/>
      <c r="R257" s="1864"/>
      <c r="S257" s="1385"/>
      <c r="T257" s="1385"/>
      <c r="U257" s="767"/>
      <c r="V257" s="1385"/>
      <c r="W257" s="1385"/>
      <c r="X257" s="1385"/>
      <c r="Y257" s="1385"/>
      <c r="Z257" s="1385"/>
      <c r="AA257" s="1860"/>
      <c r="AB257" s="789"/>
      <c r="AC257" s="789"/>
      <c r="AD257" s="789"/>
      <c r="AE257" s="789"/>
    </row>
    <row s="13656" customFormat="1" customHeight="1" ht="11.25">
      <c r="A258" s="1211"/>
      <c r="B258" s="1864"/>
      <c r="C258" s="1864"/>
      <c r="D258" s="574"/>
      <c r="K258" s="1385"/>
      <c r="L258" s="1864"/>
      <c r="M258" s="1864"/>
      <c r="N258" s="1385"/>
      <c r="O258" s="1385"/>
      <c r="P258" s="1385"/>
      <c r="Q258" s="1385"/>
      <c r="R258" s="1864"/>
      <c r="S258" s="1385"/>
      <c r="T258" s="1385"/>
      <c r="U258" s="767"/>
      <c r="V258" s="1385"/>
      <c r="W258" s="1385"/>
      <c r="X258" s="1385"/>
      <c r="Y258" s="1385"/>
      <c r="Z258" s="1385"/>
      <c r="AA258" s="1860"/>
      <c r="AB258" s="789"/>
      <c r="AC258" s="789"/>
      <c r="AD258" s="789"/>
      <c r="AE258" s="789"/>
    </row>
    <row s="13656" customFormat="1" customHeight="1" ht="11.25">
      <c r="A259" s="1211"/>
      <c r="B259" s="1864"/>
      <c r="C259" s="1864"/>
      <c r="D259" s="574"/>
      <c r="K259" s="1385"/>
      <c r="L259" s="1864"/>
      <c r="M259" s="1864"/>
      <c r="N259" s="1385"/>
      <c r="O259" s="1385"/>
      <c r="P259" s="1385"/>
      <c r="Q259" s="1385"/>
      <c r="R259" s="1864"/>
      <c r="S259" s="1385"/>
      <c r="T259" s="1385"/>
      <c r="U259" s="767"/>
      <c r="V259" s="1385"/>
      <c r="W259" s="1385"/>
      <c r="X259" s="1385"/>
      <c r="Y259" s="1385"/>
      <c r="Z259" s="1385"/>
      <c r="AA259" s="1860"/>
      <c r="AB259" s="789"/>
      <c r="AC259" s="789"/>
      <c r="AD259" s="789"/>
      <c r="AE259" s="789"/>
    </row>
    <row s="13656" customFormat="1" customHeight="1" ht="11.25">
      <c r="A260" s="1211"/>
      <c r="B260" s="1864"/>
      <c r="C260" s="1864"/>
      <c r="D260" s="574"/>
      <c r="K260" s="1385"/>
      <c r="L260" s="1864"/>
      <c r="M260" s="1864"/>
      <c r="N260" s="1385"/>
      <c r="O260" s="1385"/>
      <c r="P260" s="1385"/>
      <c r="Q260" s="1385"/>
      <c r="R260" s="1864"/>
      <c r="S260" s="1385"/>
      <c r="T260" s="1385"/>
      <c r="U260" s="767"/>
      <c r="V260" s="1385"/>
      <c r="W260" s="1385"/>
      <c r="X260" s="1385"/>
      <c r="Y260" s="1385"/>
      <c r="Z260" s="1385"/>
      <c r="AA260" s="1860"/>
      <c r="AB260" s="789"/>
      <c r="AC260" s="789"/>
      <c r="AD260" s="789"/>
      <c r="AE260" s="789"/>
    </row>
    <row s="13656" customFormat="1" customHeight="1" ht="11.25">
      <c r="A261" s="1211"/>
      <c r="B261" s="1864"/>
      <c r="C261" s="1864"/>
      <c r="D261" s="574"/>
      <c r="K261" s="1385"/>
      <c r="L261" s="1864"/>
      <c r="M261" s="1864"/>
      <c r="N261" s="1385"/>
      <c r="O261" s="1385"/>
      <c r="P261" s="1385"/>
      <c r="Q261" s="1385"/>
      <c r="R261" s="1864"/>
      <c r="S261" s="1385"/>
      <c r="T261" s="1385"/>
      <c r="U261" s="767"/>
      <c r="V261" s="1385"/>
      <c r="W261" s="1385"/>
      <c r="X261" s="1385"/>
      <c r="Y261" s="1385"/>
      <c r="Z261" s="1385"/>
      <c r="AA261" s="1860"/>
      <c r="AB261" s="789"/>
      <c r="AC261" s="789"/>
      <c r="AD261" s="789"/>
      <c r="AE261" s="789"/>
    </row>
    <row s="13656" customFormat="1" customHeight="1" ht="11.25">
      <c r="A262" s="1211"/>
      <c r="B262" s="1864"/>
      <c r="C262" s="1864"/>
      <c r="D262" s="574"/>
      <c r="K262" s="1385"/>
      <c r="L262" s="1864"/>
      <c r="M262" s="1864"/>
      <c r="N262" s="1385"/>
      <c r="O262" s="1385"/>
      <c r="P262" s="1385"/>
      <c r="Q262" s="1385"/>
      <c r="R262" s="1864"/>
      <c r="S262" s="1385"/>
      <c r="T262" s="1385"/>
      <c r="U262" s="767"/>
      <c r="V262" s="1385"/>
      <c r="W262" s="1385"/>
      <c r="X262" s="1385"/>
      <c r="Y262" s="1385"/>
      <c r="Z262" s="1385"/>
      <c r="AA262" s="1860"/>
      <c r="AB262" s="789"/>
      <c r="AC262" s="789"/>
      <c r="AD262" s="789"/>
      <c r="AE262" s="789"/>
    </row>
    <row s="13656" customFormat="1" customHeight="1" ht="11.25">
      <c r="A263" s="1211"/>
      <c r="B263" s="1864"/>
      <c r="C263" s="1864"/>
      <c r="D263" s="574"/>
      <c r="K263" s="1385"/>
      <c r="L263" s="1864"/>
      <c r="M263" s="1864"/>
      <c r="N263" s="1385"/>
      <c r="O263" s="1385"/>
      <c r="P263" s="1385"/>
      <c r="Q263" s="1385"/>
      <c r="R263" s="1864"/>
      <c r="S263" s="1385"/>
      <c r="T263" s="1385"/>
      <c r="U263" s="767"/>
      <c r="V263" s="1385"/>
      <c r="W263" s="1385"/>
      <c r="X263" s="1385"/>
      <c r="Y263" s="1385"/>
      <c r="Z263" s="1385"/>
      <c r="AA263" s="1860"/>
      <c r="AB263" s="789"/>
      <c r="AC263" s="789"/>
      <c r="AD263" s="789"/>
      <c r="AE263" s="789"/>
    </row>
    <row s="13656" customFormat="1" customHeight="1" ht="11.25">
      <c r="A264" s="1211"/>
      <c r="B264" s="1864"/>
      <c r="C264" s="1864"/>
      <c r="D264" s="574"/>
      <c r="K264" s="1385"/>
      <c r="L264" s="1864"/>
      <c r="M264" s="1864"/>
      <c r="N264" s="1385"/>
      <c r="O264" s="1385"/>
      <c r="P264" s="1385"/>
      <c r="Q264" s="1385"/>
      <c r="R264" s="1864"/>
      <c r="S264" s="1385"/>
      <c r="T264" s="1385"/>
      <c r="U264" s="767"/>
      <c r="V264" s="1385"/>
      <c r="W264" s="1385"/>
      <c r="X264" s="1385"/>
      <c r="Y264" s="1385"/>
      <c r="Z264" s="1385"/>
      <c r="AA264" s="1860"/>
      <c r="AB264" s="789"/>
      <c r="AC264" s="789"/>
      <c r="AD264" s="789"/>
      <c r="AE264" s="789"/>
    </row>
    <row s="13656" customFormat="1" customHeight="1" ht="11.25">
      <c r="A265" s="1211"/>
      <c r="B265" s="1864"/>
      <c r="C265" s="1864"/>
      <c r="D265" s="574"/>
      <c r="K265" s="1385"/>
      <c r="L265" s="1864"/>
      <c r="M265" s="1864"/>
      <c r="N265" s="1385"/>
      <c r="O265" s="1385"/>
      <c r="P265" s="1385"/>
      <c r="Q265" s="1385"/>
      <c r="R265" s="1864"/>
      <c r="S265" s="1385"/>
      <c r="T265" s="1385"/>
      <c r="U265" s="767"/>
      <c r="V265" s="1385"/>
      <c r="W265" s="1385"/>
      <c r="X265" s="1385"/>
      <c r="Y265" s="1385"/>
      <c r="Z265" s="1385"/>
      <c r="AA265" s="1860"/>
      <c r="AB265" s="789"/>
      <c r="AC265" s="789"/>
      <c r="AD265" s="789"/>
      <c r="AE265" s="789"/>
    </row>
    <row s="13656" customFormat="1" customHeight="1" ht="11.25">
      <c r="A266" s="1211"/>
      <c r="B266" s="1864"/>
      <c r="C266" s="1864"/>
      <c r="D266" s="574"/>
      <c r="K266" s="1385"/>
      <c r="L266" s="1864"/>
      <c r="M266" s="1864"/>
      <c r="N266" s="1385"/>
      <c r="O266" s="1385"/>
      <c r="P266" s="1385"/>
      <c r="Q266" s="1385"/>
      <c r="R266" s="1864"/>
      <c r="S266" s="1385"/>
      <c r="T266" s="1385"/>
      <c r="U266" s="767"/>
      <c r="V266" s="1385"/>
      <c r="W266" s="1385"/>
      <c r="X266" s="1385"/>
      <c r="Y266" s="1385"/>
      <c r="Z266" s="1385"/>
      <c r="AA266" s="1860"/>
      <c r="AB266" s="789"/>
      <c r="AC266" s="789"/>
      <c r="AD266" s="789"/>
      <c r="AE266" s="789"/>
    </row>
    <row s="13656" customFormat="1" customHeight="1" ht="11.25">
      <c r="A267" s="1211"/>
      <c r="B267" s="1864"/>
      <c r="C267" s="1864"/>
      <c r="D267" s="574"/>
      <c r="K267" s="1385"/>
      <c r="L267" s="1864"/>
      <c r="M267" s="1864"/>
      <c r="N267" s="1385"/>
      <c r="O267" s="1385"/>
      <c r="P267" s="1385"/>
      <c r="Q267" s="1385"/>
      <c r="R267" s="1864"/>
      <c r="S267" s="1385"/>
      <c r="T267" s="1385"/>
      <c r="U267" s="767"/>
      <c r="V267" s="1385"/>
      <c r="W267" s="1385"/>
      <c r="X267" s="1385"/>
      <c r="Y267" s="1385"/>
      <c r="Z267" s="1385"/>
      <c r="AA267" s="1860"/>
      <c r="AB267" s="789"/>
      <c r="AC267" s="789"/>
      <c r="AD267" s="789"/>
      <c r="AE267" s="789"/>
    </row>
    <row s="13656" customFormat="1" customHeight="1" ht="11.25">
      <c r="A268" s="1211"/>
      <c r="B268" s="1864"/>
      <c r="C268" s="1864"/>
      <c r="D268" s="574"/>
      <c r="K268" s="1385"/>
      <c r="L268" s="1864"/>
      <c r="M268" s="1864"/>
      <c r="N268" s="1385"/>
      <c r="O268" s="1385"/>
      <c r="P268" s="1385"/>
      <c r="Q268" s="1385"/>
      <c r="R268" s="1864"/>
      <c r="S268" s="1385"/>
      <c r="T268" s="1385"/>
      <c r="U268" s="767"/>
      <c r="V268" s="1385"/>
      <c r="W268" s="1385"/>
      <c r="X268" s="1385"/>
      <c r="Y268" s="1385"/>
      <c r="Z268" s="1385"/>
      <c r="AA268" s="1860"/>
      <c r="AB268" s="789"/>
      <c r="AC268" s="789"/>
      <c r="AD268" s="789"/>
      <c r="AE268" s="789"/>
    </row>
    <row s="13656" customFormat="1" customHeight="1" ht="11.25">
      <c r="A269" s="1211"/>
      <c r="B269" s="1864"/>
      <c r="C269" s="1864"/>
      <c r="D269" s="574"/>
      <c r="K269" s="1385"/>
      <c r="L269" s="1864"/>
      <c r="M269" s="1864"/>
      <c r="N269" s="1385"/>
      <c r="O269" s="1385"/>
      <c r="P269" s="1385"/>
      <c r="Q269" s="1385"/>
      <c r="R269" s="1864"/>
      <c r="S269" s="1385"/>
      <c r="T269" s="1385"/>
      <c r="U269" s="767"/>
      <c r="V269" s="1385"/>
      <c r="W269" s="1385"/>
      <c r="X269" s="1385"/>
      <c r="Y269" s="1385"/>
      <c r="Z269" s="1385"/>
      <c r="AA269" s="1860"/>
      <c r="AB269" s="789"/>
      <c r="AC269" s="789"/>
      <c r="AD269" s="789"/>
      <c r="AE269" s="789"/>
    </row>
    <row s="13656" customFormat="1" customHeight="1" ht="11.25">
      <c r="A270" s="1211"/>
      <c r="B270" s="1864"/>
      <c r="C270" s="1864"/>
      <c r="D270" s="574"/>
      <c r="K270" s="1385"/>
      <c r="L270" s="1864"/>
      <c r="M270" s="1864"/>
      <c r="N270" s="1385"/>
      <c r="O270" s="1385"/>
      <c r="P270" s="1385"/>
      <c r="Q270" s="1385"/>
      <c r="R270" s="1864"/>
      <c r="S270" s="1385"/>
      <c r="T270" s="1385"/>
      <c r="U270" s="767"/>
      <c r="V270" s="1385"/>
      <c r="W270" s="1385"/>
      <c r="X270" s="1385"/>
      <c r="Y270" s="1385"/>
      <c r="Z270" s="1385"/>
      <c r="AA270" s="1860"/>
      <c r="AB270" s="789"/>
      <c r="AC270" s="789"/>
      <c r="AD270" s="789"/>
      <c r="AE270" s="789"/>
    </row>
    <row s="13656" customFormat="1" customHeight="1" ht="11.25">
      <c r="A271" s="1211"/>
      <c r="B271" s="1864"/>
      <c r="C271" s="1864"/>
      <c r="D271" s="574"/>
      <c r="K271" s="1385"/>
      <c r="L271" s="1864"/>
      <c r="M271" s="1864"/>
      <c r="N271" s="1385"/>
      <c r="O271" s="1385"/>
      <c r="P271" s="1385"/>
      <c r="Q271" s="1385"/>
      <c r="R271" s="1864"/>
      <c r="S271" s="1385"/>
      <c r="T271" s="1385"/>
      <c r="U271" s="767"/>
      <c r="V271" s="1385"/>
      <c r="W271" s="1385"/>
      <c r="X271" s="1385"/>
      <c r="Y271" s="1385"/>
      <c r="Z271" s="1385"/>
      <c r="AA271" s="1860"/>
      <c r="AB271" s="789"/>
      <c r="AC271" s="789"/>
      <c r="AD271" s="789"/>
      <c r="AE271" s="789"/>
    </row>
    <row s="13656" customFormat="1" customHeight="1" ht="11.25">
      <c r="A272" s="1211"/>
      <c r="B272" s="1864"/>
      <c r="C272" s="1864"/>
      <c r="D272" s="574"/>
      <c r="K272" s="1385"/>
      <c r="L272" s="1864"/>
      <c r="M272" s="1864"/>
      <c r="N272" s="1385"/>
      <c r="O272" s="1385"/>
      <c r="P272" s="1385"/>
      <c r="Q272" s="1385"/>
      <c r="R272" s="1864"/>
      <c r="S272" s="1385"/>
      <c r="T272" s="1385"/>
      <c r="U272" s="767"/>
      <c r="V272" s="1385"/>
      <c r="W272" s="1385"/>
      <c r="X272" s="1385"/>
      <c r="Y272" s="1385"/>
      <c r="Z272" s="1385"/>
      <c r="AA272" s="1860"/>
      <c r="AB272" s="789"/>
      <c r="AC272" s="789"/>
      <c r="AD272" s="789"/>
      <c r="AE272" s="789"/>
    </row>
    <row s="13656" customFormat="1" customHeight="1" ht="11.25">
      <c r="A273" s="1211"/>
      <c r="B273" s="1864"/>
      <c r="C273" s="1864"/>
      <c r="D273" s="574"/>
      <c r="K273" s="1385"/>
      <c r="L273" s="1864"/>
      <c r="M273" s="1864"/>
      <c r="N273" s="1385"/>
      <c r="O273" s="1385"/>
      <c r="P273" s="1385"/>
      <c r="Q273" s="1385"/>
      <c r="R273" s="1864"/>
      <c r="S273" s="1385"/>
      <c r="T273" s="1385"/>
      <c r="U273" s="767"/>
      <c r="V273" s="1385"/>
      <c r="W273" s="1385"/>
      <c r="X273" s="1385"/>
      <c r="Y273" s="1385"/>
      <c r="Z273" s="1385"/>
      <c r="AA273" s="1860"/>
      <c r="AB273" s="789"/>
      <c r="AC273" s="789"/>
      <c r="AD273" s="789"/>
      <c r="AE273" s="789"/>
    </row>
    <row s="13656" customFormat="1" customHeight="1" ht="11.25">
      <c r="A274" s="1211"/>
      <c r="B274" s="1864"/>
      <c r="C274" s="1864"/>
      <c r="D274" s="574"/>
      <c r="K274" s="1385"/>
      <c r="L274" s="1864"/>
      <c r="M274" s="1864"/>
      <c r="N274" s="1385"/>
      <c r="O274" s="1385"/>
      <c r="P274" s="1385"/>
      <c r="Q274" s="1385"/>
      <c r="R274" s="1864"/>
      <c r="S274" s="1385"/>
      <c r="T274" s="1385"/>
      <c r="U274" s="767"/>
      <c r="V274" s="1385"/>
      <c r="W274" s="1385"/>
      <c r="X274" s="1385"/>
      <c r="Y274" s="1385"/>
      <c r="Z274" s="1385"/>
      <c r="AA274" s="1860"/>
      <c r="AB274" s="789"/>
      <c r="AC274" s="789"/>
      <c r="AD274" s="789"/>
      <c r="AE274" s="789"/>
    </row>
    <row s="13656" customFormat="1" customHeight="1" ht="11.25">
      <c r="A275" s="1211"/>
      <c r="B275" s="1864"/>
      <c r="C275" s="1864"/>
      <c r="D275" s="574"/>
      <c r="K275" s="1385"/>
      <c r="L275" s="1864"/>
      <c r="M275" s="1864"/>
      <c r="N275" s="1385"/>
      <c r="O275" s="1385"/>
      <c r="P275" s="1385"/>
      <c r="Q275" s="1385"/>
      <c r="R275" s="1864"/>
      <c r="S275" s="1385"/>
      <c r="T275" s="1385"/>
      <c r="U275" s="767"/>
      <c r="V275" s="1385"/>
      <c r="W275" s="1385"/>
      <c r="X275" s="1385"/>
      <c r="Y275" s="1385"/>
      <c r="Z275" s="1385"/>
      <c r="AA275" s="1860"/>
      <c r="AB275" s="789"/>
      <c r="AC275" s="789"/>
      <c r="AD275" s="789"/>
      <c r="AE275" s="789"/>
    </row>
    <row s="13656" customFormat="1" customHeight="1" ht="11.25">
      <c r="A276" s="1211"/>
      <c r="B276" s="1864"/>
      <c r="C276" s="1864"/>
      <c r="D276" s="574"/>
      <c r="K276" s="1385"/>
      <c r="L276" s="1864"/>
      <c r="M276" s="1864"/>
      <c r="N276" s="1385"/>
      <c r="O276" s="1385"/>
      <c r="P276" s="1385"/>
      <c r="Q276" s="1385"/>
      <c r="R276" s="1864"/>
      <c r="S276" s="1385"/>
      <c r="T276" s="1385"/>
      <c r="U276" s="767"/>
      <c r="V276" s="1385"/>
      <c r="W276" s="1385"/>
      <c r="X276" s="1385"/>
      <c r="Y276" s="1385"/>
      <c r="Z276" s="1385"/>
      <c r="AA276" s="1860"/>
      <c r="AB276" s="789"/>
      <c r="AC276" s="789"/>
      <c r="AD276" s="789"/>
      <c r="AE276" s="789"/>
    </row>
    <row s="13656" customFormat="1" customHeight="1" ht="11.25">
      <c r="A277" s="1211"/>
      <c r="B277" s="1864"/>
      <c r="C277" s="1864"/>
      <c r="D277" s="574"/>
      <c r="K277" s="1385"/>
      <c r="L277" s="1864"/>
      <c r="M277" s="1864"/>
      <c r="N277" s="1385"/>
      <c r="O277" s="1385"/>
      <c r="P277" s="1385"/>
      <c r="Q277" s="1385"/>
      <c r="R277" s="1864"/>
      <c r="S277" s="1385"/>
      <c r="T277" s="1385"/>
      <c r="U277" s="767"/>
      <c r="V277" s="1385"/>
      <c r="W277" s="1385"/>
      <c r="X277" s="1385"/>
      <c r="Y277" s="1385"/>
      <c r="Z277" s="1385"/>
      <c r="AA277" s="1860"/>
      <c r="AB277" s="789"/>
      <c r="AC277" s="789"/>
      <c r="AD277" s="789"/>
      <c r="AE277" s="789"/>
    </row>
    <row s="13656" customFormat="1" customHeight="1" ht="11.25">
      <c r="A278" s="1211"/>
      <c r="B278" s="1864"/>
      <c r="C278" s="1864"/>
      <c r="D278" s="574"/>
      <c r="K278" s="1385"/>
      <c r="L278" s="1864"/>
      <c r="M278" s="1864"/>
      <c r="N278" s="1385"/>
      <c r="O278" s="1385"/>
      <c r="P278" s="1385"/>
      <c r="Q278" s="1385"/>
      <c r="R278" s="1864"/>
      <c r="S278" s="1385"/>
      <c r="T278" s="1385"/>
      <c r="U278" s="767"/>
      <c r="V278" s="1385"/>
      <c r="W278" s="1385"/>
      <c r="X278" s="1385"/>
      <c r="Y278" s="1385"/>
      <c r="Z278" s="1385"/>
      <c r="AA278" s="1860"/>
      <c r="AB278" s="789"/>
      <c r="AC278" s="789"/>
      <c r="AD278" s="789"/>
      <c r="AE278" s="789"/>
    </row>
    <row s="13656" customFormat="1" customHeight="1" ht="11.25">
      <c r="A279" s="1211"/>
      <c r="B279" s="1864"/>
      <c r="C279" s="1864"/>
      <c r="D279" s="574"/>
      <c r="K279" s="1385"/>
      <c r="L279" s="1864"/>
      <c r="M279" s="1864"/>
      <c r="N279" s="1385"/>
      <c r="O279" s="1385"/>
      <c r="P279" s="1385"/>
      <c r="Q279" s="1385"/>
      <c r="R279" s="1864"/>
      <c r="S279" s="1385"/>
      <c r="T279" s="1385"/>
      <c r="U279" s="767"/>
      <c r="V279" s="1385"/>
      <c r="W279" s="1385"/>
      <c r="X279" s="1385"/>
      <c r="Y279" s="1385"/>
      <c r="Z279" s="1385"/>
      <c r="AA279" s="1860"/>
      <c r="AB279" s="789"/>
      <c r="AC279" s="789"/>
      <c r="AD279" s="789"/>
      <c r="AE279" s="789"/>
    </row>
    <row s="13656" customFormat="1" customHeight="1" ht="11.25">
      <c r="A280" s="1211"/>
      <c r="B280" s="1864"/>
      <c r="C280" s="1864"/>
      <c r="D280" s="574"/>
      <c r="K280" s="1385"/>
      <c r="L280" s="1864"/>
      <c r="M280" s="1864"/>
      <c r="N280" s="1385"/>
      <c r="O280" s="1385"/>
      <c r="P280" s="1385"/>
      <c r="Q280" s="1385"/>
      <c r="R280" s="1864"/>
      <c r="S280" s="1385"/>
      <c r="T280" s="1385"/>
      <c r="U280" s="767"/>
      <c r="V280" s="1385"/>
      <c r="W280" s="1385"/>
      <c r="X280" s="1385"/>
      <c r="Y280" s="1385"/>
      <c r="Z280" s="1385"/>
      <c r="AA280" s="1860"/>
      <c r="AB280" s="789"/>
      <c r="AC280" s="789"/>
      <c r="AD280" s="789"/>
      <c r="AE280" s="789"/>
    </row>
    <row s="13656" customFormat="1" customHeight="1" ht="11.25">
      <c r="A281" s="1211"/>
      <c r="B281" s="1864"/>
      <c r="C281" s="1864"/>
      <c r="D281" s="574"/>
      <c r="K281" s="1385"/>
      <c r="L281" s="1864"/>
      <c r="M281" s="1864"/>
      <c r="N281" s="1385"/>
      <c r="O281" s="1385"/>
      <c r="P281" s="1385"/>
      <c r="Q281" s="1385"/>
      <c r="R281" s="1864"/>
      <c r="S281" s="1385"/>
      <c r="T281" s="1385"/>
      <c r="U281" s="767"/>
      <c r="V281" s="1385"/>
      <c r="W281" s="1385"/>
      <c r="X281" s="1385"/>
      <c r="Y281" s="1385"/>
      <c r="Z281" s="1385"/>
      <c r="AA281" s="1860"/>
      <c r="AB281" s="789"/>
      <c r="AC281" s="789"/>
      <c r="AD281" s="789"/>
      <c r="AE281" s="789"/>
    </row>
    <row s="13656" customFormat="1" customHeight="1" ht="11.25">
      <c r="A282" s="1211"/>
      <c r="B282" s="1864"/>
      <c r="C282" s="1864"/>
      <c r="D282" s="574"/>
      <c r="K282" s="1385"/>
      <c r="L282" s="1864"/>
      <c r="M282" s="1864"/>
      <c r="N282" s="1385"/>
      <c r="O282" s="1385"/>
      <c r="P282" s="1385"/>
      <c r="Q282" s="1385"/>
      <c r="R282" s="1864"/>
      <c r="S282" s="1385"/>
      <c r="T282" s="1385"/>
      <c r="U282" s="767"/>
      <c r="V282" s="1385"/>
      <c r="W282" s="1385"/>
      <c r="X282" s="1385"/>
      <c r="Y282" s="1385"/>
      <c r="Z282" s="1385"/>
      <c r="AA282" s="1860"/>
      <c r="AB282" s="789"/>
      <c r="AC282" s="789"/>
      <c r="AD282" s="789"/>
      <c r="AE282" s="789"/>
    </row>
    <row s="13656" customFormat="1" customHeight="1" ht="11.25">
      <c r="A283" s="1211"/>
      <c r="B283" s="1864"/>
      <c r="C283" s="1864"/>
      <c r="D283" s="574"/>
      <c r="K283" s="1385"/>
      <c r="L283" s="1864"/>
      <c r="M283" s="1864"/>
      <c r="N283" s="1385"/>
      <c r="O283" s="1385"/>
      <c r="P283" s="1385"/>
      <c r="Q283" s="1385"/>
      <c r="R283" s="1864"/>
      <c r="S283" s="1385"/>
      <c r="T283" s="1385"/>
      <c r="U283" s="767"/>
      <c r="V283" s="1385"/>
      <c r="W283" s="1385"/>
      <c r="X283" s="1385"/>
      <c r="Y283" s="1385"/>
      <c r="Z283" s="1385"/>
      <c r="AA283" s="1860"/>
      <c r="AB283" s="789"/>
      <c r="AC283" s="789"/>
      <c r="AD283" s="789"/>
      <c r="AE283" s="789"/>
    </row>
    <row s="13656" customFormat="1" customHeight="1" ht="11.25">
      <c r="A284" s="1211"/>
      <c r="B284" s="1864"/>
      <c r="C284" s="1864"/>
      <c r="D284" s="574"/>
      <c r="K284" s="1385"/>
      <c r="L284" s="1864"/>
      <c r="M284" s="1864"/>
      <c r="N284" s="1385"/>
      <c r="O284" s="1385"/>
      <c r="P284" s="1385"/>
      <c r="Q284" s="1385"/>
      <c r="R284" s="1864"/>
      <c r="S284" s="1385"/>
      <c r="T284" s="1385"/>
      <c r="U284" s="767"/>
      <c r="V284" s="1385"/>
      <c r="W284" s="1385"/>
      <c r="X284" s="1385"/>
      <c r="Y284" s="1385"/>
      <c r="Z284" s="1385"/>
      <c r="AA284" s="1860"/>
      <c r="AB284" s="789"/>
      <c r="AC284" s="789"/>
      <c r="AD284" s="789"/>
      <c r="AE284" s="789"/>
    </row>
    <row s="13656" customFormat="1" customHeight="1" ht="11.25">
      <c r="A285" s="1211"/>
      <c r="B285" s="1864"/>
      <c r="C285" s="1864"/>
      <c r="D285" s="574"/>
      <c r="K285" s="1385"/>
      <c r="L285" s="1864"/>
      <c r="M285" s="1864"/>
      <c r="N285" s="1385"/>
      <c r="O285" s="1385"/>
      <c r="P285" s="1385"/>
      <c r="Q285" s="1385"/>
      <c r="R285" s="1864"/>
      <c r="S285" s="1385"/>
      <c r="T285" s="1385"/>
      <c r="U285" s="767"/>
      <c r="V285" s="1385"/>
      <c r="W285" s="1385"/>
      <c r="X285" s="1385"/>
      <c r="Y285" s="1385"/>
      <c r="Z285" s="1385"/>
      <c r="AA285" s="1860"/>
      <c r="AB285" s="789"/>
      <c r="AC285" s="789"/>
      <c r="AD285" s="789"/>
      <c r="AE285" s="789"/>
    </row>
    <row s="13656" customFormat="1" customHeight="1" ht="11.25">
      <c r="A286" s="1211"/>
      <c r="B286" s="1864"/>
      <c r="C286" s="1864"/>
      <c r="D286" s="574"/>
      <c r="K286" s="1385"/>
      <c r="L286" s="1864"/>
      <c r="M286" s="1864"/>
      <c r="N286" s="1385"/>
      <c r="O286" s="1385"/>
      <c r="P286" s="1385"/>
      <c r="Q286" s="1385"/>
      <c r="R286" s="1864"/>
      <c r="S286" s="1385"/>
      <c r="T286" s="1385"/>
      <c r="U286" s="767"/>
      <c r="V286" s="1385"/>
      <c r="W286" s="1385"/>
      <c r="X286" s="1385"/>
      <c r="Y286" s="1385"/>
      <c r="Z286" s="1385"/>
      <c r="AA286" s="1860"/>
      <c r="AB286" s="789"/>
      <c r="AC286" s="789"/>
      <c r="AD286" s="789"/>
      <c r="AE286" s="789"/>
    </row>
    <row s="13656" customFormat="1" customHeight="1" ht="11.25">
      <c r="A287" s="1211"/>
      <c r="B287" s="1864"/>
      <c r="C287" s="1864"/>
      <c r="D287" s="574"/>
      <c r="K287" s="1385"/>
      <c r="L287" s="1864"/>
      <c r="M287" s="1864"/>
      <c r="N287" s="1385"/>
      <c r="O287" s="1385"/>
      <c r="P287" s="1385"/>
      <c r="Q287" s="1385"/>
      <c r="R287" s="1864"/>
      <c r="S287" s="1385"/>
      <c r="T287" s="1385"/>
      <c r="U287" s="767"/>
      <c r="V287" s="1385"/>
      <c r="W287" s="1385"/>
      <c r="X287" s="1385"/>
      <c r="Y287" s="1385"/>
      <c r="Z287" s="1385"/>
      <c r="AA287" s="1860"/>
      <c r="AB287" s="789"/>
      <c r="AC287" s="789"/>
      <c r="AD287" s="789"/>
      <c r="AE287" s="789"/>
    </row>
    <row s="13656" customFormat="1" customHeight="1" ht="11.25">
      <c r="A288" s="1211"/>
      <c r="B288" s="1864"/>
      <c r="C288" s="1864"/>
      <c r="D288" s="574"/>
      <c r="K288" s="1385"/>
      <c r="L288" s="1864"/>
      <c r="M288" s="1864"/>
      <c r="N288" s="1385"/>
      <c r="O288" s="1385"/>
      <c r="P288" s="1385"/>
      <c r="Q288" s="1385"/>
      <c r="R288" s="1864"/>
      <c r="S288" s="1385"/>
      <c r="T288" s="1385"/>
      <c r="U288" s="767"/>
      <c r="V288" s="1385"/>
      <c r="W288" s="1385"/>
      <c r="X288" s="1385"/>
      <c r="Y288" s="1385"/>
      <c r="Z288" s="1385"/>
      <c r="AA288" s="1860"/>
      <c r="AB288" s="789"/>
      <c r="AC288" s="789"/>
      <c r="AD288" s="789"/>
      <c r="AE288" s="789"/>
    </row>
    <row r="292" customHeight="1" ht="11.25">
      <c r="A292" s="1214"/>
      <c r="B292" s="1859"/>
      <c r="D292" s="1859"/>
      <c r="K292" s="1859"/>
      <c r="N292" s="1859"/>
      <c r="O292" s="1859"/>
      <c r="P292" s="1859"/>
      <c r="Q292" s="1859"/>
      <c r="S292" s="1859"/>
      <c r="T292" s="1859"/>
      <c r="U292" s="1859"/>
      <c r="V292" s="1859"/>
      <c r="W292" s="1859"/>
      <c r="X292" s="1859"/>
      <c r="Y292" s="1859"/>
      <c r="Z292" s="1859"/>
      <c r="AA292" s="1859"/>
      <c r="AB292" s="1859"/>
      <c r="AC292" s="1859"/>
      <c r="AD292" s="1859"/>
      <c r="AE292" s="1859"/>
    </row>
    <row customHeight="1" ht="11.25">
      <c r="A293" s="1214"/>
      <c r="B293" s="1859"/>
      <c r="D293" s="1859"/>
      <c r="K293" s="1859"/>
      <c r="N293" s="1859"/>
      <c r="O293" s="1859"/>
      <c r="P293" s="1859"/>
      <c r="Q293" s="1859"/>
      <c r="S293" s="1859"/>
      <c r="T293" s="1859"/>
      <c r="U293" s="1859"/>
      <c r="V293" s="1859"/>
      <c r="W293" s="1859"/>
      <c r="X293" s="1859"/>
      <c r="Y293" s="1859"/>
      <c r="Z293" s="1859"/>
      <c r="AA293" s="1859"/>
      <c r="AB293" s="1859"/>
      <c r="AC293" s="1859"/>
      <c r="AD293" s="1859"/>
      <c r="AE293" s="1859"/>
    </row>
    <row customHeight="1" ht="11.25">
      <c r="A294" s="1214"/>
      <c r="B294" s="1859"/>
      <c r="D294" s="1859"/>
      <c r="K294" s="1859"/>
      <c r="N294" s="1859"/>
      <c r="O294" s="1859"/>
      <c r="P294" s="1859"/>
      <c r="Q294" s="1859"/>
      <c r="S294" s="1859"/>
      <c r="T294" s="1859"/>
      <c r="U294" s="1859"/>
      <c r="V294" s="1859"/>
      <c r="W294" s="1859"/>
      <c r="X294" s="1859"/>
      <c r="Y294" s="1859"/>
      <c r="Z294" s="1859"/>
      <c r="AA294" s="1859"/>
      <c r="AB294" s="1859"/>
      <c r="AC294" s="1859"/>
      <c r="AD294" s="1859"/>
      <c r="AE294" s="1859"/>
    </row>
    <row customHeight="1" ht="11.25">
      <c r="A295" s="1214"/>
      <c r="B295" s="1859"/>
      <c r="D295" s="1859"/>
      <c r="K295" s="1859"/>
      <c r="N295" s="1859"/>
      <c r="O295" s="1859"/>
      <c r="P295" s="1859"/>
      <c r="Q295" s="1859"/>
      <c r="S295" s="1859"/>
      <c r="T295" s="1859"/>
      <c r="U295" s="1859"/>
      <c r="V295" s="1859"/>
      <c r="W295" s="1859"/>
      <c r="X295" s="1859"/>
      <c r="Y295" s="1859"/>
      <c r="Z295" s="1859"/>
      <c r="AA295" s="1859"/>
      <c r="AB295" s="1859"/>
      <c r="AC295" s="1859"/>
      <c r="AD295" s="1859"/>
      <c r="AE295" s="1859"/>
    </row>
    <row customHeight="1" ht="11.25">
      <c r="A296" s="1214"/>
      <c r="B296" s="1859"/>
      <c r="D296" s="1859"/>
      <c r="K296" s="1859"/>
      <c r="N296" s="1859"/>
      <c r="O296" s="1859"/>
      <c r="P296" s="1859"/>
      <c r="Q296" s="1859"/>
      <c r="S296" s="1859"/>
      <c r="T296" s="1859"/>
      <c r="U296" s="1859"/>
      <c r="V296" s="1859"/>
      <c r="W296" s="1859"/>
      <c r="X296" s="1859"/>
      <c r="Y296" s="1859"/>
      <c r="Z296" s="1859"/>
      <c r="AA296" s="1859"/>
      <c r="AB296" s="1859"/>
      <c r="AC296" s="1859"/>
      <c r="AD296" s="1859"/>
      <c r="AE296" s="1859"/>
    </row>
    <row customHeight="1" ht="11.25">
      <c r="A297" s="1214"/>
      <c r="B297" s="1859"/>
      <c r="D297" s="1859"/>
      <c r="K297" s="1859"/>
      <c r="N297" s="1859"/>
      <c r="O297" s="1859"/>
      <c r="P297" s="1859"/>
      <c r="Q297" s="1859"/>
      <c r="S297" s="1859"/>
      <c r="T297" s="1859"/>
      <c r="U297" s="1859"/>
      <c r="V297" s="1859"/>
      <c r="W297" s="1859"/>
      <c r="X297" s="1859"/>
      <c r="Y297" s="1859"/>
      <c r="Z297" s="1859"/>
      <c r="AA297" s="1859"/>
      <c r="AB297" s="1859"/>
      <c r="AC297" s="1859"/>
      <c r="AD297" s="1859"/>
      <c r="AE297" s="1859"/>
    </row>
    <row customHeight="1" ht="11.25">
      <c r="A298" s="1214"/>
      <c r="B298" s="1859"/>
      <c r="D298" s="1859"/>
      <c r="K298" s="1859"/>
      <c r="N298" s="1859"/>
      <c r="O298" s="1859"/>
      <c r="P298" s="1859"/>
      <c r="Q298" s="1859"/>
      <c r="S298" s="1859"/>
      <c r="T298" s="1859"/>
      <c r="U298" s="1859"/>
      <c r="V298" s="1859"/>
      <c r="W298" s="1859"/>
      <c r="X298" s="1859"/>
      <c r="Y298" s="1859"/>
      <c r="Z298" s="1859"/>
      <c r="AA298" s="1859"/>
      <c r="AB298" s="1859"/>
      <c r="AC298" s="1859"/>
      <c r="AD298" s="1859"/>
      <c r="AE298" s="1859"/>
    </row>
    <row customHeight="1" ht="11.25">
      <c r="A299" s="1214"/>
      <c r="B299" s="1859"/>
      <c r="D299" s="1859"/>
      <c r="K299" s="1859"/>
      <c r="N299" s="1859"/>
      <c r="O299" s="1859"/>
      <c r="P299" s="1859"/>
      <c r="Q299" s="1859"/>
      <c r="S299" s="1859"/>
      <c r="T299" s="1859"/>
      <c r="U299" s="1859"/>
      <c r="V299" s="1859"/>
      <c r="W299" s="1859"/>
      <c r="X299" s="1859"/>
      <c r="Y299" s="1859"/>
      <c r="Z299" s="1859"/>
      <c r="AA299" s="1859"/>
      <c r="AB299" s="1859"/>
      <c r="AC299" s="1859"/>
      <c r="AD299" s="1859"/>
      <c r="AE299" s="1859"/>
    </row>
    <row customHeight="1" ht="11.25">
      <c r="A300" s="1214"/>
      <c r="B300" s="1859"/>
      <c r="D300" s="1859"/>
      <c r="K300" s="1859"/>
      <c r="N300" s="1859"/>
      <c r="O300" s="1859"/>
      <c r="P300" s="1859"/>
      <c r="Q300" s="1859"/>
      <c r="S300" s="1859"/>
      <c r="T300" s="1859"/>
      <c r="U300" s="1859"/>
      <c r="V300" s="1859"/>
      <c r="W300" s="1859"/>
      <c r="X300" s="1859"/>
      <c r="Y300" s="1859"/>
      <c r="Z300" s="1859"/>
      <c r="AA300" s="1859"/>
      <c r="AB300" s="1859"/>
      <c r="AC300" s="1859"/>
      <c r="AD300" s="1859"/>
      <c r="AE300" s="1859"/>
    </row>
    <row customHeight="1" ht="11.25">
      <c r="A301" s="1214"/>
      <c r="B301" s="1859"/>
      <c r="D301" s="1859"/>
      <c r="K301" s="1859"/>
      <c r="N301" s="1859"/>
      <c r="O301" s="1859"/>
      <c r="P301" s="1859"/>
      <c r="Q301" s="1859"/>
      <c r="S301" s="1859"/>
      <c r="T301" s="1859"/>
      <c r="U301" s="1859"/>
      <c r="V301" s="1859"/>
      <c r="W301" s="1859"/>
      <c r="X301" s="1859"/>
      <c r="Y301" s="1859"/>
      <c r="Z301" s="1859"/>
      <c r="AA301" s="1859"/>
      <c r="AB301" s="1859"/>
      <c r="AC301" s="1859"/>
      <c r="AD301" s="1859"/>
      <c r="AE301" s="1859"/>
    </row>
    <row customHeight="1" ht="11.25">
      <c r="A302" s="1214"/>
      <c r="B302" s="1859"/>
      <c r="D302" s="1859"/>
      <c r="K302" s="1859"/>
      <c r="N302" s="1859"/>
      <c r="O302" s="1859"/>
      <c r="P302" s="1859"/>
      <c r="Q302" s="1859"/>
      <c r="S302" s="1859"/>
      <c r="T302" s="1859"/>
      <c r="U302" s="1859"/>
      <c r="V302" s="1859"/>
      <c r="W302" s="1859"/>
      <c r="X302" s="1859"/>
      <c r="Y302" s="1859"/>
      <c r="Z302" s="1859"/>
      <c r="AA302" s="1859"/>
      <c r="AB302" s="1859"/>
      <c r="AC302" s="1859"/>
      <c r="AD302" s="1859"/>
      <c r="AE302" s="1859"/>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7AB2D-1142-A99C-DD14-56468AF3E80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6828" width="14.7109375" hidden="1" customWidth="1"/>
    <col min="2" max="2" style="13385" width="17.00390625" hidden="1" customWidth="1"/>
    <col min="3" max="3" style="13388" width="3.7109375" customWidth="1"/>
    <col min="4" max="4" style="13388" width="1.8515625" hidden="1" customWidth="1"/>
    <col min="5" max="6" style="13388" width="7.7109375" customWidth="1"/>
    <col min="7" max="7" style="13388" width="29.7109375" customWidth="1"/>
    <col min="8" max="8" style="13388" width="3.7109375" customWidth="1"/>
    <col min="9" max="9" style="13388" width="5.421875" customWidth="1"/>
    <col min="10" max="10" style="13388" width="24.57421875" customWidth="1"/>
    <col min="11" max="11" style="13388" width="24.421875" customWidth="1"/>
    <col min="12" max="12" style="13388" width="3.7109375" customWidth="1"/>
    <col min="13" max="13" style="13388" width="6.28125" customWidth="1"/>
    <col min="14" max="14" style="13388" width="25.8515625" customWidth="1"/>
    <col min="15" max="18" style="13388" width="18.7109375" customWidth="1"/>
    <col min="19" max="19" style="13388" width="93.421875" customWidth="1"/>
    <col min="20" max="20" style="13388" width="10.57421875" customWidth="1"/>
    <col min="21" max="21" style="16829" width="10.57421875" customWidth="1"/>
    <col min="22" max="22" style="16829" width="11.7109375" customWidth="1"/>
    <col min="23" max="23" style="16830" width="10.57421875" customWidth="1"/>
    <col min="24" max="27" style="13385" width="10.57421875" customWidth="1"/>
    <col min="28" max="83" style="13388" width="9.140625"/>
  </cols>
  <sheetData>
    <row customHeight="1" ht="11.25" hidden="1"/>
    <row customHeight="1" ht="11.25" hidden="1"/>
    <row customHeight="1" ht="11.25" hidden="1"/>
    <row customHeight="1" ht="3">
      <c r="C4" s="732"/>
      <c r="D4" s="732"/>
      <c r="E4" s="732"/>
      <c r="F4" s="732"/>
      <c r="G4" s="732"/>
      <c r="H4" s="732"/>
      <c r="I4" s="732"/>
      <c r="J4" s="732"/>
      <c r="K4" s="390"/>
      <c r="L4" s="390"/>
      <c r="M4" s="390"/>
    </row>
    <row customHeight="1" ht="28.5">
      <c r="C5" s="732"/>
      <c r="D5" s="1281"/>
      <c r="E5" s="23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67"/>
      <c r="G5" s="2367"/>
      <c r="H5" s="2367"/>
      <c r="I5" s="2367"/>
      <c r="J5" s="2367"/>
      <c r="K5" s="2367"/>
      <c r="L5" s="836"/>
      <c r="M5" s="836"/>
    </row>
    <row s="12890" customFormat="1" customHeight="1" ht="16.5">
      <c r="A6" s="833"/>
      <c r="B6" s="982"/>
      <c r="C6" s="732"/>
      <c r="D6" s="1282"/>
      <c r="E6" s="2336" t="str">
        <f>IF(org=0,"Не определено",org)</f>
        <v>ООО "Новая Энергетика"</v>
      </c>
      <c r="F6" s="2336"/>
      <c r="G6" s="2336"/>
      <c r="H6" s="2336"/>
      <c r="I6" s="2336"/>
      <c r="J6" s="2336"/>
      <c r="K6" s="2336"/>
      <c r="L6" s="836"/>
      <c r="M6" s="836"/>
      <c r="U6" s="834"/>
      <c r="V6" s="834"/>
      <c r="W6" s="835"/>
      <c r="X6" s="982"/>
      <c r="Y6" s="982"/>
      <c r="Z6" s="982"/>
      <c r="AA6" s="982"/>
    </row>
    <row customHeight="1" ht="11.25">
      <c r="C7" s="732"/>
      <c r="D7" s="732"/>
      <c r="E7" s="732"/>
      <c r="F7" s="732"/>
      <c r="G7" s="745"/>
      <c r="H7" s="745"/>
      <c r="I7" s="745"/>
      <c r="J7" s="745"/>
      <c r="K7" s="837"/>
      <c r="L7" s="837"/>
      <c r="M7" s="837"/>
      <c r="R7" s="975"/>
    </row>
    <row s="13364" customFormat="1" customHeight="1" ht="5.25">
      <c r="A8" s="844"/>
      <c r="B8" s="789"/>
      <c r="C8" s="574"/>
      <c r="D8" s="574"/>
      <c r="E8" s="574"/>
      <c r="F8" s="574"/>
      <c r="G8" s="1199"/>
      <c r="H8" s="1199"/>
      <c r="I8" s="1199"/>
      <c r="J8" s="1199"/>
      <c r="K8" s="1242"/>
      <c r="L8" s="1242"/>
      <c r="M8" s="1242"/>
      <c r="R8" s="1243"/>
      <c r="U8" s="834"/>
      <c r="V8" s="834"/>
      <c r="W8" s="845"/>
      <c r="X8" s="789"/>
      <c r="Y8" s="789"/>
      <c r="Z8" s="789"/>
      <c r="AA8" s="789"/>
    </row>
    <row customHeight="1" ht="18.75">
      <c r="D9" s="512"/>
      <c r="E9" s="2238" t="s">
        <v>301</v>
      </c>
      <c r="F9" s="2239"/>
      <c r="G9" s="2239"/>
      <c r="H9" s="2239"/>
      <c r="I9" s="2239"/>
      <c r="J9" s="2239"/>
      <c r="K9" s="2239"/>
      <c r="L9" s="2239"/>
      <c r="M9" s="2239"/>
      <c r="N9" s="2239"/>
      <c r="O9" s="2239"/>
      <c r="P9" s="2239"/>
      <c r="Q9" s="2239"/>
      <c r="R9" s="2240"/>
      <c r="S9" s="2254" t="s">
        <v>302</v>
      </c>
      <c r="T9" s="557"/>
    </row>
    <row customHeight="1" ht="33.75">
      <c r="D10" s="774" t="s">
        <v>87</v>
      </c>
      <c r="E10" s="2254" t="s">
        <v>87</v>
      </c>
      <c r="F10" s="2254"/>
      <c r="G10" s="744" t="s">
        <v>303</v>
      </c>
      <c r="H10" s="2254" t="s">
        <v>87</v>
      </c>
      <c r="I10" s="2254"/>
      <c r="J10" s="744" t="s">
        <v>605</v>
      </c>
      <c r="K10" s="744" t="s">
        <v>606</v>
      </c>
      <c r="L10" s="2254" t="s">
        <v>87</v>
      </c>
      <c r="M10" s="2254"/>
      <c r="N10" s="744" t="s">
        <v>607</v>
      </c>
      <c r="O10" s="744" t="s">
        <v>608</v>
      </c>
      <c r="P10" s="744" t="s">
        <v>609</v>
      </c>
      <c r="Q10" s="744" t="s">
        <v>610</v>
      </c>
      <c r="R10" s="744" t="s">
        <v>611</v>
      </c>
      <c r="S10" s="2254"/>
      <c r="T10" s="557"/>
    </row>
    <row s="13606" customFormat="1" customHeight="1" ht="15" hidden="1">
      <c r="A11" s="1276"/>
      <c r="D11" s="1249" t="s">
        <v>108</v>
      </c>
      <c r="E11" s="1249"/>
      <c r="F11" s="1249" t="s">
        <v>109</v>
      </c>
      <c r="G11" s="1249" t="s">
        <v>89</v>
      </c>
      <c r="H11" s="1249"/>
      <c r="I11" s="1249" t="s">
        <v>90</v>
      </c>
      <c r="J11" s="1249" t="s">
        <v>110</v>
      </c>
      <c r="K11" s="1249" t="s">
        <v>91</v>
      </c>
      <c r="L11" s="1249"/>
      <c r="M11" s="1249" t="s">
        <v>92</v>
      </c>
      <c r="N11" s="1249" t="s">
        <v>111</v>
      </c>
      <c r="O11" s="1249" t="s">
        <v>147</v>
      </c>
      <c r="P11" s="1249" t="s">
        <v>148</v>
      </c>
      <c r="Q11" s="1249" t="s">
        <v>149</v>
      </c>
      <c r="R11" s="1249" t="s">
        <v>150</v>
      </c>
      <c r="S11" s="1249" t="s">
        <v>151</v>
      </c>
      <c r="U11" s="834"/>
      <c r="V11" s="834"/>
      <c r="W11" s="834"/>
    </row>
    <row s="16777" customFormat="1" customHeight="1" ht="0.75">
      <c r="A12" s="838"/>
      <c r="B12" s="585"/>
      <c r="D12" s="771"/>
      <c r="E12" s="569"/>
      <c r="F12" s="569"/>
      <c r="Q12" s="839"/>
      <c r="R12" s="840"/>
      <c r="T12" s="841"/>
      <c r="U12" s="842"/>
      <c r="V12" s="842"/>
      <c r="W12" s="843"/>
      <c r="X12" s="585"/>
      <c r="Y12" s="585"/>
      <c r="Z12" s="585"/>
      <c r="AA12" s="585"/>
    </row>
    <row s="13364" customFormat="1" customHeight="1" ht="0.75">
      <c r="A13" s="844"/>
      <c r="B13" s="789"/>
      <c r="D13" s="771" t="s">
        <v>377</v>
      </c>
      <c r="E13" s="783"/>
      <c r="F13" s="783"/>
      <c r="G13" s="783"/>
      <c r="H13" s="783"/>
      <c r="I13" s="783"/>
      <c r="J13" s="783"/>
      <c r="K13" s="783"/>
      <c r="L13" s="783"/>
      <c r="M13" s="783"/>
      <c r="N13" s="783"/>
      <c r="O13" s="783"/>
      <c r="P13" s="783"/>
      <c r="Q13" s="783"/>
      <c r="R13" s="783"/>
      <c r="T13" s="557"/>
      <c r="U13" s="834"/>
      <c r="V13" s="834"/>
      <c r="W13" s="845"/>
      <c r="X13" s="789"/>
      <c r="Y13" s="789"/>
      <c r="Z13" s="789"/>
      <c r="AA13" s="789"/>
    </row>
    <row s="13234" customFormat="1" customHeight="1" ht="15" hidden="1">
      <c r="A14" s="846" t="s">
        <v>116</v>
      </c>
      <c r="B14" s="847"/>
      <c r="C14" s="847"/>
      <c r="D14" s="2502" t="s">
        <v>108</v>
      </c>
      <c r="E14" s="2510" t="s">
        <v>104</v>
      </c>
      <c r="F14" s="2511"/>
      <c r="G14" s="2512"/>
      <c r="H14" s="2505">
        <f>IF(A14="","",INDEX(DIFFERENTIATION_UNMERGE_VD,MATCH(A14,DIFFERENTIATION_ID_DIFF,0)))</f>
        <v>0</v>
      </c>
      <c r="I14" s="2505"/>
      <c r="J14" s="2505"/>
      <c r="K14" s="2505"/>
      <c r="L14" s="2505"/>
      <c r="M14" s="2505"/>
      <c r="N14" s="2505"/>
      <c r="O14" s="2505"/>
      <c r="P14" s="2505"/>
      <c r="Q14" s="2505"/>
      <c r="R14" s="2505"/>
      <c r="S14" s="942"/>
      <c r="T14" s="939"/>
      <c r="U14" s="848"/>
      <c r="V14" s="848"/>
      <c r="W14" s="849"/>
      <c r="X14" s="849"/>
      <c r="Y14" s="849"/>
      <c r="Z14" s="849"/>
      <c r="AA14" s="850"/>
      <c r="AB14" s="851"/>
      <c r="AC14" s="2509"/>
      <c r="AD14" s="852"/>
      <c r="AE14" s="853" t="s">
        <v>24</v>
      </c>
      <c r="AF14" s="853"/>
      <c r="AG14" s="854" t="s">
        <v>612</v>
      </c>
      <c r="AH14" s="855">
        <v>3</v>
      </c>
      <c r="AI14" s="848"/>
      <c r="AJ14" s="848"/>
      <c r="AK14" s="848"/>
      <c r="AL14" s="848"/>
      <c r="AM14" s="848"/>
      <c r="AN14" s="848"/>
      <c r="AO14" s="848"/>
      <c r="AP14" s="848"/>
      <c r="AQ14" s="848"/>
      <c r="AR14" s="848"/>
      <c r="AS14" s="848"/>
      <c r="AT14" s="848"/>
      <c r="AU14" s="848"/>
      <c r="AV14" s="848"/>
      <c r="AW14" s="848"/>
      <c r="AX14" s="848"/>
      <c r="AY14" s="848"/>
      <c r="AZ14" s="848"/>
      <c r="BA14" s="848"/>
      <c r="BB14" s="848"/>
      <c r="BC14" s="848"/>
      <c r="BD14" s="848"/>
      <c r="BE14" s="848"/>
      <c r="BF14" s="848"/>
      <c r="BG14" s="848"/>
      <c r="BH14" s="848"/>
      <c r="BI14" s="848"/>
      <c r="BJ14" s="848"/>
      <c r="BK14" s="848"/>
      <c r="BL14" s="848"/>
      <c r="BM14" s="848"/>
      <c r="BN14" s="848"/>
      <c r="BO14" s="848"/>
      <c r="BP14" s="848"/>
      <c r="BQ14" s="848"/>
      <c r="BR14" s="848"/>
      <c r="BS14" s="848"/>
      <c r="BT14" s="848"/>
      <c r="BU14" s="848"/>
      <c r="BV14" s="849"/>
      <c r="BW14" s="849"/>
      <c r="BX14" s="849"/>
      <c r="BY14" s="849"/>
      <c r="BZ14" s="849"/>
      <c r="CA14" s="849"/>
      <c r="CB14" s="849"/>
      <c r="CC14" s="849"/>
      <c r="CD14" s="849"/>
      <c r="CE14" s="849"/>
    </row>
    <row s="13234" customFormat="1" customHeight="1" ht="15" hidden="1">
      <c r="A15" s="846"/>
      <c r="B15" s="847"/>
      <c r="C15" s="847"/>
      <c r="D15" s="2503"/>
      <c r="E15" s="2510" t="s">
        <v>567</v>
      </c>
      <c r="F15" s="2511"/>
      <c r="G15" s="2512"/>
      <c r="H15" s="2505" t="str">
        <f>IF(A14="","",INDEX(DIFFERENTIATION_UNMERGE_AREA,MATCH(A14,DIFFERENTIATION_ID_DIFF,0)))</f>
        <v/>
      </c>
      <c r="I15" s="2505"/>
      <c r="J15" s="2505"/>
      <c r="K15" s="2505"/>
      <c r="L15" s="2505"/>
      <c r="M15" s="2505"/>
      <c r="N15" s="2505"/>
      <c r="O15" s="2505"/>
      <c r="P15" s="2505"/>
      <c r="Q15" s="2505"/>
      <c r="R15" s="2505"/>
      <c r="S15" s="942"/>
      <c r="T15" s="939"/>
      <c r="U15" s="848"/>
      <c r="V15" s="848"/>
      <c r="W15" s="849"/>
      <c r="X15" s="849"/>
      <c r="Y15" s="849"/>
      <c r="Z15" s="849"/>
      <c r="AA15" s="850"/>
      <c r="AB15" s="851"/>
      <c r="AC15" s="2509"/>
      <c r="AD15" s="852"/>
      <c r="AE15" s="853"/>
      <c r="AF15" s="853"/>
      <c r="AG15" s="854"/>
      <c r="AH15" s="855"/>
      <c r="AI15" s="848"/>
      <c r="AJ15" s="848"/>
      <c r="AK15" s="848"/>
      <c r="AL15" s="848"/>
      <c r="AM15" s="848"/>
      <c r="AN15" s="848"/>
      <c r="AO15" s="848"/>
      <c r="AP15" s="848"/>
      <c r="AQ15" s="848"/>
      <c r="AR15" s="848"/>
      <c r="AS15" s="848"/>
      <c r="AT15" s="848"/>
      <c r="AU15" s="848"/>
      <c r="AV15" s="848"/>
      <c r="AW15" s="848"/>
      <c r="AX15" s="848"/>
      <c r="AY15" s="848"/>
      <c r="AZ15" s="848"/>
      <c r="BA15" s="848"/>
      <c r="BB15" s="848"/>
      <c r="BC15" s="848"/>
      <c r="BD15" s="848"/>
      <c r="BE15" s="848"/>
      <c r="BF15" s="848"/>
      <c r="BG15" s="848"/>
      <c r="BH15" s="848"/>
      <c r="BI15" s="848"/>
      <c r="BJ15" s="848"/>
      <c r="BK15" s="848"/>
      <c r="BL15" s="848"/>
      <c r="BM15" s="848"/>
      <c r="BN15" s="848"/>
      <c r="BO15" s="848"/>
      <c r="BP15" s="848"/>
      <c r="BQ15" s="848"/>
      <c r="BR15" s="848"/>
      <c r="BS15" s="848"/>
      <c r="BT15" s="848"/>
      <c r="BU15" s="848"/>
      <c r="BV15" s="849"/>
      <c r="BW15" s="849"/>
      <c r="BX15" s="849"/>
      <c r="BY15" s="849"/>
      <c r="BZ15" s="849"/>
      <c r="CA15" s="849"/>
      <c r="CB15" s="849"/>
      <c r="CC15" s="849"/>
      <c r="CD15" s="849"/>
      <c r="CE15" s="849"/>
    </row>
    <row s="13234" customFormat="1" customHeight="1" ht="15" hidden="1">
      <c r="A16" s="846"/>
      <c r="B16" s="847"/>
      <c r="C16" s="847"/>
      <c r="D16" s="2503"/>
      <c r="E16" s="2510" t="s">
        <v>568</v>
      </c>
      <c r="F16" s="2511"/>
      <c r="G16" s="2512"/>
      <c r="H16" s="2505" t="str">
        <f>IF(A14="","",INDEX(DIFFERENTIATION_UNMERGE_SYSTEM,MATCH(A14,DIFFERENTIATION_ID_DIFF,0)))</f>
        <v>без дифференциации</v>
      </c>
      <c r="I16" s="2505"/>
      <c r="J16" s="2505"/>
      <c r="K16" s="2505"/>
      <c r="L16" s="2505"/>
      <c r="M16" s="2505"/>
      <c r="N16" s="2505"/>
      <c r="O16" s="2505"/>
      <c r="P16" s="2505"/>
      <c r="Q16" s="2505"/>
      <c r="R16" s="2505"/>
      <c r="S16" s="942"/>
      <c r="T16" s="939"/>
      <c r="U16" s="848"/>
      <c r="V16" s="848"/>
      <c r="W16" s="849"/>
      <c r="X16" s="849"/>
      <c r="Y16" s="849"/>
      <c r="Z16" s="849"/>
      <c r="AA16" s="850"/>
      <c r="AB16" s="851"/>
      <c r="AC16" s="2509"/>
      <c r="AD16" s="852"/>
      <c r="AE16" s="853"/>
      <c r="AF16" s="853"/>
      <c r="AG16" s="854"/>
      <c r="AH16" s="855"/>
      <c r="AI16" s="848"/>
      <c r="AJ16" s="848"/>
      <c r="AK16" s="848"/>
      <c r="AL16" s="848"/>
      <c r="AM16" s="848"/>
      <c r="AN16" s="848"/>
      <c r="AO16" s="848"/>
      <c r="AP16" s="848"/>
      <c r="AQ16" s="848"/>
      <c r="AR16" s="848"/>
      <c r="AS16" s="848"/>
      <c r="AT16" s="848"/>
      <c r="AU16" s="848"/>
      <c r="AV16" s="848"/>
      <c r="AW16" s="848"/>
      <c r="AX16" s="848"/>
      <c r="AY16" s="848"/>
      <c r="AZ16" s="848"/>
      <c r="BA16" s="848"/>
      <c r="BB16" s="848"/>
      <c r="BC16" s="848"/>
      <c r="BD16" s="848"/>
      <c r="BE16" s="848"/>
      <c r="BF16" s="848"/>
      <c r="BG16" s="848"/>
      <c r="BH16" s="848"/>
      <c r="BI16" s="848"/>
      <c r="BJ16" s="848"/>
      <c r="BK16" s="848"/>
      <c r="BL16" s="848"/>
      <c r="BM16" s="848"/>
      <c r="BN16" s="848"/>
      <c r="BO16" s="848"/>
      <c r="BP16" s="848"/>
      <c r="BQ16" s="848"/>
      <c r="BR16" s="848"/>
      <c r="BS16" s="848"/>
      <c r="BT16" s="848"/>
      <c r="BU16" s="848"/>
      <c r="BV16" s="849"/>
      <c r="BW16" s="849"/>
      <c r="BX16" s="849"/>
      <c r="BY16" s="849"/>
      <c r="BZ16" s="849"/>
      <c r="CA16" s="849"/>
      <c r="CB16" s="849"/>
      <c r="CC16" s="849"/>
      <c r="CD16" s="849"/>
      <c r="CE16" s="849"/>
    </row>
    <row s="13234" customFormat="1" customHeight="1" ht="22.5" hidden="1">
      <c r="A17" s="856"/>
      <c r="B17" s="640"/>
      <c r="C17" s="635"/>
      <c r="D17" s="2503"/>
      <c r="E17" s="2507" t="s">
        <v>613</v>
      </c>
      <c r="F17" s="2507"/>
      <c r="G17" s="2507"/>
      <c r="H17" s="2507"/>
      <c r="I17" s="2507"/>
      <c r="J17" s="2507"/>
      <c r="K17" s="2507"/>
      <c r="L17" s="2507"/>
      <c r="M17" s="2507"/>
      <c r="N17" s="2507"/>
      <c r="O17" s="2507"/>
      <c r="P17" s="2507"/>
      <c r="Q17" s="781">
        <f>SUMIF(T18:T19,"i",Q18:Q19)</f>
        <v>0</v>
      </c>
      <c r="R17" s="1241"/>
      <c r="S17" s="1120" t="s">
        <v>614</v>
      </c>
      <c r="T17" s="940" t="s">
        <v>615</v>
      </c>
      <c r="U17" s="2508">
        <v>1</v>
      </c>
      <c r="V17" s="2508" t="str">
        <f>INDEX(B_FHD_FLAG_INDEX_1,1,MATCH(A14,B_FHD_FLAG_DIFFERENTIATION,0))</f>
        <v>отсутствует</v>
      </c>
      <c r="W17" s="640"/>
      <c r="X17" s="640"/>
      <c r="Y17" s="640"/>
      <c r="Z17" s="640"/>
      <c r="AA17" s="734"/>
      <c r="AB17" s="640"/>
      <c r="AC17" s="2509"/>
      <c r="AD17" s="852"/>
      <c r="AE17" s="640"/>
      <c r="AF17" s="640"/>
      <c r="AG17" s="734"/>
      <c r="AH17" s="734"/>
      <c r="AI17" s="734"/>
      <c r="AJ17" s="734"/>
      <c r="AK17" s="734"/>
      <c r="AL17" s="734"/>
      <c r="AM17" s="734"/>
      <c r="AN17" s="734"/>
      <c r="AO17" s="734"/>
      <c r="AP17" s="734"/>
      <c r="AQ17" s="734"/>
      <c r="AR17" s="734"/>
      <c r="AS17" s="734"/>
      <c r="AT17" s="734"/>
      <c r="AU17" s="734"/>
      <c r="AV17" s="734"/>
      <c r="AW17" s="734"/>
      <c r="AX17" s="734"/>
      <c r="AY17" s="734"/>
      <c r="AZ17" s="734"/>
      <c r="BA17" s="734"/>
      <c r="BB17" s="734"/>
      <c r="BC17" s="734"/>
      <c r="BD17" s="734"/>
      <c r="BE17" s="734"/>
      <c r="BF17" s="734"/>
      <c r="BG17" s="734"/>
      <c r="BH17" s="734"/>
      <c r="BI17" s="734"/>
      <c r="BJ17" s="734"/>
      <c r="BK17" s="734"/>
      <c r="BL17" s="734"/>
      <c r="BM17" s="734"/>
      <c r="BN17" s="734"/>
      <c r="BO17" s="734"/>
      <c r="BP17" s="734"/>
      <c r="BQ17" s="734"/>
      <c r="BR17" s="734"/>
      <c r="BS17" s="734"/>
      <c r="BT17" s="734"/>
      <c r="BU17" s="734"/>
      <c r="BV17" s="640"/>
      <c r="BW17" s="640"/>
      <c r="BX17" s="640"/>
      <c r="BY17" s="640"/>
      <c r="BZ17" s="640"/>
      <c r="CA17" s="640"/>
      <c r="CB17" s="640"/>
      <c r="CC17" s="640"/>
      <c r="CD17" s="640"/>
      <c r="CE17" s="640"/>
    </row>
    <row s="13234" customFormat="1" customHeight="1" ht="11.25" hidden="1">
      <c r="A18" s="857"/>
      <c r="B18" s="734"/>
      <c r="C18" s="734"/>
      <c r="D18" s="2503"/>
      <c r="E18" s="858"/>
      <c r="F18" s="858">
        <v>0</v>
      </c>
      <c r="G18" s="858"/>
      <c r="H18" s="858"/>
      <c r="I18" s="858"/>
      <c r="J18" s="858"/>
      <c r="K18" s="858"/>
      <c r="L18" s="858"/>
      <c r="M18" s="858"/>
      <c r="N18" s="858"/>
      <c r="O18" s="858"/>
      <c r="P18" s="858"/>
      <c r="Q18" s="858"/>
      <c r="R18" s="858"/>
      <c r="S18" s="859"/>
      <c r="T18" s="941"/>
      <c r="U18" s="2508"/>
      <c r="V18" s="2508"/>
      <c r="W18" s="734"/>
      <c r="X18" s="734"/>
      <c r="Y18" s="734"/>
      <c r="Z18" s="734"/>
      <c r="AA18" s="734"/>
      <c r="AB18" s="640"/>
      <c r="AC18" s="2509"/>
      <c r="AD18" s="852"/>
      <c r="AE18" s="640"/>
      <c r="AF18" s="640"/>
      <c r="AG18" s="734"/>
      <c r="AH18" s="734"/>
      <c r="AI18" s="734"/>
      <c r="AJ18" s="734"/>
      <c r="AK18" s="734"/>
      <c r="AL18" s="734"/>
      <c r="AM18" s="734"/>
      <c r="AN18" s="734"/>
      <c r="AO18" s="734"/>
      <c r="AP18" s="734"/>
      <c r="AQ18" s="734"/>
      <c r="AR18" s="734"/>
      <c r="AS18" s="734"/>
      <c r="AT18" s="734"/>
      <c r="AU18" s="734"/>
      <c r="AV18" s="734"/>
      <c r="AW18" s="734"/>
      <c r="AX18" s="734"/>
      <c r="AY18" s="734"/>
      <c r="AZ18" s="734"/>
      <c r="BA18" s="734"/>
      <c r="BB18" s="734"/>
      <c r="BC18" s="734"/>
      <c r="BD18" s="734"/>
      <c r="BE18" s="734"/>
      <c r="BF18" s="734"/>
      <c r="BG18" s="734"/>
      <c r="BH18" s="734"/>
      <c r="BI18" s="734"/>
      <c r="BJ18" s="734"/>
      <c r="BK18" s="734"/>
      <c r="BL18" s="734"/>
      <c r="BM18" s="734"/>
      <c r="BN18" s="734"/>
      <c r="BO18" s="734"/>
      <c r="BP18" s="734"/>
      <c r="BQ18" s="734"/>
      <c r="BR18" s="734"/>
      <c r="BS18" s="734"/>
      <c r="BT18" s="734"/>
      <c r="BU18" s="734"/>
      <c r="BV18" s="734"/>
      <c r="BW18" s="734"/>
      <c r="BX18" s="734"/>
      <c r="BY18" s="734"/>
      <c r="BZ18" s="734"/>
      <c r="CA18" s="734"/>
      <c r="CB18" s="734"/>
      <c r="CC18" s="734"/>
      <c r="CD18" s="734"/>
      <c r="CE18" s="734"/>
    </row>
    <row s="13234" customFormat="1" customHeight="1" ht="11.25" hidden="1">
      <c r="A19" s="856"/>
      <c r="B19" s="640"/>
      <c r="C19" s="635"/>
      <c r="D19" s="2503"/>
      <c r="E19" s="872" t="s">
        <v>24</v>
      </c>
      <c r="F19" s="873" t="s">
        <v>24</v>
      </c>
      <c r="G19" s="873" t="s">
        <v>24</v>
      </c>
      <c r="H19" s="874" t="s">
        <v>24</v>
      </c>
      <c r="I19" s="874"/>
      <c r="J19" s="874"/>
      <c r="K19" s="874"/>
      <c r="L19" s="874"/>
      <c r="M19" s="874"/>
      <c r="N19" s="874"/>
      <c r="O19" s="874"/>
      <c r="P19" s="874"/>
      <c r="Q19" s="874"/>
      <c r="R19" s="875"/>
      <c r="S19" s="1244"/>
      <c r="T19" s="941"/>
      <c r="U19" s="2508"/>
      <c r="V19" s="2508"/>
      <c r="W19" s="640"/>
      <c r="X19" s="640"/>
      <c r="Y19" s="640"/>
      <c r="Z19" s="640"/>
      <c r="AA19" s="734"/>
      <c r="AB19" s="640"/>
      <c r="AC19" s="2509"/>
      <c r="AD19" s="852"/>
      <c r="AE19" s="640"/>
      <c r="AF19" s="640"/>
      <c r="AG19" s="734"/>
      <c r="AH19" s="734"/>
      <c r="AI19" s="734"/>
      <c r="AJ19" s="734"/>
      <c r="AK19" s="734"/>
      <c r="AL19" s="734"/>
      <c r="AM19" s="734"/>
      <c r="AN19" s="734"/>
      <c r="AO19" s="734"/>
      <c r="AP19" s="734"/>
      <c r="AQ19" s="734"/>
      <c r="AR19" s="734"/>
      <c r="AS19" s="734"/>
      <c r="AT19" s="734"/>
      <c r="AU19" s="734"/>
      <c r="AV19" s="734"/>
      <c r="AW19" s="734"/>
      <c r="AX19" s="734"/>
      <c r="AY19" s="734"/>
      <c r="AZ19" s="734"/>
      <c r="BA19" s="734"/>
      <c r="BB19" s="734"/>
      <c r="BC19" s="734"/>
      <c r="BD19" s="734"/>
      <c r="BE19" s="734"/>
      <c r="BF19" s="734"/>
      <c r="BG19" s="734"/>
      <c r="BH19" s="734"/>
      <c r="BI19" s="734"/>
      <c r="BJ19" s="734"/>
      <c r="BK19" s="734"/>
      <c r="BL19" s="734"/>
      <c r="BM19" s="734"/>
      <c r="BN19" s="734"/>
      <c r="BO19" s="734"/>
      <c r="BP19" s="734"/>
      <c r="BQ19" s="734"/>
      <c r="BR19" s="734"/>
      <c r="BS19" s="734"/>
      <c r="BT19" s="734"/>
      <c r="BU19" s="734"/>
      <c r="BV19" s="640"/>
      <c r="BW19" s="640"/>
      <c r="BX19" s="640"/>
      <c r="BY19" s="640"/>
      <c r="BZ19" s="640"/>
      <c r="CA19" s="640"/>
      <c r="CB19" s="640"/>
      <c r="CC19" s="640"/>
      <c r="CD19" s="640"/>
      <c r="CE19" s="640"/>
    </row>
    <row s="13234" customFormat="1" customHeight="1" ht="22.5" hidden="1">
      <c r="A20" s="856"/>
      <c r="B20" s="640"/>
      <c r="C20" s="635"/>
      <c r="D20" s="2503"/>
      <c r="E20" s="2507" t="s">
        <v>616</v>
      </c>
      <c r="F20" s="2507"/>
      <c r="G20" s="2507"/>
      <c r="H20" s="2507"/>
      <c r="I20" s="2507"/>
      <c r="J20" s="2507"/>
      <c r="K20" s="2507"/>
      <c r="L20" s="2507"/>
      <c r="M20" s="2507"/>
      <c r="N20" s="2507"/>
      <c r="O20" s="2507"/>
      <c r="P20" s="2507"/>
      <c r="Q20" s="781">
        <f>SUMIF(T21:T22,"i",Q21:Q22)</f>
        <v>0</v>
      </c>
      <c r="R20" s="1241"/>
      <c r="S20" s="932" t="s">
        <v>617</v>
      </c>
      <c r="T20" s="940" t="s">
        <v>615</v>
      </c>
      <c r="U20" s="2508">
        <v>2</v>
      </c>
      <c r="V20" s="2508" t="str">
        <f>INDEX(B_FHD_FLAG_INDEX_2,1,MATCH(A14,B_FHD_FLAG_DIFFERENTIATION,0))</f>
        <v>отсутствует</v>
      </c>
      <c r="W20" s="640"/>
      <c r="X20" s="640"/>
      <c r="Y20" s="640"/>
      <c r="Z20" s="640"/>
      <c r="AA20" s="734"/>
      <c r="AB20" s="640"/>
      <c r="AC20" s="929"/>
      <c r="AD20" s="852"/>
      <c r="AE20" s="640"/>
      <c r="AF20" s="640"/>
      <c r="AG20" s="734"/>
      <c r="AH20" s="734"/>
      <c r="AI20" s="734"/>
      <c r="AJ20" s="734"/>
      <c r="AK20" s="734"/>
      <c r="AL20" s="734"/>
      <c r="AM20" s="734"/>
      <c r="AN20" s="734"/>
      <c r="AO20" s="734"/>
      <c r="AP20" s="734"/>
      <c r="AQ20" s="734"/>
      <c r="AR20" s="734"/>
      <c r="AS20" s="734"/>
      <c r="AT20" s="734"/>
      <c r="AU20" s="734"/>
      <c r="AV20" s="734"/>
      <c r="AW20" s="734"/>
      <c r="AX20" s="734"/>
      <c r="AY20" s="734"/>
      <c r="AZ20" s="734"/>
      <c r="BA20" s="734"/>
      <c r="BB20" s="734"/>
      <c r="BC20" s="734"/>
      <c r="BD20" s="734"/>
      <c r="BE20" s="734"/>
      <c r="BF20" s="734"/>
      <c r="BG20" s="734"/>
      <c r="BH20" s="734"/>
      <c r="BI20" s="734"/>
      <c r="BJ20" s="734"/>
      <c r="BK20" s="734"/>
      <c r="BL20" s="734"/>
      <c r="BM20" s="734"/>
      <c r="BN20" s="734"/>
      <c r="BO20" s="734"/>
      <c r="BP20" s="734"/>
      <c r="BQ20" s="734"/>
      <c r="BR20" s="734"/>
      <c r="BS20" s="734"/>
      <c r="BT20" s="734"/>
      <c r="BU20" s="734"/>
      <c r="BV20" s="640"/>
      <c r="BW20" s="640"/>
      <c r="BX20" s="640"/>
      <c r="BY20" s="640"/>
      <c r="BZ20" s="640"/>
      <c r="CA20" s="640"/>
      <c r="CB20" s="640"/>
      <c r="CC20" s="640"/>
      <c r="CD20" s="640"/>
      <c r="CE20" s="640"/>
    </row>
    <row s="13234" customFormat="1" customHeight="1" ht="11.25" hidden="1">
      <c r="A21" s="931"/>
      <c r="B21" s="734"/>
      <c r="C21" s="734"/>
      <c r="D21" s="2503"/>
      <c r="E21" s="858"/>
      <c r="F21" s="858">
        <v>0</v>
      </c>
      <c r="G21" s="858"/>
      <c r="H21" s="858"/>
      <c r="I21" s="858"/>
      <c r="J21" s="858"/>
      <c r="K21" s="858"/>
      <c r="L21" s="858"/>
      <c r="M21" s="858"/>
      <c r="N21" s="858"/>
      <c r="O21" s="858"/>
      <c r="P21" s="858"/>
      <c r="Q21" s="858"/>
      <c r="R21" s="858"/>
      <c r="S21" s="859"/>
      <c r="T21" s="941"/>
      <c r="U21" s="2508"/>
      <c r="V21" s="2508"/>
      <c r="W21" s="734"/>
      <c r="X21" s="734"/>
      <c r="Y21" s="734"/>
      <c r="Z21" s="734"/>
      <c r="AA21" s="734"/>
      <c r="AB21" s="640"/>
      <c r="AC21" s="929"/>
      <c r="AD21" s="852"/>
      <c r="AE21" s="640"/>
      <c r="AF21" s="640"/>
      <c r="AG21" s="734"/>
      <c r="AH21" s="734"/>
      <c r="AI21" s="734"/>
      <c r="AJ21" s="734"/>
      <c r="AK21" s="734"/>
      <c r="AL21" s="734"/>
      <c r="AM21" s="734"/>
      <c r="AN21" s="734"/>
      <c r="AO21" s="734"/>
      <c r="AP21" s="734"/>
      <c r="AQ21" s="734"/>
      <c r="AR21" s="734"/>
      <c r="AS21" s="734"/>
      <c r="AT21" s="734"/>
      <c r="AU21" s="734"/>
      <c r="AV21" s="734"/>
      <c r="AW21" s="734"/>
      <c r="AX21" s="734"/>
      <c r="AY21" s="734"/>
      <c r="AZ21" s="734"/>
      <c r="BA21" s="734"/>
      <c r="BB21" s="734"/>
      <c r="BC21" s="734"/>
      <c r="BD21" s="734"/>
      <c r="BE21" s="734"/>
      <c r="BF21" s="734"/>
      <c r="BG21" s="734"/>
      <c r="BH21" s="734"/>
      <c r="BI21" s="734"/>
      <c r="BJ21" s="734"/>
      <c r="BK21" s="734"/>
      <c r="BL21" s="734"/>
      <c r="BM21" s="734"/>
      <c r="BN21" s="734"/>
      <c r="BO21" s="734"/>
      <c r="BP21" s="734"/>
      <c r="BQ21" s="734"/>
      <c r="BR21" s="734"/>
      <c r="BS21" s="734"/>
      <c r="BT21" s="734"/>
      <c r="BU21" s="734"/>
      <c r="BV21" s="734"/>
      <c r="BW21" s="734"/>
      <c r="BX21" s="734"/>
      <c r="BY21" s="734"/>
      <c r="BZ21" s="734"/>
      <c r="CA21" s="734"/>
      <c r="CB21" s="734"/>
      <c r="CC21" s="734"/>
      <c r="CD21" s="734"/>
      <c r="CE21" s="734"/>
    </row>
    <row s="13234" customFormat="1" customHeight="1" ht="11.25" hidden="1">
      <c r="A22" s="856"/>
      <c r="B22" s="640"/>
      <c r="C22" s="635"/>
      <c r="D22" s="2504"/>
      <c r="E22" s="872" t="s">
        <v>24</v>
      </c>
      <c r="F22" s="873" t="s">
        <v>24</v>
      </c>
      <c r="G22" s="873" t="s">
        <v>24</v>
      </c>
      <c r="H22" s="874" t="s">
        <v>24</v>
      </c>
      <c r="I22" s="874"/>
      <c r="J22" s="874"/>
      <c r="K22" s="874"/>
      <c r="L22" s="874"/>
      <c r="M22" s="874"/>
      <c r="N22" s="874"/>
      <c r="O22" s="874"/>
      <c r="P22" s="874"/>
      <c r="Q22" s="874"/>
      <c r="R22" s="875"/>
      <c r="S22" s="1244"/>
      <c r="T22" s="941"/>
      <c r="U22" s="2508"/>
      <c r="V22" s="2508"/>
      <c r="W22" s="640"/>
      <c r="X22" s="640"/>
      <c r="Y22" s="640"/>
      <c r="Z22" s="640"/>
      <c r="AA22" s="734"/>
      <c r="AB22" s="640"/>
      <c r="AC22" s="929"/>
      <c r="AD22" s="852"/>
      <c r="AE22" s="640"/>
      <c r="AF22" s="640"/>
      <c r="AG22" s="734"/>
      <c r="AH22" s="734"/>
      <c r="AI22" s="734"/>
      <c r="AJ22" s="734"/>
      <c r="AK22" s="734"/>
      <c r="AL22" s="734"/>
      <c r="AM22" s="734"/>
      <c r="AN22" s="734"/>
      <c r="AO22" s="734"/>
      <c r="AP22" s="734"/>
      <c r="AQ22" s="734"/>
      <c r="AR22" s="734"/>
      <c r="AS22" s="734"/>
      <c r="AT22" s="734"/>
      <c r="AU22" s="734"/>
      <c r="AV22" s="734"/>
      <c r="AW22" s="734"/>
      <c r="AX22" s="734"/>
      <c r="AY22" s="734"/>
      <c r="AZ22" s="734"/>
      <c r="BA22" s="734"/>
      <c r="BB22" s="734"/>
      <c r="BC22" s="734"/>
      <c r="BD22" s="734"/>
      <c r="BE22" s="734"/>
      <c r="BF22" s="734"/>
      <c r="BG22" s="734"/>
      <c r="BH22" s="734"/>
      <c r="BI22" s="734"/>
      <c r="BJ22" s="734"/>
      <c r="BK22" s="734"/>
      <c r="BL22" s="734"/>
      <c r="BM22" s="734"/>
      <c r="BN22" s="734"/>
      <c r="BO22" s="734"/>
      <c r="BP22" s="734"/>
      <c r="BQ22" s="734"/>
      <c r="BR22" s="734"/>
      <c r="BS22" s="734"/>
      <c r="BT22" s="734"/>
      <c r="BU22" s="734"/>
      <c r="BV22" s="640"/>
      <c r="BW22" s="640"/>
      <c r="BX22" s="640"/>
      <c r="BY22" s="640"/>
      <c r="BZ22" s="640"/>
      <c r="CA22" s="640"/>
      <c r="CB22" s="640"/>
      <c r="CC22" s="640"/>
      <c r="CD22" s="640"/>
      <c r="CE22" s="640"/>
    </row>
    <row customHeight="1" ht="18.75">
      <c r="D23" s="1271"/>
      <c r="E23" s="1271"/>
      <c r="F23" s="1271"/>
      <c r="G23" s="1271"/>
      <c r="H23" s="1271"/>
      <c r="I23" s="1271"/>
      <c r="J23" s="1271"/>
      <c r="K23" s="1271"/>
      <c r="L23" s="1271"/>
      <c r="M23" s="1271"/>
      <c r="N23" s="1271"/>
      <c r="O23" s="1271"/>
      <c r="P23" s="1271"/>
      <c r="Q23" s="1271"/>
      <c r="R23" s="1271"/>
      <c r="S23" s="1271"/>
      <c r="T23" s="557"/>
    </row>
    <row customHeight="1" ht="11.25">
      <c r="D24" s="732"/>
    </row>
    <row customHeight="1" ht="11.25">
      <c r="D25" s="877"/>
      <c r="E25" s="877"/>
      <c r="F25" s="877"/>
      <c r="G25" s="878"/>
    </row>
    <row r="27" customHeight="1" ht="11.25">
      <c r="D27" s="879"/>
      <c r="E27" s="2506"/>
      <c r="F27" s="2506"/>
      <c r="G27" s="2506"/>
      <c r="H27" s="2506"/>
      <c r="I27" s="2506"/>
      <c r="J27" s="2506"/>
      <c r="K27" s="2506"/>
      <c r="L27" s="2506"/>
      <c r="M27" s="2506"/>
      <c r="N27" s="2506"/>
      <c r="O27" s="2506"/>
      <c r="P27" s="2506"/>
      <c r="Q27" s="2506"/>
      <c r="R27" s="2506"/>
    </row>
    <row customHeight="1" ht="11.25">
      <c r="F28" s="981"/>
      <c r="G28" s="981"/>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68199-D369-17FA-4FFB-B6D4D8AFF601}"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6758" width="10.7109375" hidden="1" customWidth="1"/>
    <col min="2" max="2" style="13533" width="16.8515625" hidden="1" customWidth="1"/>
    <col min="3" max="3" style="13659" width="5.57421875" hidden="1" customWidth="1"/>
    <col min="4" max="4" style="16759" width="3.7109375" customWidth="1"/>
    <col min="5" max="5" style="13661" width="7.7109375" customWidth="1"/>
    <col min="6" max="6" style="13661" width="56.140625" customWidth="1"/>
    <col min="7" max="7" style="13661" width="10.421875" customWidth="1"/>
    <col min="8" max="8" style="13661" width="40.7109375" hidden="1" customWidth="1"/>
    <col min="9" max="9" style="13661" width="40.7109375" customWidth="1"/>
    <col min="10" max="10" style="13661" width="102.8515625" customWidth="1"/>
    <col min="11" max="11" style="13533" width="9.7109375" customWidth="1"/>
    <col min="12" max="12" style="13659" width="5.28125" customWidth="1"/>
    <col min="13" max="13" style="13659" width="3.7109375" customWidth="1"/>
    <col min="14" max="17" style="13533" width="3.7109375" customWidth="1"/>
    <col min="18" max="18" style="13659" width="10.57421875" customWidth="1"/>
    <col min="19" max="19" style="13533" width="34.7109375" customWidth="1"/>
    <col min="20" max="20" style="13533" width="9.421875" customWidth="1"/>
    <col min="21" max="21" style="16760" width="9.140625"/>
    <col min="22" max="26" style="13533" width="9.140625"/>
    <col min="27" max="31" style="16662" width="9.140625"/>
  </cols>
  <sheetData>
    <row s="13533" customFormat="1" customHeight="1" ht="11.25" hidden="1">
      <c r="A1" s="1211"/>
      <c r="C1" s="1864"/>
      <c r="D1" s="760"/>
      <c r="H1" s="1385">
        <v>4</v>
      </c>
      <c r="I1" s="1385">
        <v>4</v>
      </c>
      <c r="L1" s="1864"/>
      <c r="M1" s="1864"/>
      <c r="R1" s="1864"/>
    </row>
    <row s="13533" customFormat="1" customHeight="1" ht="22.5" hidden="1">
      <c r="A2" s="1211"/>
      <c r="C2" s="1864"/>
      <c r="D2" s="761"/>
      <c r="E2" s="1865"/>
      <c r="F2" s="763"/>
      <c r="G2" s="1867" t="s">
        <v>555</v>
      </c>
      <c r="H2" s="764"/>
      <c r="I2" s="764"/>
      <c r="J2" s="765" t="s">
        <v>618</v>
      </c>
      <c r="K2" s="766"/>
      <c r="L2" s="1864"/>
      <c r="M2" s="1864"/>
      <c r="R2" s="1864"/>
      <c r="U2" s="767"/>
      <c r="AA2" s="1860"/>
      <c r="AB2" s="1860"/>
      <c r="AC2" s="1860"/>
      <c r="AD2" s="1860"/>
      <c r="AE2" s="1860"/>
    </row>
    <row customHeight="1" ht="11.25" hidden="1"/>
    <row s="16662" customFormat="1" customHeight="1" ht="11.25" hidden="1">
      <c r="A4" s="1211"/>
      <c r="B4" s="1385"/>
      <c r="C4" s="1864"/>
      <c r="D4" s="585"/>
      <c r="J4" s="1860">
        <v>4</v>
      </c>
      <c r="K4" s="1385"/>
      <c r="L4" s="1864"/>
      <c r="M4" s="1864"/>
      <c r="N4" s="1385"/>
      <c r="O4" s="1385"/>
      <c r="P4" s="1385"/>
      <c r="Q4" s="1385"/>
      <c r="R4" s="1864"/>
      <c r="S4" s="1385"/>
      <c r="T4" s="1385"/>
      <c r="U4" s="767"/>
      <c r="V4" s="1385"/>
      <c r="W4" s="1385"/>
      <c r="X4" s="1385"/>
      <c r="Y4" s="1385"/>
      <c r="Z4" s="1385"/>
    </row>
    <row r="6" customHeight="1" ht="22.5">
      <c r="E6" s="2435" t="s">
        <v>619</v>
      </c>
      <c r="F6" s="2435"/>
      <c r="G6" s="2435"/>
      <c r="H6" s="2435"/>
      <c r="I6" s="2435"/>
      <c r="J6" s="779"/>
    </row>
    <row customHeight="1" ht="24">
      <c r="E7" s="2423" t="str">
        <f>IF(org=0,"Не определено",org)</f>
        <v>ООО "Новая Энергетика"</v>
      </c>
      <c r="F7" s="2423"/>
      <c r="G7" s="2423"/>
      <c r="H7" s="2423"/>
      <c r="I7" s="2423"/>
    </row>
    <row customHeight="1" ht="11.25">
      <c r="E8" s="1360"/>
      <c r="F8" s="1360"/>
      <c r="G8" s="1360"/>
      <c r="H8" s="1360"/>
      <c r="I8" s="1360"/>
    </row>
    <row s="13659" customFormat="1" customHeight="1" ht="0.75">
      <c r="A9" s="1392"/>
      <c r="D9" s="1870"/>
      <c r="H9" s="1112"/>
      <c r="I9" s="1112" t="s">
        <v>116</v>
      </c>
    </row>
    <row customHeight="1" ht="11.25">
      <c r="E10" s="934"/>
      <c r="F10" s="2498" t="s">
        <v>104</v>
      </c>
      <c r="G10" s="2499"/>
      <c r="H10" s="1780" t="str">
        <f>IF(H9="","",INDEX(DIFFERENTIATION_UNMERGE_VD,MATCH(H9,DIFFERENTIATION_ID_DIFF,0)))</f>
        <v/>
      </c>
      <c r="I10" s="1780">
        <f>IF(I9="","",INDEX(DIFFERENTIATION_UNMERGE_VD,MATCH(I9,DIFFERENTIATION_ID_DIFF,0)))</f>
        <v>0</v>
      </c>
      <c r="J10" s="2254"/>
    </row>
    <row customHeight="1" ht="11.25">
      <c r="E11" s="934"/>
      <c r="F11" s="2498" t="s">
        <v>567</v>
      </c>
      <c r="G11" s="2499"/>
      <c r="H11" s="1780" t="str">
        <f>IF(H9="","",INDEX(DIFFERENTIATION_UNMERGE_AREA,MATCH(H9,DIFFERENTIATION_ID_DIFF,0)))</f>
        <v/>
      </c>
      <c r="I11" s="1780" t="str">
        <f>IF(I9="","",INDEX(DIFFERENTIATION_UNMERGE_AREA,MATCH(I9,DIFFERENTIATION_ID_DIFF,0)))</f>
        <v/>
      </c>
      <c r="J11" s="2254"/>
    </row>
    <row customHeight="1" ht="11.25" hidden="1">
      <c r="E12" s="1890"/>
      <c r="F12" s="2513" t="s">
        <v>568</v>
      </c>
      <c r="G12" s="2514"/>
      <c r="H12" s="1891" t="str">
        <f>IF(H9="","",INDEX(DIFFERENTIATION_UNMERGE_SYSTEM,MATCH(H9,DIFFERENTIATION_ID_DIFF,0)))</f>
        <v/>
      </c>
      <c r="I12" s="1891" t="str">
        <f>IF(I9="","",INDEX(DIFFERENTIATION_UNMERGE_SYSTEM,MATCH(I9,DIFFERENTIATION_ID_DIFF,0)))</f>
        <v>без дифференциации</v>
      </c>
      <c r="J12" s="2254"/>
    </row>
    <row customHeight="1" ht="11.25">
      <c r="E13" s="2500" t="s">
        <v>301</v>
      </c>
      <c r="F13" s="2501"/>
      <c r="G13" s="2501"/>
      <c r="H13" s="1779"/>
      <c r="I13" s="1779"/>
      <c r="J13" s="2254"/>
    </row>
    <row customHeight="1" ht="22.5">
      <c r="E14" s="1867" t="s">
        <v>87</v>
      </c>
      <c r="F14" s="1862" t="s">
        <v>303</v>
      </c>
      <c r="G14" s="1862" t="s">
        <v>569</v>
      </c>
      <c r="H14" s="1862" t="s">
        <v>304</v>
      </c>
      <c r="I14" s="1862" t="s">
        <v>304</v>
      </c>
      <c r="J14" s="2254"/>
    </row>
    <row customHeight="1" ht="18.75">
      <c r="D15" s="1866"/>
      <c r="E15" s="1858" t="s">
        <v>108</v>
      </c>
      <c r="F15" s="930" t="s">
        <v>620</v>
      </c>
      <c r="G15" s="1874" t="s">
        <v>555</v>
      </c>
      <c r="H15" s="780"/>
      <c r="I15" s="780"/>
      <c r="J15" s="512" t="s">
        <v>621</v>
      </c>
      <c r="K15" s="766" t="s">
        <v>622</v>
      </c>
    </row>
    <row customHeight="1" ht="33.75">
      <c r="D16" s="1866"/>
      <c r="E16" s="1858" t="s">
        <v>109</v>
      </c>
      <c r="F16" s="930" t="s">
        <v>623</v>
      </c>
      <c r="G16" s="1874" t="s">
        <v>555</v>
      </c>
      <c r="H16" s="781">
        <f>SUM(H17,H20:H32)</f>
        <v>0</v>
      </c>
      <c r="I16" s="781">
        <f>SUM(I17,I20:I32)</f>
        <v>0</v>
      </c>
      <c r="J16" s="512" t="s">
        <v>624</v>
      </c>
      <c r="K16" s="766" t="s">
        <v>622</v>
      </c>
    </row>
    <row customHeight="1" ht="18.75">
      <c r="D17" s="1866"/>
      <c r="E17" s="1892" t="s">
        <v>625</v>
      </c>
      <c r="F17" s="1178" t="s">
        <v>626</v>
      </c>
      <c r="G17" s="1871" t="s">
        <v>555</v>
      </c>
      <c r="H17" s="780"/>
      <c r="I17" s="780"/>
      <c r="J17" s="512" t="s">
        <v>627</v>
      </c>
      <c r="K17" s="766"/>
    </row>
    <row customHeight="1" ht="22.5">
      <c r="D18" s="1866"/>
      <c r="E18" s="1892" t="s">
        <v>628</v>
      </c>
      <c r="F18" s="1878" t="s">
        <v>629</v>
      </c>
      <c r="G18" s="1871" t="s">
        <v>555</v>
      </c>
      <c r="H18" s="780"/>
      <c r="I18" s="780"/>
      <c r="J18" s="512" t="s">
        <v>630</v>
      </c>
      <c r="K18" s="766"/>
    </row>
    <row customHeight="1" ht="33.75">
      <c r="D19" s="1866"/>
      <c r="E19" s="1892" t="s">
        <v>631</v>
      </c>
      <c r="F19" s="1878" t="s">
        <v>632</v>
      </c>
      <c r="G19" s="1871" t="s">
        <v>555</v>
      </c>
      <c r="H19" s="780"/>
      <c r="I19" s="780"/>
      <c r="J19" s="512"/>
      <c r="K19" s="766"/>
    </row>
    <row customHeight="1" ht="18.75">
      <c r="D20" s="1866"/>
      <c r="E20" s="1892" t="s">
        <v>308</v>
      </c>
      <c r="F20" s="1178" t="s">
        <v>633</v>
      </c>
      <c r="G20" s="1871" t="s">
        <v>555</v>
      </c>
      <c r="H20" s="780"/>
      <c r="I20" s="780"/>
      <c r="J20" s="512" t="s">
        <v>634</v>
      </c>
      <c r="K20" s="766"/>
    </row>
    <row customHeight="1" ht="18.75">
      <c r="D21" s="1866"/>
      <c r="E21" s="1892" t="s">
        <v>635</v>
      </c>
      <c r="F21" s="1878" t="s">
        <v>636</v>
      </c>
      <c r="G21" s="1871" t="s">
        <v>555</v>
      </c>
      <c r="H21" s="780"/>
      <c r="I21" s="780"/>
      <c r="J21" s="512"/>
      <c r="K21" s="766"/>
    </row>
    <row customHeight="1" ht="18.75">
      <c r="D22" s="1866"/>
      <c r="E22" s="1892" t="s">
        <v>637</v>
      </c>
      <c r="F22" s="1878" t="s">
        <v>638</v>
      </c>
      <c r="G22" s="1871" t="s">
        <v>555</v>
      </c>
      <c r="H22" s="780"/>
      <c r="I22" s="780"/>
      <c r="J22" s="512"/>
      <c r="K22" s="766"/>
    </row>
    <row customHeight="1" ht="22.5">
      <c r="D23" s="1866"/>
      <c r="E23" s="1892" t="s">
        <v>311</v>
      </c>
      <c r="F23" s="1178" t="s">
        <v>639</v>
      </c>
      <c r="G23" s="1871" t="s">
        <v>555</v>
      </c>
      <c r="H23" s="780"/>
      <c r="I23" s="780"/>
      <c r="J23" s="512" t="s">
        <v>640</v>
      </c>
      <c r="K23" s="766"/>
    </row>
    <row customHeight="1" ht="18.75">
      <c r="D24" s="1866"/>
      <c r="E24" s="1892" t="s">
        <v>641</v>
      </c>
      <c r="F24" s="1878" t="s">
        <v>642</v>
      </c>
      <c r="G24" s="1871" t="s">
        <v>555</v>
      </c>
      <c r="H24" s="780"/>
      <c r="I24" s="780"/>
      <c r="J24" s="512"/>
      <c r="K24" s="766"/>
    </row>
    <row customHeight="1" ht="33.75">
      <c r="D25" s="1866"/>
      <c r="E25" s="1892" t="s">
        <v>643</v>
      </c>
      <c r="F25" s="1878" t="s">
        <v>644</v>
      </c>
      <c r="G25" s="1871" t="s">
        <v>555</v>
      </c>
      <c r="H25" s="780"/>
      <c r="I25" s="780"/>
      <c r="J25" s="512"/>
      <c r="K25" s="766"/>
    </row>
    <row customHeight="1" ht="22.5">
      <c r="D26" s="1866"/>
      <c r="E26" s="1892" t="s">
        <v>645</v>
      </c>
      <c r="F26" s="1178" t="s">
        <v>646</v>
      </c>
      <c r="G26" s="1871" t="s">
        <v>555</v>
      </c>
      <c r="H26" s="780"/>
      <c r="I26" s="780"/>
      <c r="J26" s="512" t="s">
        <v>647</v>
      </c>
      <c r="K26" s="766"/>
    </row>
    <row customHeight="1" ht="18.75">
      <c r="D27" s="1866"/>
      <c r="E27" s="1903" t="s">
        <v>648</v>
      </c>
      <c r="F27" s="1878" t="s">
        <v>649</v>
      </c>
      <c r="G27" s="1882" t="s">
        <v>555</v>
      </c>
      <c r="H27" s="1904"/>
      <c r="I27" s="1904"/>
      <c r="J27" s="512"/>
      <c r="K27" s="766"/>
    </row>
    <row customHeight="1" ht="18.75">
      <c r="D28" s="1866"/>
      <c r="E28" s="1903" t="s">
        <v>650</v>
      </c>
      <c r="F28" s="1878" t="s">
        <v>651</v>
      </c>
      <c r="G28" s="1882" t="s">
        <v>555</v>
      </c>
      <c r="H28" s="1904"/>
      <c r="I28" s="1904"/>
      <c r="J28" s="512"/>
      <c r="K28" s="766"/>
    </row>
    <row customHeight="1" ht="18.75">
      <c r="D29" s="1866"/>
      <c r="E29" s="1903" t="s">
        <v>652</v>
      </c>
      <c r="F29" s="1178" t="s">
        <v>653</v>
      </c>
      <c r="G29" s="1882" t="s">
        <v>555</v>
      </c>
      <c r="H29" s="1904"/>
      <c r="I29" s="1904"/>
      <c r="J29" s="512"/>
      <c r="K29" s="766"/>
    </row>
    <row customHeight="1" ht="18.75">
      <c r="D30" s="1866"/>
      <c r="E30" s="1903" t="s">
        <v>654</v>
      </c>
      <c r="F30" s="1178" t="s">
        <v>655</v>
      </c>
      <c r="G30" s="1882" t="s">
        <v>555</v>
      </c>
      <c r="H30" s="1904"/>
      <c r="I30" s="1904"/>
      <c r="J30" s="512"/>
      <c r="K30" s="766"/>
    </row>
    <row customHeight="1" ht="18.75">
      <c r="D31" s="1866"/>
      <c r="E31" s="1903" t="s">
        <v>656</v>
      </c>
      <c r="F31" s="1178" t="s">
        <v>657</v>
      </c>
      <c r="G31" s="1882" t="s">
        <v>555</v>
      </c>
      <c r="H31" s="1904"/>
      <c r="I31" s="1904"/>
      <c r="J31" s="512"/>
      <c r="K31" s="766"/>
    </row>
    <row s="13533" customFormat="1" customHeight="1" ht="22.5">
      <c r="A32" s="1211"/>
      <c r="C32" s="1864"/>
      <c r="D32" s="1866"/>
      <c r="E32" s="1903" t="s">
        <v>658</v>
      </c>
      <c r="F32" s="1178" t="s">
        <v>659</v>
      </c>
      <c r="G32" s="1872" t="s">
        <v>555</v>
      </c>
      <c r="H32" s="802">
        <f>SUM(H33:H34)</f>
        <v>0</v>
      </c>
      <c r="I32" s="802">
        <f>SUM(I33:I34)</f>
        <v>0</v>
      </c>
      <c r="J32" s="512" t="s">
        <v>660</v>
      </c>
      <c r="K32" s="766"/>
      <c r="L32" s="1864"/>
      <c r="M32" s="1864"/>
      <c r="R32" s="1864"/>
      <c r="U32" s="767"/>
      <c r="AA32" s="1860"/>
      <c r="AB32" s="1860"/>
      <c r="AC32" s="1860"/>
      <c r="AD32" s="1860"/>
      <c r="AE32" s="1860"/>
    </row>
    <row s="13659" customFormat="1" customHeight="1" ht="0.75">
      <c r="A33" s="1392"/>
      <c r="D33" s="771"/>
      <c r="E33" s="1025" t="str">
        <f>E32&amp;".0"</f>
        <v>2.8.0</v>
      </c>
      <c r="F33" s="1215"/>
      <c r="G33" s="774"/>
      <c r="H33" s="1216"/>
      <c r="I33" s="1216"/>
      <c r="J33" s="1217"/>
    </row>
    <row s="13533" customFormat="1" customHeight="1" ht="18.75">
      <c r="A34" s="1211"/>
      <c r="C34" s="1864"/>
      <c r="D34" s="1861"/>
      <c r="E34" s="793"/>
      <c r="F34" s="1894" t="s">
        <v>580</v>
      </c>
      <c r="G34" s="795"/>
      <c r="H34" s="796"/>
      <c r="I34" s="796"/>
      <c r="J34" s="524" t="s">
        <v>661</v>
      </c>
      <c r="K34" s="766"/>
      <c r="L34" s="1864"/>
      <c r="M34" s="1864"/>
      <c r="R34" s="1864"/>
      <c r="U34" s="767"/>
      <c r="AA34" s="1860"/>
      <c r="AB34" s="1860"/>
      <c r="AC34" s="1860"/>
      <c r="AD34" s="1860"/>
      <c r="AE34" s="1860"/>
    </row>
    <row customHeight="1" ht="56.25">
      <c r="D35" s="1866"/>
      <c r="E35" s="1903" t="s">
        <v>662</v>
      </c>
      <c r="F35" s="1178" t="s">
        <v>663</v>
      </c>
      <c r="G35" s="1882" t="s">
        <v>555</v>
      </c>
      <c r="H35" s="1904"/>
      <c r="I35" s="1904"/>
      <c r="J35" s="512" t="s">
        <v>664</v>
      </c>
      <c r="K35" s="766"/>
    </row>
    <row s="13533" customFormat="1" customHeight="1" ht="22.5">
      <c r="A36" s="1213" t="s">
        <v>581</v>
      </c>
      <c r="C36" s="1864"/>
      <c r="D36" s="1866"/>
      <c r="E36" s="1892" t="s">
        <v>89</v>
      </c>
      <c r="F36" s="930" t="s">
        <v>665</v>
      </c>
      <c r="G36" s="1871" t="s">
        <v>555</v>
      </c>
      <c r="H36" s="780"/>
      <c r="I36" s="780"/>
      <c r="J36" s="512" t="s">
        <v>666</v>
      </c>
      <c r="K36" s="766"/>
      <c r="L36" s="1864"/>
      <c r="M36" s="1864"/>
      <c r="R36" s="1864"/>
      <c r="U36" s="767"/>
      <c r="AA36" s="1860"/>
      <c r="AB36" s="1860"/>
      <c r="AC36" s="1860"/>
      <c r="AD36" s="1860"/>
      <c r="AE36" s="1860"/>
    </row>
    <row s="13533" customFormat="1" customHeight="1" ht="22.5">
      <c r="A37" s="1213"/>
      <c r="C37" s="1864"/>
      <c r="D37" s="1866"/>
      <c r="E37" s="1892" t="s">
        <v>325</v>
      </c>
      <c r="F37" s="1178" t="s">
        <v>667</v>
      </c>
      <c r="G37" s="1882"/>
      <c r="H37" s="780"/>
      <c r="I37" s="780"/>
      <c r="J37" s="512"/>
      <c r="K37" s="766"/>
      <c r="L37" s="1864"/>
      <c r="M37" s="1864"/>
      <c r="R37" s="1864"/>
      <c r="U37" s="767"/>
      <c r="AA37" s="1860"/>
      <c r="AB37" s="1860"/>
      <c r="AC37" s="1860"/>
      <c r="AD37" s="1860"/>
      <c r="AE37" s="1860"/>
    </row>
    <row s="13533" customFormat="1" customHeight="1" ht="18.75">
      <c r="A38" s="1211"/>
      <c r="C38" s="1864"/>
      <c r="D38" s="798"/>
      <c r="E38" s="1892" t="s">
        <v>90</v>
      </c>
      <c r="F38" s="930" t="s">
        <v>668</v>
      </c>
      <c r="G38" s="1871" t="s">
        <v>555</v>
      </c>
      <c r="H38" s="780"/>
      <c r="I38" s="780"/>
      <c r="J38" s="512" t="s">
        <v>669</v>
      </c>
      <c r="K38" s="766"/>
      <c r="L38" s="1864"/>
      <c r="M38" s="1864"/>
      <c r="R38" s="1864"/>
      <c r="U38" s="767"/>
      <c r="AA38" s="1860"/>
      <c r="AB38" s="1860"/>
      <c r="AC38" s="1860"/>
      <c r="AD38" s="1860"/>
      <c r="AE38" s="1860"/>
    </row>
    <row s="13533" customFormat="1" customHeight="1" ht="22.5">
      <c r="A39" s="1211"/>
      <c r="C39" s="1864"/>
      <c r="D39" s="798"/>
      <c r="E39" s="1892" t="s">
        <v>670</v>
      </c>
      <c r="F39" s="1178" t="s">
        <v>671</v>
      </c>
      <c r="G39" s="1882" t="s">
        <v>555</v>
      </c>
      <c r="H39" s="780"/>
      <c r="I39" s="780"/>
      <c r="J39" s="512" t="s">
        <v>672</v>
      </c>
      <c r="K39" s="766"/>
      <c r="L39" s="1864"/>
      <c r="M39" s="1864"/>
      <c r="R39" s="1864"/>
      <c r="U39" s="767"/>
      <c r="AA39" s="1860"/>
      <c r="AB39" s="1860"/>
      <c r="AC39" s="1860"/>
      <c r="AD39" s="1860"/>
      <c r="AE39" s="1860"/>
    </row>
    <row s="13533" customFormat="1" customHeight="1" ht="22.5">
      <c r="A40" s="1211"/>
      <c r="C40" s="1864"/>
      <c r="D40" s="1866"/>
      <c r="E40" s="1892" t="s">
        <v>673</v>
      </c>
      <c r="F40" s="1878" t="s">
        <v>674</v>
      </c>
      <c r="G40" s="1871" t="s">
        <v>555</v>
      </c>
      <c r="H40" s="780"/>
      <c r="I40" s="780"/>
      <c r="J40" s="512" t="s">
        <v>675</v>
      </c>
      <c r="K40" s="766"/>
      <c r="L40" s="1864"/>
      <c r="M40" s="1864"/>
      <c r="R40" s="1864"/>
      <c r="U40" s="767"/>
      <c r="AA40" s="1860"/>
      <c r="AB40" s="1860"/>
      <c r="AC40" s="1860"/>
      <c r="AD40" s="1860"/>
      <c r="AE40" s="1860"/>
    </row>
    <row s="13533" customFormat="1" customHeight="1" ht="22.5">
      <c r="A41" s="1211"/>
      <c r="C41" s="1864"/>
      <c r="D41" s="1866"/>
      <c r="E41" s="1892" t="s">
        <v>676</v>
      </c>
      <c r="F41" s="1878" t="s">
        <v>677</v>
      </c>
      <c r="G41" s="1871" t="s">
        <v>555</v>
      </c>
      <c r="H41" s="780"/>
      <c r="I41" s="780"/>
      <c r="J41" s="512" t="s">
        <v>678</v>
      </c>
      <c r="K41" s="766"/>
      <c r="L41" s="1864"/>
      <c r="M41" s="1864"/>
      <c r="R41" s="1864"/>
      <c r="U41" s="767"/>
      <c r="AA41" s="1860"/>
      <c r="AB41" s="1860"/>
      <c r="AC41" s="1860"/>
      <c r="AD41" s="1860"/>
      <c r="AE41" s="1860"/>
    </row>
    <row s="13533" customFormat="1" customHeight="1" ht="22.5">
      <c r="A42" s="1211"/>
      <c r="C42" s="1864"/>
      <c r="D42" s="1866"/>
      <c r="E42" s="1892" t="s">
        <v>679</v>
      </c>
      <c r="F42" s="1878" t="s">
        <v>680</v>
      </c>
      <c r="G42" s="1871" t="s">
        <v>555</v>
      </c>
      <c r="H42" s="780"/>
      <c r="I42" s="780"/>
      <c r="J42" s="512" t="s">
        <v>681</v>
      </c>
      <c r="K42" s="766"/>
      <c r="L42" s="1864"/>
      <c r="M42" s="1864"/>
      <c r="R42" s="1864"/>
      <c r="U42" s="767"/>
      <c r="AA42" s="1860"/>
      <c r="AB42" s="1860"/>
      <c r="AC42" s="1860"/>
      <c r="AD42" s="1860"/>
      <c r="AE42" s="1860"/>
    </row>
    <row s="13533" customFormat="1" customHeight="1" ht="33.75">
      <c r="A43" s="1211"/>
      <c r="C43" s="1864" t="s">
        <v>591</v>
      </c>
      <c r="D43" s="1866"/>
      <c r="E43" s="1892" t="s">
        <v>110</v>
      </c>
      <c r="F43" s="930" t="s">
        <v>682</v>
      </c>
      <c r="G43" s="1874" t="s">
        <v>683</v>
      </c>
      <c r="H43" s="624"/>
      <c r="I43" s="624"/>
      <c r="J43" s="512" t="s">
        <v>684</v>
      </c>
      <c r="K43" s="766"/>
      <c r="L43" s="1864"/>
      <c r="M43" s="1864"/>
      <c r="R43" s="1864"/>
      <c r="U43" s="767"/>
      <c r="AA43" s="1860"/>
      <c r="AB43" s="1860"/>
      <c r="AC43" s="1860"/>
      <c r="AD43" s="1860"/>
      <c r="AE43" s="1860"/>
    </row>
    <row s="13533" customFormat="1" customHeight="1" ht="22.5">
      <c r="A44" s="1211"/>
      <c r="C44" s="1864"/>
      <c r="D44" s="1866"/>
      <c r="E44" s="1892" t="s">
        <v>91</v>
      </c>
      <c r="F44" s="930" t="s">
        <v>685</v>
      </c>
      <c r="G44" s="1871" t="s">
        <v>686</v>
      </c>
      <c r="H44" s="768"/>
      <c r="I44" s="768"/>
      <c r="J44" s="512" t="s">
        <v>687</v>
      </c>
      <c r="K44" s="766"/>
      <c r="L44" s="1864"/>
      <c r="M44" s="1864"/>
      <c r="R44" s="1864"/>
      <c r="U44" s="767"/>
      <c r="AA44" s="1860"/>
      <c r="AB44" s="1860"/>
      <c r="AC44" s="1860"/>
      <c r="AD44" s="1860"/>
      <c r="AE44" s="1860"/>
    </row>
    <row s="13533" customFormat="1" customHeight="1" ht="22.5">
      <c r="A45" s="1211"/>
      <c r="C45" s="1864"/>
      <c r="D45" s="1866"/>
      <c r="E45" s="1892" t="s">
        <v>92</v>
      </c>
      <c r="F45" s="930" t="s">
        <v>688</v>
      </c>
      <c r="G45" s="1882" t="s">
        <v>689</v>
      </c>
      <c r="H45" s="768"/>
      <c r="I45" s="768"/>
      <c r="J45" s="512" t="s">
        <v>690</v>
      </c>
      <c r="K45" s="766"/>
      <c r="L45" s="1864"/>
      <c r="M45" s="1864"/>
      <c r="R45" s="1864"/>
      <c r="U45" s="767"/>
      <c r="AA45" s="1860"/>
      <c r="AB45" s="1860"/>
      <c r="AC45" s="1860"/>
      <c r="AD45" s="1860"/>
      <c r="AE45" s="1860"/>
    </row>
    <row s="13533" customFormat="1" customHeight="1" ht="18.75">
      <c r="A46" s="1211"/>
      <c r="C46" s="1864"/>
      <c r="D46" s="1866"/>
      <c r="E46" s="1892" t="s">
        <v>111</v>
      </c>
      <c r="F46" s="930" t="s">
        <v>691</v>
      </c>
      <c r="G46" s="1871" t="s">
        <v>593</v>
      </c>
      <c r="H46" s="800"/>
      <c r="I46" s="800"/>
      <c r="J46" s="512"/>
      <c r="K46" s="766"/>
      <c r="L46" s="1864"/>
      <c r="M46" s="1864"/>
      <c r="R46" s="1864"/>
      <c r="U46" s="767"/>
      <c r="AA46" s="1860"/>
      <c r="AB46" s="1860"/>
      <c r="AC46" s="1860"/>
      <c r="AD46" s="1860"/>
      <c r="AE46" s="1860"/>
    </row>
    <row customHeight="1" ht="11.25">
      <c r="D47" s="1866"/>
    </row>
    <row customHeight="1" ht="26.25">
      <c r="D48" s="1866"/>
      <c r="E48" s="1480"/>
      <c r="F48" s="2388"/>
      <c r="G48" s="2388"/>
      <c r="H48" s="2388"/>
      <c r="I48" s="2388"/>
      <c r="J48" s="2388"/>
    </row>
    <row s="13656" customFormat="1" customHeight="1" ht="37.5">
      <c r="A49" s="1211"/>
      <c r="B49" s="1864"/>
      <c r="C49" s="1864"/>
      <c r="D49" s="574"/>
      <c r="F49" s="2388"/>
      <c r="G49" s="2388"/>
      <c r="H49" s="2388"/>
      <c r="I49" s="2388"/>
      <c r="J49" s="2388"/>
      <c r="K49" s="1385"/>
      <c r="L49" s="1864"/>
      <c r="M49" s="1864"/>
      <c r="N49" s="1385"/>
      <c r="O49" s="1385"/>
      <c r="P49" s="1385"/>
      <c r="Q49" s="1385"/>
      <c r="R49" s="1864"/>
      <c r="S49" s="1385"/>
      <c r="T49" s="1385"/>
      <c r="U49" s="767"/>
      <c r="V49" s="1385"/>
      <c r="W49" s="1385"/>
      <c r="X49" s="1385"/>
      <c r="Y49" s="1385"/>
      <c r="Z49" s="1385"/>
      <c r="AA49" s="1860"/>
      <c r="AB49" s="789"/>
      <c r="AC49" s="789"/>
      <c r="AD49" s="789"/>
      <c r="AE49" s="789"/>
    </row>
    <row s="13656" customFormat="1" customHeight="1" ht="11.25">
      <c r="A50" s="1211"/>
      <c r="B50" s="1864"/>
      <c r="C50" s="1864"/>
      <c r="D50" s="574"/>
      <c r="K50" s="1385"/>
      <c r="L50" s="1864"/>
      <c r="M50" s="1864"/>
      <c r="N50" s="1385"/>
      <c r="O50" s="1385"/>
      <c r="P50" s="1385"/>
      <c r="Q50" s="1385"/>
      <c r="R50" s="1864"/>
      <c r="S50" s="1385"/>
      <c r="T50" s="1385"/>
      <c r="U50" s="767"/>
      <c r="V50" s="1385"/>
      <c r="W50" s="1385"/>
      <c r="X50" s="1385"/>
      <c r="Y50" s="1385"/>
      <c r="Z50" s="1385"/>
      <c r="AA50" s="1860"/>
      <c r="AB50" s="789"/>
      <c r="AC50" s="789"/>
      <c r="AD50" s="789"/>
      <c r="AE50" s="789"/>
    </row>
    <row s="13656" customFormat="1" customHeight="1" ht="11.25">
      <c r="A51" s="1211"/>
      <c r="B51" s="1864"/>
      <c r="C51" s="1864"/>
      <c r="D51" s="574"/>
      <c r="K51" s="1385"/>
      <c r="L51" s="1864"/>
      <c r="M51" s="1864"/>
      <c r="N51" s="1385"/>
      <c r="O51" s="1385"/>
      <c r="P51" s="1385"/>
      <c r="Q51" s="1385"/>
      <c r="R51" s="1864"/>
      <c r="S51" s="1385"/>
      <c r="T51" s="1385"/>
      <c r="U51" s="767"/>
      <c r="V51" s="1385"/>
      <c r="W51" s="1385"/>
      <c r="X51" s="1385"/>
      <c r="Y51" s="1385"/>
      <c r="Z51" s="1385"/>
      <c r="AA51" s="1860"/>
      <c r="AB51" s="789"/>
      <c r="AC51" s="789"/>
      <c r="AD51" s="789"/>
      <c r="AE51" s="789"/>
    </row>
    <row s="13656" customFormat="1" customHeight="1" ht="11.25">
      <c r="A52" s="1211"/>
      <c r="B52" s="1864"/>
      <c r="C52" s="1864"/>
      <c r="D52" s="574"/>
      <c r="H52" s="789"/>
      <c r="I52" s="789"/>
      <c r="K52" s="1385"/>
      <c r="L52" s="1864"/>
      <c r="M52" s="1864"/>
      <c r="N52" s="1385"/>
      <c r="O52" s="1385"/>
      <c r="P52" s="1385"/>
      <c r="Q52" s="1385"/>
      <c r="R52" s="1864"/>
      <c r="S52" s="1385"/>
      <c r="T52" s="1385"/>
      <c r="U52" s="767"/>
      <c r="V52" s="1385"/>
      <c r="W52" s="1385"/>
      <c r="X52" s="1385"/>
      <c r="Y52" s="1385"/>
      <c r="Z52" s="1385"/>
      <c r="AA52" s="1860"/>
      <c r="AB52" s="789"/>
      <c r="AC52" s="789"/>
      <c r="AD52" s="789"/>
      <c r="AE52" s="789"/>
    </row>
    <row s="13656" customFormat="1" customHeight="1" ht="11.25">
      <c r="A53" s="1211"/>
      <c r="B53" s="1864"/>
      <c r="C53" s="1864"/>
      <c r="D53" s="574"/>
      <c r="K53" s="1385"/>
      <c r="L53" s="1864"/>
      <c r="M53" s="1864"/>
      <c r="N53" s="1385"/>
      <c r="O53" s="1385"/>
      <c r="P53" s="1385"/>
      <c r="Q53" s="1385"/>
      <c r="R53" s="1864"/>
      <c r="S53" s="1385"/>
      <c r="T53" s="1385"/>
      <c r="U53" s="767"/>
      <c r="V53" s="1385"/>
      <c r="W53" s="1385"/>
      <c r="X53" s="1385"/>
      <c r="Y53" s="1385"/>
      <c r="Z53" s="1385"/>
      <c r="AA53" s="1860"/>
      <c r="AB53" s="789"/>
      <c r="AC53" s="789"/>
      <c r="AD53" s="789"/>
      <c r="AE53" s="789"/>
    </row>
    <row s="13656" customFormat="1" customHeight="1" ht="11.25">
      <c r="A54" s="1211"/>
      <c r="B54" s="1864"/>
      <c r="C54" s="1864"/>
      <c r="D54" s="574"/>
      <c r="K54" s="1385"/>
      <c r="L54" s="1864"/>
      <c r="M54" s="1864"/>
      <c r="N54" s="1385"/>
      <c r="O54" s="1385"/>
      <c r="P54" s="1385"/>
      <c r="Q54" s="1385"/>
      <c r="R54" s="1864"/>
      <c r="S54" s="1385"/>
      <c r="T54" s="1385"/>
      <c r="U54" s="767"/>
      <c r="V54" s="1385"/>
      <c r="W54" s="1385"/>
      <c r="X54" s="1385"/>
      <c r="Y54" s="1385"/>
      <c r="Z54" s="1385"/>
      <c r="AA54" s="1860"/>
      <c r="AB54" s="789"/>
      <c r="AC54" s="789"/>
      <c r="AD54" s="789"/>
      <c r="AE54" s="789"/>
    </row>
    <row s="13656" customFormat="1" customHeight="1" ht="11.25">
      <c r="A55" s="1211"/>
      <c r="B55" s="1864"/>
      <c r="C55" s="1864"/>
      <c r="D55" s="574"/>
      <c r="K55" s="1385"/>
      <c r="L55" s="1864"/>
      <c r="M55" s="1864"/>
      <c r="N55" s="1385"/>
      <c r="O55" s="1385"/>
      <c r="P55" s="1385"/>
      <c r="Q55" s="1385"/>
      <c r="R55" s="1864"/>
      <c r="S55" s="1385"/>
      <c r="T55" s="1385"/>
      <c r="U55" s="767"/>
      <c r="V55" s="1385"/>
      <c r="W55" s="1385"/>
      <c r="X55" s="1385"/>
      <c r="Y55" s="1385"/>
      <c r="Z55" s="1385"/>
      <c r="AA55" s="1860"/>
      <c r="AB55" s="789"/>
      <c r="AC55" s="789"/>
      <c r="AD55" s="789"/>
      <c r="AE55" s="789"/>
    </row>
    <row s="13656" customFormat="1" customHeight="1" ht="11.25">
      <c r="A56" s="1211"/>
      <c r="B56" s="1864"/>
      <c r="C56" s="1864"/>
      <c r="D56" s="574"/>
      <c r="K56" s="1385"/>
      <c r="L56" s="1864"/>
      <c r="M56" s="1864"/>
      <c r="N56" s="1385"/>
      <c r="O56" s="1385"/>
      <c r="P56" s="1385"/>
      <c r="Q56" s="1385"/>
      <c r="R56" s="1864"/>
      <c r="S56" s="1385"/>
      <c r="T56" s="1385"/>
      <c r="U56" s="767"/>
      <c r="V56" s="1385"/>
      <c r="W56" s="1385"/>
      <c r="X56" s="1385"/>
      <c r="Y56" s="1385"/>
      <c r="Z56" s="1385"/>
      <c r="AA56" s="1860"/>
      <c r="AB56" s="789"/>
      <c r="AC56" s="789"/>
      <c r="AD56" s="789"/>
      <c r="AE56" s="789"/>
    </row>
    <row s="13656" customFormat="1" customHeight="1" ht="11.25">
      <c r="A57" s="1211"/>
      <c r="B57" s="1864"/>
      <c r="C57" s="1864"/>
      <c r="D57" s="574"/>
      <c r="K57" s="1385"/>
      <c r="L57" s="1864"/>
      <c r="M57" s="1864"/>
      <c r="N57" s="1385"/>
      <c r="O57" s="1385"/>
      <c r="P57" s="1385"/>
      <c r="Q57" s="1385"/>
      <c r="R57" s="1864"/>
      <c r="S57" s="1385"/>
      <c r="T57" s="1385"/>
      <c r="U57" s="767"/>
      <c r="V57" s="1385"/>
      <c r="W57" s="1385"/>
      <c r="X57" s="1385"/>
      <c r="Y57" s="1385"/>
      <c r="Z57" s="1385"/>
      <c r="AA57" s="1860"/>
      <c r="AB57" s="789"/>
      <c r="AC57" s="789"/>
      <c r="AD57" s="789"/>
      <c r="AE57" s="789"/>
    </row>
    <row s="13656" customFormat="1" customHeight="1" ht="11.25">
      <c r="A58" s="1211"/>
      <c r="B58" s="1864"/>
      <c r="C58" s="1864"/>
      <c r="D58" s="574"/>
      <c r="K58" s="1385"/>
      <c r="L58" s="1864"/>
      <c r="M58" s="1864"/>
      <c r="N58" s="1385"/>
      <c r="O58" s="1385"/>
      <c r="P58" s="1385"/>
      <c r="Q58" s="1385"/>
      <c r="R58" s="1864"/>
      <c r="S58" s="1385"/>
      <c r="T58" s="1385"/>
      <c r="U58" s="767"/>
      <c r="V58" s="1385"/>
      <c r="W58" s="1385"/>
      <c r="X58" s="1385"/>
      <c r="Y58" s="1385"/>
      <c r="Z58" s="1385"/>
      <c r="AA58" s="1860"/>
      <c r="AB58" s="789"/>
      <c r="AC58" s="789"/>
      <c r="AD58" s="789"/>
      <c r="AE58" s="789"/>
    </row>
    <row s="13656" customFormat="1" customHeight="1" ht="11.25">
      <c r="A59" s="1211"/>
      <c r="B59" s="1864"/>
      <c r="C59" s="1864"/>
      <c r="D59" s="574"/>
      <c r="K59" s="1385"/>
      <c r="L59" s="1864"/>
      <c r="M59" s="1864"/>
      <c r="N59" s="1385"/>
      <c r="O59" s="1385"/>
      <c r="P59" s="1385"/>
      <c r="Q59" s="1385"/>
      <c r="R59" s="1864"/>
      <c r="S59" s="1385"/>
      <c r="T59" s="1385"/>
      <c r="U59" s="767"/>
      <c r="V59" s="1385"/>
      <c r="W59" s="1385"/>
      <c r="X59" s="1385"/>
      <c r="Y59" s="1385"/>
      <c r="Z59" s="1385"/>
      <c r="AA59" s="1860"/>
      <c r="AB59" s="789"/>
      <c r="AC59" s="789"/>
      <c r="AD59" s="789"/>
      <c r="AE59" s="789"/>
    </row>
    <row s="13656" customFormat="1" customHeight="1" ht="11.25">
      <c r="A60" s="1211"/>
      <c r="B60" s="1864"/>
      <c r="C60" s="1864"/>
      <c r="D60" s="574"/>
      <c r="K60" s="1385"/>
      <c r="L60" s="1864"/>
      <c r="M60" s="1864"/>
      <c r="N60" s="1385"/>
      <c r="O60" s="1385"/>
      <c r="P60" s="1385"/>
      <c r="Q60" s="1385"/>
      <c r="R60" s="1864"/>
      <c r="S60" s="1385"/>
      <c r="T60" s="1385"/>
      <c r="U60" s="767"/>
      <c r="V60" s="1385"/>
      <c r="W60" s="1385"/>
      <c r="X60" s="1385"/>
      <c r="Y60" s="1385"/>
      <c r="Z60" s="1385"/>
      <c r="AA60" s="1860"/>
      <c r="AB60" s="789"/>
      <c r="AC60" s="789"/>
      <c r="AD60" s="789"/>
      <c r="AE60" s="789"/>
    </row>
    <row s="13656" customFormat="1" customHeight="1" ht="11.25">
      <c r="A61" s="1211"/>
      <c r="B61" s="1864"/>
      <c r="C61" s="1864"/>
      <c r="D61" s="574"/>
      <c r="K61" s="1385"/>
      <c r="L61" s="1864"/>
      <c r="M61" s="1864"/>
      <c r="N61" s="1385"/>
      <c r="O61" s="1385"/>
      <c r="P61" s="1385"/>
      <c r="Q61" s="1385"/>
      <c r="R61" s="1864"/>
      <c r="S61" s="1385"/>
      <c r="T61" s="1385"/>
      <c r="U61" s="767"/>
      <c r="V61" s="1385"/>
      <c r="W61" s="1385"/>
      <c r="X61" s="1385"/>
      <c r="Y61" s="1385"/>
      <c r="Z61" s="1385"/>
      <c r="AA61" s="1860"/>
      <c r="AB61" s="789"/>
      <c r="AC61" s="789"/>
      <c r="AD61" s="789"/>
      <c r="AE61" s="789"/>
    </row>
    <row s="13656" customFormat="1" customHeight="1" ht="11.25">
      <c r="A62" s="1211"/>
      <c r="B62" s="1864"/>
      <c r="C62" s="1864"/>
      <c r="D62" s="574"/>
      <c r="K62" s="1385"/>
      <c r="L62" s="1864"/>
      <c r="M62" s="1864"/>
      <c r="N62" s="1385"/>
      <c r="O62" s="1385"/>
      <c r="P62" s="1385"/>
      <c r="Q62" s="1385"/>
      <c r="R62" s="1864"/>
      <c r="S62" s="1385"/>
      <c r="T62" s="1385"/>
      <c r="U62" s="767"/>
      <c r="V62" s="1385"/>
      <c r="W62" s="1385"/>
      <c r="X62" s="1385"/>
      <c r="Y62" s="1385"/>
      <c r="Z62" s="1385"/>
      <c r="AA62" s="1860"/>
      <c r="AB62" s="789"/>
      <c r="AC62" s="789"/>
      <c r="AD62" s="789"/>
      <c r="AE62" s="789"/>
    </row>
    <row s="13656" customFormat="1" customHeight="1" ht="11.25">
      <c r="A63" s="1211"/>
      <c r="B63" s="1864"/>
      <c r="C63" s="1864"/>
      <c r="D63" s="574"/>
      <c r="K63" s="1385"/>
      <c r="L63" s="1864"/>
      <c r="M63" s="1864"/>
      <c r="N63" s="1385"/>
      <c r="O63" s="1385"/>
      <c r="P63" s="1385"/>
      <c r="Q63" s="1385"/>
      <c r="R63" s="1864"/>
      <c r="S63" s="1385"/>
      <c r="T63" s="1385"/>
      <c r="U63" s="767"/>
      <c r="V63" s="1385"/>
      <c r="W63" s="1385"/>
      <c r="X63" s="1385"/>
      <c r="Y63" s="1385"/>
      <c r="Z63" s="1385"/>
      <c r="AA63" s="1860"/>
      <c r="AB63" s="789"/>
      <c r="AC63" s="789"/>
      <c r="AD63" s="789"/>
      <c r="AE63" s="789"/>
    </row>
    <row s="13656" customFormat="1" customHeight="1" ht="11.25">
      <c r="A64" s="1211"/>
      <c r="B64" s="1864"/>
      <c r="C64" s="1864"/>
      <c r="D64" s="574"/>
      <c r="K64" s="1385"/>
      <c r="L64" s="1864"/>
      <c r="M64" s="1864"/>
      <c r="N64" s="1385"/>
      <c r="O64" s="1385"/>
      <c r="P64" s="1385"/>
      <c r="Q64" s="1385"/>
      <c r="R64" s="1864"/>
      <c r="S64" s="1385"/>
      <c r="T64" s="1385"/>
      <c r="U64" s="767"/>
      <c r="V64" s="1385"/>
      <c r="W64" s="1385"/>
      <c r="X64" s="1385"/>
      <c r="Y64" s="1385"/>
      <c r="Z64" s="1385"/>
      <c r="AA64" s="1860"/>
      <c r="AB64" s="789"/>
      <c r="AC64" s="789"/>
      <c r="AD64" s="789"/>
      <c r="AE64" s="789"/>
    </row>
    <row s="13656" customFormat="1" customHeight="1" ht="11.25">
      <c r="A65" s="1211"/>
      <c r="B65" s="1864"/>
      <c r="C65" s="1864"/>
      <c r="D65" s="574"/>
      <c r="K65" s="1385"/>
      <c r="L65" s="1864"/>
      <c r="M65" s="1864"/>
      <c r="N65" s="1385"/>
      <c r="O65" s="1385"/>
      <c r="P65" s="1385"/>
      <c r="Q65" s="1385"/>
      <c r="R65" s="1864"/>
      <c r="S65" s="1385"/>
      <c r="T65" s="1385"/>
      <c r="U65" s="767"/>
      <c r="V65" s="1385"/>
      <c r="W65" s="1385"/>
      <c r="X65" s="1385"/>
      <c r="Y65" s="1385"/>
      <c r="Z65" s="1385"/>
      <c r="AA65" s="1860"/>
      <c r="AB65" s="789"/>
      <c r="AC65" s="789"/>
      <c r="AD65" s="789"/>
      <c r="AE65" s="789"/>
    </row>
    <row s="13656" customFormat="1" customHeight="1" ht="11.25">
      <c r="A66" s="1211"/>
      <c r="B66" s="1864"/>
      <c r="C66" s="1864"/>
      <c r="D66" s="574"/>
      <c r="K66" s="1385"/>
      <c r="L66" s="1864"/>
      <c r="M66" s="1864"/>
      <c r="N66" s="1385"/>
      <c r="O66" s="1385"/>
      <c r="P66" s="1385"/>
      <c r="Q66" s="1385"/>
      <c r="R66" s="1864"/>
      <c r="S66" s="1385"/>
      <c r="T66" s="1385"/>
      <c r="U66" s="767"/>
      <c r="V66" s="1385"/>
      <c r="W66" s="1385"/>
      <c r="X66" s="1385"/>
      <c r="Y66" s="1385"/>
      <c r="Z66" s="1385"/>
      <c r="AA66" s="1860"/>
      <c r="AB66" s="789"/>
      <c r="AC66" s="789"/>
      <c r="AD66" s="789"/>
      <c r="AE66" s="789"/>
    </row>
    <row s="13656" customFormat="1" customHeight="1" ht="11.25">
      <c r="A67" s="1211"/>
      <c r="B67" s="1864"/>
      <c r="C67" s="1864"/>
      <c r="D67" s="574"/>
      <c r="K67" s="1385"/>
      <c r="L67" s="1864"/>
      <c r="M67" s="1864"/>
      <c r="N67" s="1385"/>
      <c r="O67" s="1385"/>
      <c r="P67" s="1385"/>
      <c r="Q67" s="1385"/>
      <c r="R67" s="1864"/>
      <c r="S67" s="1385"/>
      <c r="T67" s="1385"/>
      <c r="U67" s="767"/>
      <c r="V67" s="1385"/>
      <c r="W67" s="1385"/>
      <c r="X67" s="1385"/>
      <c r="Y67" s="1385"/>
      <c r="Z67" s="1385"/>
      <c r="AA67" s="1860"/>
      <c r="AB67" s="789"/>
      <c r="AC67" s="789"/>
      <c r="AD67" s="789"/>
      <c r="AE67" s="789"/>
    </row>
    <row s="13656" customFormat="1" customHeight="1" ht="11.25">
      <c r="A68" s="1211"/>
      <c r="B68" s="1864"/>
      <c r="C68" s="1864"/>
      <c r="D68" s="574"/>
      <c r="K68" s="1385"/>
      <c r="L68" s="1864"/>
      <c r="M68" s="1864"/>
      <c r="N68" s="1385"/>
      <c r="O68" s="1385"/>
      <c r="P68" s="1385"/>
      <c r="Q68" s="1385"/>
      <c r="R68" s="1864"/>
      <c r="S68" s="1385"/>
      <c r="T68" s="1385"/>
      <c r="U68" s="767"/>
      <c r="V68" s="1385"/>
      <c r="W68" s="1385"/>
      <c r="X68" s="1385"/>
      <c r="Y68" s="1385"/>
      <c r="Z68" s="1385"/>
      <c r="AA68" s="1860"/>
      <c r="AB68" s="789"/>
      <c r="AC68" s="789"/>
      <c r="AD68" s="789"/>
      <c r="AE68" s="789"/>
    </row>
    <row s="13656" customFormat="1" customHeight="1" ht="11.25">
      <c r="A69" s="1211"/>
      <c r="B69" s="1864"/>
      <c r="C69" s="1864"/>
      <c r="D69" s="574"/>
      <c r="K69" s="1385"/>
      <c r="L69" s="1864"/>
      <c r="M69" s="1864"/>
      <c r="N69" s="1385"/>
      <c r="O69" s="1385"/>
      <c r="P69" s="1385"/>
      <c r="Q69" s="1385"/>
      <c r="R69" s="1864"/>
      <c r="S69" s="1385"/>
      <c r="T69" s="1385"/>
      <c r="U69" s="767"/>
      <c r="V69" s="1385"/>
      <c r="W69" s="1385"/>
      <c r="X69" s="1385"/>
      <c r="Y69" s="1385"/>
      <c r="Z69" s="1385"/>
      <c r="AA69" s="1860"/>
      <c r="AB69" s="789"/>
      <c r="AC69" s="789"/>
      <c r="AD69" s="789"/>
      <c r="AE69" s="789"/>
    </row>
    <row s="13656" customFormat="1" customHeight="1" ht="11.25">
      <c r="A70" s="1211"/>
      <c r="B70" s="1864"/>
      <c r="C70" s="1864"/>
      <c r="D70" s="574"/>
      <c r="K70" s="1385"/>
      <c r="L70" s="1864"/>
      <c r="M70" s="1864"/>
      <c r="N70" s="1385"/>
      <c r="O70" s="1385"/>
      <c r="P70" s="1385"/>
      <c r="Q70" s="1385"/>
      <c r="R70" s="1864"/>
      <c r="S70" s="1385"/>
      <c r="T70" s="1385"/>
      <c r="U70" s="767"/>
      <c r="V70" s="1385"/>
      <c r="W70" s="1385"/>
      <c r="X70" s="1385"/>
      <c r="Y70" s="1385"/>
      <c r="Z70" s="1385"/>
      <c r="AA70" s="1860"/>
      <c r="AB70" s="789"/>
      <c r="AC70" s="789"/>
      <c r="AD70" s="789"/>
      <c r="AE70" s="789"/>
    </row>
    <row s="13656" customFormat="1" customHeight="1" ht="11.25">
      <c r="A71" s="1211"/>
      <c r="B71" s="1864"/>
      <c r="C71" s="1864"/>
      <c r="D71" s="574"/>
      <c r="K71" s="1385"/>
      <c r="L71" s="1864"/>
      <c r="M71" s="1864"/>
      <c r="N71" s="1385"/>
      <c r="O71" s="1385"/>
      <c r="P71" s="1385"/>
      <c r="Q71" s="1385"/>
      <c r="R71" s="1864"/>
      <c r="S71" s="1385"/>
      <c r="T71" s="1385"/>
      <c r="U71" s="767"/>
      <c r="V71" s="1385"/>
      <c r="W71" s="1385"/>
      <c r="X71" s="1385"/>
      <c r="Y71" s="1385"/>
      <c r="Z71" s="1385"/>
      <c r="AA71" s="1860"/>
      <c r="AB71" s="789"/>
      <c r="AC71" s="789"/>
      <c r="AD71" s="789"/>
      <c r="AE71" s="789"/>
    </row>
    <row s="13656" customFormat="1" customHeight="1" ht="11.25">
      <c r="A72" s="1211"/>
      <c r="B72" s="1864"/>
      <c r="C72" s="1864"/>
      <c r="D72" s="574"/>
      <c r="K72" s="1385"/>
      <c r="L72" s="1864"/>
      <c r="M72" s="1864"/>
      <c r="N72" s="1385"/>
      <c r="O72" s="1385"/>
      <c r="P72" s="1385"/>
      <c r="Q72" s="1385"/>
      <c r="R72" s="1864"/>
      <c r="S72" s="1385"/>
      <c r="T72" s="1385"/>
      <c r="U72" s="767"/>
      <c r="V72" s="1385"/>
      <c r="W72" s="1385"/>
      <c r="X72" s="1385"/>
      <c r="Y72" s="1385"/>
      <c r="Z72" s="1385"/>
      <c r="AA72" s="1860"/>
      <c r="AB72" s="789"/>
      <c r="AC72" s="789"/>
      <c r="AD72" s="789"/>
      <c r="AE72" s="789"/>
    </row>
    <row s="13656" customFormat="1" customHeight="1" ht="11.25">
      <c r="A73" s="1211"/>
      <c r="B73" s="1864"/>
      <c r="C73" s="1864"/>
      <c r="D73" s="574"/>
      <c r="K73" s="1385"/>
      <c r="L73" s="1864"/>
      <c r="M73" s="1864"/>
      <c r="N73" s="1385"/>
      <c r="O73" s="1385"/>
      <c r="P73" s="1385"/>
      <c r="Q73" s="1385"/>
      <c r="R73" s="1864"/>
      <c r="S73" s="1385"/>
      <c r="T73" s="1385"/>
      <c r="U73" s="767"/>
      <c r="V73" s="1385"/>
      <c r="W73" s="1385"/>
      <c r="X73" s="1385"/>
      <c r="Y73" s="1385"/>
      <c r="Z73" s="1385"/>
      <c r="AA73" s="1860"/>
      <c r="AB73" s="789"/>
      <c r="AC73" s="789"/>
      <c r="AD73" s="789"/>
      <c r="AE73" s="789"/>
    </row>
    <row s="13656" customFormat="1" customHeight="1" ht="11.25">
      <c r="A74" s="1211"/>
      <c r="B74" s="1864"/>
      <c r="C74" s="1864"/>
      <c r="D74" s="574"/>
      <c r="K74" s="1385"/>
      <c r="L74" s="1864"/>
      <c r="M74" s="1864"/>
      <c r="N74" s="1385"/>
      <c r="O74" s="1385"/>
      <c r="P74" s="1385"/>
      <c r="Q74" s="1385"/>
      <c r="R74" s="1864"/>
      <c r="S74" s="1385"/>
      <c r="T74" s="1385"/>
      <c r="U74" s="767"/>
      <c r="V74" s="1385"/>
      <c r="W74" s="1385"/>
      <c r="X74" s="1385"/>
      <c r="Y74" s="1385"/>
      <c r="Z74" s="1385"/>
      <c r="AA74" s="1860"/>
      <c r="AB74" s="789"/>
      <c r="AC74" s="789"/>
      <c r="AD74" s="789"/>
      <c r="AE74" s="789"/>
    </row>
    <row s="13656" customFormat="1" customHeight="1" ht="11.25">
      <c r="A75" s="1211"/>
      <c r="B75" s="1864"/>
      <c r="C75" s="1864"/>
      <c r="D75" s="574"/>
      <c r="K75" s="1385"/>
      <c r="L75" s="1864"/>
      <c r="M75" s="1864"/>
      <c r="N75" s="1385"/>
      <c r="O75" s="1385"/>
      <c r="P75" s="1385"/>
      <c r="Q75" s="1385"/>
      <c r="R75" s="1864"/>
      <c r="S75" s="1385"/>
      <c r="T75" s="1385"/>
      <c r="U75" s="767"/>
      <c r="V75" s="1385"/>
      <c r="W75" s="1385"/>
      <c r="X75" s="1385"/>
      <c r="Y75" s="1385"/>
      <c r="Z75" s="1385"/>
      <c r="AA75" s="1860"/>
      <c r="AB75" s="789"/>
      <c r="AC75" s="789"/>
      <c r="AD75" s="789"/>
      <c r="AE75" s="789"/>
    </row>
    <row s="13656" customFormat="1" customHeight="1" ht="11.25">
      <c r="A76" s="1211"/>
      <c r="B76" s="1864"/>
      <c r="C76" s="1864"/>
      <c r="D76" s="574"/>
      <c r="K76" s="1385"/>
      <c r="L76" s="1864"/>
      <c r="M76" s="1864"/>
      <c r="N76" s="1385"/>
      <c r="O76" s="1385"/>
      <c r="P76" s="1385"/>
      <c r="Q76" s="1385"/>
      <c r="R76" s="1864"/>
      <c r="S76" s="1385"/>
      <c r="T76" s="1385"/>
      <c r="U76" s="767"/>
      <c r="V76" s="1385"/>
      <c r="W76" s="1385"/>
      <c r="X76" s="1385"/>
      <c r="Y76" s="1385"/>
      <c r="Z76" s="1385"/>
      <c r="AA76" s="1860"/>
      <c r="AB76" s="789"/>
      <c r="AC76" s="789"/>
      <c r="AD76" s="789"/>
      <c r="AE76" s="789"/>
    </row>
    <row s="13656" customFormat="1" customHeight="1" ht="11.25">
      <c r="A77" s="1211"/>
      <c r="B77" s="1864"/>
      <c r="C77" s="1864"/>
      <c r="D77" s="574"/>
      <c r="K77" s="1385"/>
      <c r="L77" s="1864"/>
      <c r="M77" s="1864"/>
      <c r="N77" s="1385"/>
      <c r="O77" s="1385"/>
      <c r="P77" s="1385"/>
      <c r="Q77" s="1385"/>
      <c r="R77" s="1864"/>
      <c r="S77" s="1385"/>
      <c r="T77" s="1385"/>
      <c r="U77" s="767"/>
      <c r="V77" s="1385"/>
      <c r="W77" s="1385"/>
      <c r="X77" s="1385"/>
      <c r="Y77" s="1385"/>
      <c r="Z77" s="1385"/>
      <c r="AA77" s="1860"/>
      <c r="AB77" s="789"/>
      <c r="AC77" s="789"/>
      <c r="AD77" s="789"/>
      <c r="AE77" s="789"/>
    </row>
    <row s="13656" customFormat="1" customHeight="1" ht="11.25">
      <c r="A78" s="1211"/>
      <c r="B78" s="1864"/>
      <c r="C78" s="1864"/>
      <c r="D78" s="574"/>
      <c r="K78" s="1385"/>
      <c r="L78" s="1864"/>
      <c r="M78" s="1864"/>
      <c r="N78" s="1385"/>
      <c r="O78" s="1385"/>
      <c r="P78" s="1385"/>
      <c r="Q78" s="1385"/>
      <c r="R78" s="1864"/>
      <c r="S78" s="1385"/>
      <c r="T78" s="1385"/>
      <c r="U78" s="767"/>
      <c r="V78" s="1385"/>
      <c r="W78" s="1385"/>
      <c r="X78" s="1385"/>
      <c r="Y78" s="1385"/>
      <c r="Z78" s="1385"/>
      <c r="AA78" s="1860"/>
      <c r="AB78" s="789"/>
      <c r="AC78" s="789"/>
      <c r="AD78" s="789"/>
      <c r="AE78" s="789"/>
    </row>
    <row s="13656" customFormat="1" customHeight="1" ht="11.25">
      <c r="A79" s="1211"/>
      <c r="B79" s="1864"/>
      <c r="C79" s="1864"/>
      <c r="D79" s="574"/>
      <c r="K79" s="1385"/>
      <c r="L79" s="1864"/>
      <c r="M79" s="1864"/>
      <c r="N79" s="1385"/>
      <c r="O79" s="1385"/>
      <c r="P79" s="1385"/>
      <c r="Q79" s="1385"/>
      <c r="R79" s="1864"/>
      <c r="S79" s="1385"/>
      <c r="T79" s="1385"/>
      <c r="U79" s="767"/>
      <c r="V79" s="1385"/>
      <c r="W79" s="1385"/>
      <c r="X79" s="1385"/>
      <c r="Y79" s="1385"/>
      <c r="Z79" s="1385"/>
      <c r="AA79" s="1860"/>
      <c r="AB79" s="789"/>
      <c r="AC79" s="789"/>
      <c r="AD79" s="789"/>
      <c r="AE79" s="789"/>
    </row>
    <row s="13656" customFormat="1" customHeight="1" ht="11.25">
      <c r="A80" s="1211"/>
      <c r="B80" s="1864"/>
      <c r="C80" s="1864"/>
      <c r="D80" s="574"/>
      <c r="K80" s="1385"/>
      <c r="L80" s="1864"/>
      <c r="M80" s="1864"/>
      <c r="N80" s="1385"/>
      <c r="O80" s="1385"/>
      <c r="P80" s="1385"/>
      <c r="Q80" s="1385"/>
      <c r="R80" s="1864"/>
      <c r="S80" s="1385"/>
      <c r="T80" s="1385"/>
      <c r="U80" s="767"/>
      <c r="V80" s="1385"/>
      <c r="W80" s="1385"/>
      <c r="X80" s="1385"/>
      <c r="Y80" s="1385"/>
      <c r="Z80" s="1385"/>
      <c r="AA80" s="1860"/>
      <c r="AB80" s="789"/>
      <c r="AC80" s="789"/>
      <c r="AD80" s="789"/>
      <c r="AE80" s="789"/>
    </row>
    <row s="13656" customFormat="1" customHeight="1" ht="11.25">
      <c r="A81" s="1211"/>
      <c r="B81" s="1864"/>
      <c r="C81" s="1864"/>
      <c r="D81" s="574"/>
      <c r="K81" s="1385"/>
      <c r="L81" s="1864"/>
      <c r="M81" s="1864"/>
      <c r="N81" s="1385"/>
      <c r="O81" s="1385"/>
      <c r="P81" s="1385"/>
      <c r="Q81" s="1385"/>
      <c r="R81" s="1864"/>
      <c r="S81" s="1385"/>
      <c r="T81" s="1385"/>
      <c r="U81" s="767"/>
      <c r="V81" s="1385"/>
      <c r="W81" s="1385"/>
      <c r="X81" s="1385"/>
      <c r="Y81" s="1385"/>
      <c r="Z81" s="1385"/>
      <c r="AA81" s="1860"/>
      <c r="AB81" s="789"/>
      <c r="AC81" s="789"/>
      <c r="AD81" s="789"/>
      <c r="AE81" s="789"/>
    </row>
    <row s="13656" customFormat="1" customHeight="1" ht="11.25">
      <c r="A82" s="1211"/>
      <c r="B82" s="1864"/>
      <c r="C82" s="1864"/>
      <c r="D82" s="574"/>
      <c r="K82" s="1385"/>
      <c r="L82" s="1864"/>
      <c r="M82" s="1864"/>
      <c r="N82" s="1385"/>
      <c r="O82" s="1385"/>
      <c r="P82" s="1385"/>
      <c r="Q82" s="1385"/>
      <c r="R82" s="1864"/>
      <c r="S82" s="1385"/>
      <c r="T82" s="1385"/>
      <c r="U82" s="767"/>
      <c r="V82" s="1385"/>
      <c r="W82" s="1385"/>
      <c r="X82" s="1385"/>
      <c r="Y82" s="1385"/>
      <c r="Z82" s="1385"/>
      <c r="AA82" s="1860"/>
      <c r="AB82" s="789"/>
      <c r="AC82" s="789"/>
      <c r="AD82" s="789"/>
      <c r="AE82" s="789"/>
    </row>
    <row s="13656" customFormat="1" customHeight="1" ht="11.25">
      <c r="A83" s="1211"/>
      <c r="B83" s="1864"/>
      <c r="C83" s="1864"/>
      <c r="D83" s="574"/>
      <c r="K83" s="1385"/>
      <c r="L83" s="1864"/>
      <c r="M83" s="1864"/>
      <c r="N83" s="1385"/>
      <c r="O83" s="1385"/>
      <c r="P83" s="1385"/>
      <c r="Q83" s="1385"/>
      <c r="R83" s="1864"/>
      <c r="S83" s="1385"/>
      <c r="T83" s="1385"/>
      <c r="U83" s="767"/>
      <c r="V83" s="1385"/>
      <c r="W83" s="1385"/>
      <c r="X83" s="1385"/>
      <c r="Y83" s="1385"/>
      <c r="Z83" s="1385"/>
      <c r="AA83" s="1860"/>
      <c r="AB83" s="789"/>
      <c r="AC83" s="789"/>
      <c r="AD83" s="789"/>
      <c r="AE83" s="789"/>
    </row>
    <row s="13656" customFormat="1" customHeight="1" ht="11.25">
      <c r="A84" s="1211"/>
      <c r="B84" s="1864"/>
      <c r="C84" s="1864"/>
      <c r="D84" s="574"/>
      <c r="K84" s="1385"/>
      <c r="L84" s="1864"/>
      <c r="M84" s="1864"/>
      <c r="N84" s="1385"/>
      <c r="O84" s="1385"/>
      <c r="P84" s="1385"/>
      <c r="Q84" s="1385"/>
      <c r="R84" s="1864"/>
      <c r="S84" s="1385"/>
      <c r="T84" s="1385"/>
      <c r="U84" s="767"/>
      <c r="V84" s="1385"/>
      <c r="W84" s="1385"/>
      <c r="X84" s="1385"/>
      <c r="Y84" s="1385"/>
      <c r="Z84" s="1385"/>
      <c r="AA84" s="1860"/>
      <c r="AB84" s="789"/>
      <c r="AC84" s="789"/>
      <c r="AD84" s="789"/>
      <c r="AE84" s="789"/>
    </row>
    <row s="13656" customFormat="1" customHeight="1" ht="11.25">
      <c r="A85" s="1211"/>
      <c r="B85" s="1864"/>
      <c r="C85" s="1864"/>
      <c r="D85" s="574"/>
      <c r="K85" s="1385"/>
      <c r="L85" s="1864"/>
      <c r="M85" s="1864"/>
      <c r="N85" s="1385"/>
      <c r="O85" s="1385"/>
      <c r="P85" s="1385"/>
      <c r="Q85" s="1385"/>
      <c r="R85" s="1864"/>
      <c r="S85" s="1385"/>
      <c r="T85" s="1385"/>
      <c r="U85" s="767"/>
      <c r="V85" s="1385"/>
      <c r="W85" s="1385"/>
      <c r="X85" s="1385"/>
      <c r="Y85" s="1385"/>
      <c r="Z85" s="1385"/>
      <c r="AA85" s="1860"/>
      <c r="AB85" s="789"/>
      <c r="AC85" s="789"/>
      <c r="AD85" s="789"/>
      <c r="AE85" s="789"/>
    </row>
    <row s="13656" customFormat="1" customHeight="1" ht="11.25">
      <c r="A86" s="1211"/>
      <c r="B86" s="1864"/>
      <c r="C86" s="1864"/>
      <c r="D86" s="574"/>
      <c r="K86" s="1385"/>
      <c r="L86" s="1864"/>
      <c r="M86" s="1864"/>
      <c r="N86" s="1385"/>
      <c r="O86" s="1385"/>
      <c r="P86" s="1385"/>
      <c r="Q86" s="1385"/>
      <c r="R86" s="1864"/>
      <c r="S86" s="1385"/>
      <c r="T86" s="1385"/>
      <c r="U86" s="767"/>
      <c r="V86" s="1385"/>
      <c r="W86" s="1385"/>
      <c r="X86" s="1385"/>
      <c r="Y86" s="1385"/>
      <c r="Z86" s="1385"/>
      <c r="AA86" s="1860"/>
      <c r="AB86" s="789"/>
      <c r="AC86" s="789"/>
      <c r="AD86" s="789"/>
      <c r="AE86" s="789"/>
    </row>
    <row s="13656" customFormat="1" customHeight="1" ht="11.25">
      <c r="A87" s="1211"/>
      <c r="B87" s="1864"/>
      <c r="C87" s="1864"/>
      <c r="D87" s="574"/>
      <c r="K87" s="1385"/>
      <c r="L87" s="1864"/>
      <c r="M87" s="1864"/>
      <c r="N87" s="1385"/>
      <c r="O87" s="1385"/>
      <c r="P87" s="1385"/>
      <c r="Q87" s="1385"/>
      <c r="R87" s="1864"/>
      <c r="S87" s="1385"/>
      <c r="T87" s="1385"/>
      <c r="U87" s="767"/>
      <c r="V87" s="1385"/>
      <c r="W87" s="1385"/>
      <c r="X87" s="1385"/>
      <c r="Y87" s="1385"/>
      <c r="Z87" s="1385"/>
      <c r="AA87" s="1860"/>
      <c r="AB87" s="789"/>
      <c r="AC87" s="789"/>
      <c r="AD87" s="789"/>
      <c r="AE87" s="789"/>
    </row>
    <row s="13656" customFormat="1" customHeight="1" ht="11.25">
      <c r="A88" s="1211"/>
      <c r="B88" s="1864"/>
      <c r="C88" s="1864"/>
      <c r="D88" s="574"/>
      <c r="K88" s="1385"/>
      <c r="L88" s="1864"/>
      <c r="M88" s="1864"/>
      <c r="N88" s="1385"/>
      <c r="O88" s="1385"/>
      <c r="P88" s="1385"/>
      <c r="Q88" s="1385"/>
      <c r="R88" s="1864"/>
      <c r="S88" s="1385"/>
      <c r="T88" s="1385"/>
      <c r="U88" s="767"/>
      <c r="V88" s="1385"/>
      <c r="W88" s="1385"/>
      <c r="X88" s="1385"/>
      <c r="Y88" s="1385"/>
      <c r="Z88" s="1385"/>
      <c r="AA88" s="1860"/>
      <c r="AB88" s="789"/>
      <c r="AC88" s="789"/>
      <c r="AD88" s="789"/>
      <c r="AE88" s="789"/>
    </row>
    <row s="13656" customFormat="1" customHeight="1" ht="11.25">
      <c r="A89" s="1211"/>
      <c r="B89" s="1864"/>
      <c r="C89" s="1864"/>
      <c r="D89" s="574"/>
      <c r="K89" s="1385"/>
      <c r="L89" s="1864"/>
      <c r="M89" s="1864"/>
      <c r="N89" s="1385"/>
      <c r="O89" s="1385"/>
      <c r="P89" s="1385"/>
      <c r="Q89" s="1385"/>
      <c r="R89" s="1864"/>
      <c r="S89" s="1385"/>
      <c r="T89" s="1385"/>
      <c r="U89" s="767"/>
      <c r="V89" s="1385"/>
      <c r="W89" s="1385"/>
      <c r="X89" s="1385"/>
      <c r="Y89" s="1385"/>
      <c r="Z89" s="1385"/>
      <c r="AA89" s="1860"/>
      <c r="AB89" s="789"/>
      <c r="AC89" s="789"/>
      <c r="AD89" s="789"/>
      <c r="AE89" s="789"/>
    </row>
    <row s="13656" customFormat="1" customHeight="1" ht="11.25">
      <c r="A90" s="1211"/>
      <c r="B90" s="1864"/>
      <c r="C90" s="1864"/>
      <c r="D90" s="574"/>
      <c r="K90" s="1385"/>
      <c r="L90" s="1864"/>
      <c r="M90" s="1864"/>
      <c r="N90" s="1385"/>
      <c r="O90" s="1385"/>
      <c r="P90" s="1385"/>
      <c r="Q90" s="1385"/>
      <c r="R90" s="1864"/>
      <c r="S90" s="1385"/>
      <c r="T90" s="1385"/>
      <c r="U90" s="767"/>
      <c r="V90" s="1385"/>
      <c r="W90" s="1385"/>
      <c r="X90" s="1385"/>
      <c r="Y90" s="1385"/>
      <c r="Z90" s="1385"/>
      <c r="AA90" s="1860"/>
      <c r="AB90" s="789"/>
      <c r="AC90" s="789"/>
      <c r="AD90" s="789"/>
      <c r="AE90" s="789"/>
    </row>
    <row s="13656" customFormat="1" customHeight="1" ht="11.25">
      <c r="A91" s="1211"/>
      <c r="B91" s="1864"/>
      <c r="C91" s="1864"/>
      <c r="D91" s="574"/>
      <c r="K91" s="1385"/>
      <c r="L91" s="1864"/>
      <c r="M91" s="1864"/>
      <c r="N91" s="1385"/>
      <c r="O91" s="1385"/>
      <c r="P91" s="1385"/>
      <c r="Q91" s="1385"/>
      <c r="R91" s="1864"/>
      <c r="S91" s="1385"/>
      <c r="T91" s="1385"/>
      <c r="U91" s="767"/>
      <c r="V91" s="1385"/>
      <c r="W91" s="1385"/>
      <c r="X91" s="1385"/>
      <c r="Y91" s="1385"/>
      <c r="Z91" s="1385"/>
      <c r="AA91" s="1860"/>
      <c r="AB91" s="789"/>
      <c r="AC91" s="789"/>
      <c r="AD91" s="789"/>
      <c r="AE91" s="789"/>
    </row>
    <row s="13656" customFormat="1" customHeight="1" ht="11.25">
      <c r="A92" s="1211"/>
      <c r="B92" s="1864"/>
      <c r="C92" s="1864"/>
      <c r="D92" s="574"/>
      <c r="K92" s="1385"/>
      <c r="L92" s="1864"/>
      <c r="M92" s="1864"/>
      <c r="N92" s="1385"/>
      <c r="O92" s="1385"/>
      <c r="P92" s="1385"/>
      <c r="Q92" s="1385"/>
      <c r="R92" s="1864"/>
      <c r="S92" s="1385"/>
      <c r="T92" s="1385"/>
      <c r="U92" s="767"/>
      <c r="V92" s="1385"/>
      <c r="W92" s="1385"/>
      <c r="X92" s="1385"/>
      <c r="Y92" s="1385"/>
      <c r="Z92" s="1385"/>
      <c r="AA92" s="1860"/>
      <c r="AB92" s="789"/>
      <c r="AC92" s="789"/>
      <c r="AD92" s="789"/>
      <c r="AE92" s="789"/>
    </row>
    <row s="13656" customFormat="1" customHeight="1" ht="11.25">
      <c r="A93" s="1211"/>
      <c r="B93" s="1864"/>
      <c r="C93" s="1864"/>
      <c r="D93" s="574"/>
      <c r="K93" s="1385"/>
      <c r="L93" s="1864"/>
      <c r="M93" s="1864"/>
      <c r="N93" s="1385"/>
      <c r="O93" s="1385"/>
      <c r="P93" s="1385"/>
      <c r="Q93" s="1385"/>
      <c r="R93" s="1864"/>
      <c r="S93" s="1385"/>
      <c r="T93" s="1385"/>
      <c r="U93" s="767"/>
      <c r="V93" s="1385"/>
      <c r="W93" s="1385"/>
      <c r="X93" s="1385"/>
      <c r="Y93" s="1385"/>
      <c r="Z93" s="1385"/>
      <c r="AA93" s="1860"/>
      <c r="AB93" s="789"/>
      <c r="AC93" s="789"/>
      <c r="AD93" s="789"/>
      <c r="AE93" s="789"/>
    </row>
    <row s="13656" customFormat="1" customHeight="1" ht="11.25">
      <c r="A94" s="1211"/>
      <c r="B94" s="1864"/>
      <c r="C94" s="1864"/>
      <c r="D94" s="574"/>
      <c r="K94" s="1385"/>
      <c r="L94" s="1864"/>
      <c r="M94" s="1864"/>
      <c r="N94" s="1385"/>
      <c r="O94" s="1385"/>
      <c r="P94" s="1385"/>
      <c r="Q94" s="1385"/>
      <c r="R94" s="1864"/>
      <c r="S94" s="1385"/>
      <c r="T94" s="1385"/>
      <c r="U94" s="767"/>
      <c r="V94" s="1385"/>
      <c r="W94" s="1385"/>
      <c r="X94" s="1385"/>
      <c r="Y94" s="1385"/>
      <c r="Z94" s="1385"/>
      <c r="AA94" s="1860"/>
      <c r="AB94" s="789"/>
      <c r="AC94" s="789"/>
      <c r="AD94" s="789"/>
      <c r="AE94" s="789"/>
    </row>
    <row s="13656" customFormat="1" customHeight="1" ht="11.25">
      <c r="A95" s="1211"/>
      <c r="B95" s="1864"/>
      <c r="C95" s="1864"/>
      <c r="D95" s="574"/>
      <c r="K95" s="1385"/>
      <c r="L95" s="1864"/>
      <c r="M95" s="1864"/>
      <c r="N95" s="1385"/>
      <c r="O95" s="1385"/>
      <c r="P95" s="1385"/>
      <c r="Q95" s="1385"/>
      <c r="R95" s="1864"/>
      <c r="S95" s="1385"/>
      <c r="T95" s="1385"/>
      <c r="U95" s="767"/>
      <c r="V95" s="1385"/>
      <c r="W95" s="1385"/>
      <c r="X95" s="1385"/>
      <c r="Y95" s="1385"/>
      <c r="Z95" s="1385"/>
      <c r="AA95" s="1860"/>
      <c r="AB95" s="789"/>
      <c r="AC95" s="789"/>
      <c r="AD95" s="789"/>
      <c r="AE95" s="789"/>
    </row>
    <row s="13656" customFormat="1" customHeight="1" ht="11.25">
      <c r="A96" s="1211"/>
      <c r="B96" s="1864"/>
      <c r="C96" s="1864"/>
      <c r="D96" s="574"/>
      <c r="K96" s="1385"/>
      <c r="L96" s="1864"/>
      <c r="M96" s="1864"/>
      <c r="N96" s="1385"/>
      <c r="O96" s="1385"/>
      <c r="P96" s="1385"/>
      <c r="Q96" s="1385"/>
      <c r="R96" s="1864"/>
      <c r="S96" s="1385"/>
      <c r="T96" s="1385"/>
      <c r="U96" s="767"/>
      <c r="V96" s="1385"/>
      <c r="W96" s="1385"/>
      <c r="X96" s="1385"/>
      <c r="Y96" s="1385"/>
      <c r="Z96" s="1385"/>
      <c r="AA96" s="1860"/>
      <c r="AB96" s="789"/>
      <c r="AC96" s="789"/>
      <c r="AD96" s="789"/>
      <c r="AE96" s="789"/>
    </row>
    <row s="13656" customFormat="1" customHeight="1" ht="11.25">
      <c r="A97" s="1211"/>
      <c r="B97" s="1864"/>
      <c r="C97" s="1864"/>
      <c r="D97" s="574"/>
      <c r="K97" s="1385"/>
      <c r="L97" s="1864"/>
      <c r="M97" s="1864"/>
      <c r="N97" s="1385"/>
      <c r="O97" s="1385"/>
      <c r="P97" s="1385"/>
      <c r="Q97" s="1385"/>
      <c r="R97" s="1864"/>
      <c r="S97" s="1385"/>
      <c r="T97" s="1385"/>
      <c r="U97" s="767"/>
      <c r="V97" s="1385"/>
      <c r="W97" s="1385"/>
      <c r="X97" s="1385"/>
      <c r="Y97" s="1385"/>
      <c r="Z97" s="1385"/>
      <c r="AA97" s="1860"/>
      <c r="AB97" s="789"/>
      <c r="AC97" s="789"/>
      <c r="AD97" s="789"/>
      <c r="AE97" s="789"/>
    </row>
    <row s="13656" customFormat="1" customHeight="1" ht="11.25">
      <c r="A98" s="1211"/>
      <c r="B98" s="1864"/>
      <c r="C98" s="1864"/>
      <c r="D98" s="574"/>
      <c r="K98" s="1385"/>
      <c r="L98" s="1864"/>
      <c r="M98" s="1864"/>
      <c r="N98" s="1385"/>
      <c r="O98" s="1385"/>
      <c r="P98" s="1385"/>
      <c r="Q98" s="1385"/>
      <c r="R98" s="1864"/>
      <c r="S98" s="1385"/>
      <c r="T98" s="1385"/>
      <c r="U98" s="767"/>
      <c r="V98" s="1385"/>
      <c r="W98" s="1385"/>
      <c r="X98" s="1385"/>
      <c r="Y98" s="1385"/>
      <c r="Z98" s="1385"/>
      <c r="AA98" s="1860"/>
      <c r="AB98" s="789"/>
      <c r="AC98" s="789"/>
      <c r="AD98" s="789"/>
      <c r="AE98" s="789"/>
    </row>
    <row s="13656" customFormat="1" customHeight="1" ht="11.25">
      <c r="A99" s="1211"/>
      <c r="B99" s="1864"/>
      <c r="C99" s="1864"/>
      <c r="D99" s="574"/>
      <c r="K99" s="1385"/>
      <c r="L99" s="1864"/>
      <c r="M99" s="1864"/>
      <c r="N99" s="1385"/>
      <c r="O99" s="1385"/>
      <c r="P99" s="1385"/>
      <c r="Q99" s="1385"/>
      <c r="R99" s="1864"/>
      <c r="S99" s="1385"/>
      <c r="T99" s="1385"/>
      <c r="U99" s="767"/>
      <c r="V99" s="1385"/>
      <c r="W99" s="1385"/>
      <c r="X99" s="1385"/>
      <c r="Y99" s="1385"/>
      <c r="Z99" s="1385"/>
      <c r="AA99" s="1860"/>
      <c r="AB99" s="789"/>
      <c r="AC99" s="789"/>
      <c r="AD99" s="789"/>
      <c r="AE99" s="789"/>
    </row>
    <row s="13656" customFormat="1" customHeight="1" ht="11.25">
      <c r="A100" s="1211"/>
      <c r="B100" s="1864"/>
      <c r="C100" s="1864"/>
      <c r="D100" s="574"/>
      <c r="K100" s="1385"/>
      <c r="L100" s="1864"/>
      <c r="M100" s="1864"/>
      <c r="N100" s="1385"/>
      <c r="O100" s="1385"/>
      <c r="P100" s="1385"/>
      <c r="Q100" s="1385"/>
      <c r="R100" s="1864"/>
      <c r="S100" s="1385"/>
      <c r="T100" s="1385"/>
      <c r="U100" s="767"/>
      <c r="V100" s="1385"/>
      <c r="W100" s="1385"/>
      <c r="X100" s="1385"/>
      <c r="Y100" s="1385"/>
      <c r="Z100" s="1385"/>
      <c r="AA100" s="1860"/>
      <c r="AB100" s="789"/>
      <c r="AC100" s="789"/>
      <c r="AD100" s="789"/>
      <c r="AE100" s="789"/>
    </row>
    <row s="13656" customFormat="1" customHeight="1" ht="11.25">
      <c r="A101" s="1211"/>
      <c r="B101" s="1864"/>
      <c r="C101" s="1864"/>
      <c r="D101" s="574"/>
      <c r="K101" s="1385"/>
      <c r="L101" s="1864"/>
      <c r="M101" s="1864"/>
      <c r="N101" s="1385"/>
      <c r="O101" s="1385"/>
      <c r="P101" s="1385"/>
      <c r="Q101" s="1385"/>
      <c r="R101" s="1864"/>
      <c r="S101" s="1385"/>
      <c r="T101" s="1385"/>
      <c r="U101" s="767"/>
      <c r="V101" s="1385"/>
      <c r="W101" s="1385"/>
      <c r="X101" s="1385"/>
      <c r="Y101" s="1385"/>
      <c r="Z101" s="1385"/>
      <c r="AA101" s="1860"/>
      <c r="AB101" s="789"/>
      <c r="AC101" s="789"/>
      <c r="AD101" s="789"/>
      <c r="AE101" s="789"/>
    </row>
    <row s="13656" customFormat="1" customHeight="1" ht="11.25">
      <c r="A102" s="1211"/>
      <c r="B102" s="1864"/>
      <c r="C102" s="1864"/>
      <c r="D102" s="574"/>
      <c r="K102" s="1385"/>
      <c r="L102" s="1864"/>
      <c r="M102" s="1864"/>
      <c r="N102" s="1385"/>
      <c r="O102" s="1385"/>
      <c r="P102" s="1385"/>
      <c r="Q102" s="1385"/>
      <c r="R102" s="1864"/>
      <c r="S102" s="1385"/>
      <c r="T102" s="1385"/>
      <c r="U102" s="767"/>
      <c r="V102" s="1385"/>
      <c r="W102" s="1385"/>
      <c r="X102" s="1385"/>
      <c r="Y102" s="1385"/>
      <c r="Z102" s="1385"/>
      <c r="AA102" s="1860"/>
      <c r="AB102" s="789"/>
      <c r="AC102" s="789"/>
      <c r="AD102" s="789"/>
      <c r="AE102" s="789"/>
    </row>
    <row s="13656" customFormat="1" customHeight="1" ht="11.25">
      <c r="A103" s="1211"/>
      <c r="B103" s="1864"/>
      <c r="C103" s="1864"/>
      <c r="D103" s="574"/>
      <c r="K103" s="1385"/>
      <c r="L103" s="1864"/>
      <c r="M103" s="1864"/>
      <c r="N103" s="1385"/>
      <c r="O103" s="1385"/>
      <c r="P103" s="1385"/>
      <c r="Q103" s="1385"/>
      <c r="R103" s="1864"/>
      <c r="S103" s="1385"/>
      <c r="T103" s="1385"/>
      <c r="U103" s="767"/>
      <c r="V103" s="1385"/>
      <c r="W103" s="1385"/>
      <c r="X103" s="1385"/>
      <c r="Y103" s="1385"/>
      <c r="Z103" s="1385"/>
      <c r="AA103" s="1860"/>
      <c r="AB103" s="789"/>
      <c r="AC103" s="789"/>
      <c r="AD103" s="789"/>
      <c r="AE103" s="789"/>
    </row>
    <row s="13656" customFormat="1" customHeight="1" ht="11.25">
      <c r="A104" s="1211"/>
      <c r="B104" s="1864"/>
      <c r="C104" s="1864"/>
      <c r="D104" s="574"/>
      <c r="K104" s="1385"/>
      <c r="L104" s="1864"/>
      <c r="M104" s="1864"/>
      <c r="N104" s="1385"/>
      <c r="O104" s="1385"/>
      <c r="P104" s="1385"/>
      <c r="Q104" s="1385"/>
      <c r="R104" s="1864"/>
      <c r="S104" s="1385"/>
      <c r="T104" s="1385"/>
      <c r="U104" s="767"/>
      <c r="V104" s="1385"/>
      <c r="W104" s="1385"/>
      <c r="X104" s="1385"/>
      <c r="Y104" s="1385"/>
      <c r="Z104" s="1385"/>
      <c r="AA104" s="1860"/>
      <c r="AB104" s="789"/>
      <c r="AC104" s="789"/>
      <c r="AD104" s="789"/>
      <c r="AE104" s="789"/>
    </row>
    <row s="13656" customFormat="1" customHeight="1" ht="11.25">
      <c r="A105" s="1211"/>
      <c r="B105" s="1864"/>
      <c r="C105" s="1864"/>
      <c r="D105" s="574"/>
      <c r="K105" s="1385"/>
      <c r="L105" s="1864"/>
      <c r="M105" s="1864"/>
      <c r="N105" s="1385"/>
      <c r="O105" s="1385"/>
      <c r="P105" s="1385"/>
      <c r="Q105" s="1385"/>
      <c r="R105" s="1864"/>
      <c r="S105" s="1385"/>
      <c r="T105" s="1385"/>
      <c r="U105" s="767"/>
      <c r="V105" s="1385"/>
      <c r="W105" s="1385"/>
      <c r="X105" s="1385"/>
      <c r="Y105" s="1385"/>
      <c r="Z105" s="1385"/>
      <c r="AA105" s="1860"/>
      <c r="AB105" s="789"/>
      <c r="AC105" s="789"/>
      <c r="AD105" s="789"/>
      <c r="AE105" s="789"/>
    </row>
    <row s="13656" customFormat="1" customHeight="1" ht="11.25">
      <c r="A106" s="1211"/>
      <c r="B106" s="1864"/>
      <c r="C106" s="1864"/>
      <c r="D106" s="574"/>
      <c r="K106" s="1385"/>
      <c r="L106" s="1864"/>
      <c r="M106" s="1864"/>
      <c r="N106" s="1385"/>
      <c r="O106" s="1385"/>
      <c r="P106" s="1385"/>
      <c r="Q106" s="1385"/>
      <c r="R106" s="1864"/>
      <c r="S106" s="1385"/>
      <c r="T106" s="1385"/>
      <c r="U106" s="767"/>
      <c r="V106" s="1385"/>
      <c r="W106" s="1385"/>
      <c r="X106" s="1385"/>
      <c r="Y106" s="1385"/>
      <c r="Z106" s="1385"/>
      <c r="AA106" s="1860"/>
      <c r="AB106" s="789"/>
      <c r="AC106" s="789"/>
      <c r="AD106" s="789"/>
      <c r="AE106" s="789"/>
    </row>
    <row s="13656" customFormat="1" customHeight="1" ht="11.25">
      <c r="A107" s="1211"/>
      <c r="B107" s="1864"/>
      <c r="C107" s="1864"/>
      <c r="D107" s="574"/>
      <c r="K107" s="1385"/>
      <c r="L107" s="1864"/>
      <c r="M107" s="1864"/>
      <c r="N107" s="1385"/>
      <c r="O107" s="1385"/>
      <c r="P107" s="1385"/>
      <c r="Q107" s="1385"/>
      <c r="R107" s="1864"/>
      <c r="S107" s="1385"/>
      <c r="T107" s="1385"/>
      <c r="U107" s="767"/>
      <c r="V107" s="1385"/>
      <c r="W107" s="1385"/>
      <c r="X107" s="1385"/>
      <c r="Y107" s="1385"/>
      <c r="Z107" s="1385"/>
      <c r="AA107" s="1860"/>
      <c r="AB107" s="789"/>
      <c r="AC107" s="789"/>
      <c r="AD107" s="789"/>
      <c r="AE107" s="789"/>
    </row>
    <row s="13656" customFormat="1" customHeight="1" ht="11.25">
      <c r="A108" s="1211"/>
      <c r="B108" s="1864"/>
      <c r="C108" s="1864"/>
      <c r="D108" s="574"/>
      <c r="K108" s="1385"/>
      <c r="L108" s="1864"/>
      <c r="M108" s="1864"/>
      <c r="N108" s="1385"/>
      <c r="O108" s="1385"/>
      <c r="P108" s="1385"/>
      <c r="Q108" s="1385"/>
      <c r="R108" s="1864"/>
      <c r="S108" s="1385"/>
      <c r="T108" s="1385"/>
      <c r="U108" s="767"/>
      <c r="V108" s="1385"/>
      <c r="W108" s="1385"/>
      <c r="X108" s="1385"/>
      <c r="Y108" s="1385"/>
      <c r="Z108" s="1385"/>
      <c r="AA108" s="1860"/>
      <c r="AB108" s="789"/>
      <c r="AC108" s="789"/>
      <c r="AD108" s="789"/>
      <c r="AE108" s="789"/>
    </row>
    <row s="13656" customFormat="1" customHeight="1" ht="11.25">
      <c r="A109" s="1211"/>
      <c r="B109" s="1864"/>
      <c r="C109" s="1864"/>
      <c r="D109" s="574"/>
      <c r="K109" s="1385"/>
      <c r="L109" s="1864"/>
      <c r="M109" s="1864"/>
      <c r="N109" s="1385"/>
      <c r="O109" s="1385"/>
      <c r="P109" s="1385"/>
      <c r="Q109" s="1385"/>
      <c r="R109" s="1864"/>
      <c r="S109" s="1385"/>
      <c r="T109" s="1385"/>
      <c r="U109" s="767"/>
      <c r="V109" s="1385"/>
      <c r="W109" s="1385"/>
      <c r="X109" s="1385"/>
      <c r="Y109" s="1385"/>
      <c r="Z109" s="1385"/>
      <c r="AA109" s="1860"/>
      <c r="AB109" s="789"/>
      <c r="AC109" s="789"/>
      <c r="AD109" s="789"/>
      <c r="AE109" s="789"/>
    </row>
    <row s="13656" customFormat="1" customHeight="1" ht="11.25">
      <c r="A110" s="1211"/>
      <c r="B110" s="1864"/>
      <c r="C110" s="1864"/>
      <c r="D110" s="574"/>
      <c r="K110" s="1385"/>
      <c r="L110" s="1864"/>
      <c r="M110" s="1864"/>
      <c r="N110" s="1385"/>
      <c r="O110" s="1385"/>
      <c r="P110" s="1385"/>
      <c r="Q110" s="1385"/>
      <c r="R110" s="1864"/>
      <c r="S110" s="1385"/>
      <c r="T110" s="1385"/>
      <c r="U110" s="767"/>
      <c r="V110" s="1385"/>
      <c r="W110" s="1385"/>
      <c r="X110" s="1385"/>
      <c r="Y110" s="1385"/>
      <c r="Z110" s="1385"/>
      <c r="AA110" s="1860"/>
      <c r="AB110" s="789"/>
      <c r="AC110" s="789"/>
      <c r="AD110" s="789"/>
      <c r="AE110" s="789"/>
    </row>
    <row s="13656" customFormat="1" customHeight="1" ht="11.25">
      <c r="A111" s="1211"/>
      <c r="B111" s="1864"/>
      <c r="C111" s="1864"/>
      <c r="D111" s="574"/>
      <c r="K111" s="1385"/>
      <c r="L111" s="1864"/>
      <c r="M111" s="1864"/>
      <c r="N111" s="1385"/>
      <c r="O111" s="1385"/>
      <c r="P111" s="1385"/>
      <c r="Q111" s="1385"/>
      <c r="R111" s="1864"/>
      <c r="S111" s="1385"/>
      <c r="T111" s="1385"/>
      <c r="U111" s="767"/>
      <c r="V111" s="1385"/>
      <c r="W111" s="1385"/>
      <c r="X111" s="1385"/>
      <c r="Y111" s="1385"/>
      <c r="Z111" s="1385"/>
      <c r="AA111" s="1860"/>
      <c r="AB111" s="789"/>
      <c r="AC111" s="789"/>
      <c r="AD111" s="789"/>
      <c r="AE111" s="789"/>
    </row>
    <row s="13656" customFormat="1" customHeight="1" ht="11.25">
      <c r="A112" s="1211"/>
      <c r="B112" s="1864"/>
      <c r="C112" s="1864"/>
      <c r="D112" s="574"/>
      <c r="K112" s="1385"/>
      <c r="L112" s="1864"/>
      <c r="M112" s="1864"/>
      <c r="N112" s="1385"/>
      <c r="O112" s="1385"/>
      <c r="P112" s="1385"/>
      <c r="Q112" s="1385"/>
      <c r="R112" s="1864"/>
      <c r="S112" s="1385"/>
      <c r="T112" s="1385"/>
      <c r="U112" s="767"/>
      <c r="V112" s="1385"/>
      <c r="W112" s="1385"/>
      <c r="X112" s="1385"/>
      <c r="Y112" s="1385"/>
      <c r="Z112" s="1385"/>
      <c r="AA112" s="1860"/>
      <c r="AB112" s="789"/>
      <c r="AC112" s="789"/>
      <c r="AD112" s="789"/>
      <c r="AE112" s="789"/>
    </row>
    <row s="13656" customFormat="1" customHeight="1" ht="11.25">
      <c r="A113" s="1211"/>
      <c r="B113" s="1864"/>
      <c r="C113" s="1864"/>
      <c r="D113" s="574"/>
      <c r="K113" s="1385"/>
      <c r="L113" s="1864"/>
      <c r="M113" s="1864"/>
      <c r="N113" s="1385"/>
      <c r="O113" s="1385"/>
      <c r="P113" s="1385"/>
      <c r="Q113" s="1385"/>
      <c r="R113" s="1864"/>
      <c r="S113" s="1385"/>
      <c r="T113" s="1385"/>
      <c r="U113" s="767"/>
      <c r="V113" s="1385"/>
      <c r="W113" s="1385"/>
      <c r="X113" s="1385"/>
      <c r="Y113" s="1385"/>
      <c r="Z113" s="1385"/>
      <c r="AA113" s="1860"/>
      <c r="AB113" s="789"/>
      <c r="AC113" s="789"/>
      <c r="AD113" s="789"/>
      <c r="AE113" s="789"/>
    </row>
    <row s="13656" customFormat="1" customHeight="1" ht="11.25">
      <c r="A114" s="1211"/>
      <c r="B114" s="1864"/>
      <c r="C114" s="1864"/>
      <c r="D114" s="574"/>
      <c r="K114" s="1385"/>
      <c r="L114" s="1864"/>
      <c r="M114" s="1864"/>
      <c r="N114" s="1385"/>
      <c r="O114" s="1385"/>
      <c r="P114" s="1385"/>
      <c r="Q114" s="1385"/>
      <c r="R114" s="1864"/>
      <c r="S114" s="1385"/>
      <c r="T114" s="1385"/>
      <c r="U114" s="767"/>
      <c r="V114" s="1385"/>
      <c r="W114" s="1385"/>
      <c r="X114" s="1385"/>
      <c r="Y114" s="1385"/>
      <c r="Z114" s="1385"/>
      <c r="AA114" s="1860"/>
      <c r="AB114" s="789"/>
      <c r="AC114" s="789"/>
      <c r="AD114" s="789"/>
      <c r="AE114" s="789"/>
    </row>
    <row s="13656" customFormat="1" customHeight="1" ht="11.25">
      <c r="A115" s="1211"/>
      <c r="B115" s="1864"/>
      <c r="C115" s="1864"/>
      <c r="D115" s="574"/>
      <c r="K115" s="1385"/>
      <c r="L115" s="1864"/>
      <c r="M115" s="1864"/>
      <c r="N115" s="1385"/>
      <c r="O115" s="1385"/>
      <c r="P115" s="1385"/>
      <c r="Q115" s="1385"/>
      <c r="R115" s="1864"/>
      <c r="S115" s="1385"/>
      <c r="T115" s="1385"/>
      <c r="U115" s="767"/>
      <c r="V115" s="1385"/>
      <c r="W115" s="1385"/>
      <c r="X115" s="1385"/>
      <c r="Y115" s="1385"/>
      <c r="Z115" s="1385"/>
      <c r="AA115" s="1860"/>
      <c r="AB115" s="789"/>
      <c r="AC115" s="789"/>
      <c r="AD115" s="789"/>
      <c r="AE115" s="789"/>
    </row>
    <row s="13656" customFormat="1" customHeight="1" ht="11.25">
      <c r="A116" s="1211"/>
      <c r="B116" s="1864"/>
      <c r="C116" s="1864"/>
      <c r="D116" s="574"/>
      <c r="K116" s="1385"/>
      <c r="L116" s="1864"/>
      <c r="M116" s="1864"/>
      <c r="N116" s="1385"/>
      <c r="O116" s="1385"/>
      <c r="P116" s="1385"/>
      <c r="Q116" s="1385"/>
      <c r="R116" s="1864"/>
      <c r="S116" s="1385"/>
      <c r="T116" s="1385"/>
      <c r="U116" s="767"/>
      <c r="V116" s="1385"/>
      <c r="W116" s="1385"/>
      <c r="X116" s="1385"/>
      <c r="Y116" s="1385"/>
      <c r="Z116" s="1385"/>
      <c r="AA116" s="1860"/>
      <c r="AB116" s="789"/>
      <c r="AC116" s="789"/>
      <c r="AD116" s="789"/>
      <c r="AE116" s="789"/>
    </row>
    <row s="13656" customFormat="1" customHeight="1" ht="11.25">
      <c r="A117" s="1211"/>
      <c r="B117" s="1864"/>
      <c r="C117" s="1864"/>
      <c r="D117" s="574"/>
      <c r="K117" s="1385"/>
      <c r="L117" s="1864"/>
      <c r="M117" s="1864"/>
      <c r="N117" s="1385"/>
      <c r="O117" s="1385"/>
      <c r="P117" s="1385"/>
      <c r="Q117" s="1385"/>
      <c r="R117" s="1864"/>
      <c r="S117" s="1385"/>
      <c r="T117" s="1385"/>
      <c r="U117" s="767"/>
      <c r="V117" s="1385"/>
      <c r="W117" s="1385"/>
      <c r="X117" s="1385"/>
      <c r="Y117" s="1385"/>
      <c r="Z117" s="1385"/>
      <c r="AA117" s="1860"/>
      <c r="AB117" s="789"/>
      <c r="AC117" s="789"/>
      <c r="AD117" s="789"/>
      <c r="AE117" s="789"/>
    </row>
    <row s="13656" customFormat="1" customHeight="1" ht="11.25">
      <c r="A118" s="1211"/>
      <c r="B118" s="1864"/>
      <c r="C118" s="1864"/>
      <c r="D118" s="574"/>
      <c r="K118" s="1385"/>
      <c r="L118" s="1864"/>
      <c r="M118" s="1864"/>
      <c r="N118" s="1385"/>
      <c r="O118" s="1385"/>
      <c r="P118" s="1385"/>
      <c r="Q118" s="1385"/>
      <c r="R118" s="1864"/>
      <c r="S118" s="1385"/>
      <c r="T118" s="1385"/>
      <c r="U118" s="767"/>
      <c r="V118" s="1385"/>
      <c r="W118" s="1385"/>
      <c r="X118" s="1385"/>
      <c r="Y118" s="1385"/>
      <c r="Z118" s="1385"/>
      <c r="AA118" s="1860"/>
      <c r="AB118" s="789"/>
      <c r="AC118" s="789"/>
      <c r="AD118" s="789"/>
      <c r="AE118" s="789"/>
    </row>
    <row s="13656" customFormat="1" customHeight="1" ht="11.25">
      <c r="A119" s="1211"/>
      <c r="B119" s="1864"/>
      <c r="C119" s="1864"/>
      <c r="D119" s="574"/>
      <c r="K119" s="1385"/>
      <c r="L119" s="1864"/>
      <c r="M119" s="1864"/>
      <c r="N119" s="1385"/>
      <c r="O119" s="1385"/>
      <c r="P119" s="1385"/>
      <c r="Q119" s="1385"/>
      <c r="R119" s="1864"/>
      <c r="S119" s="1385"/>
      <c r="T119" s="1385"/>
      <c r="U119" s="767"/>
      <c r="V119" s="1385"/>
      <c r="W119" s="1385"/>
      <c r="X119" s="1385"/>
      <c r="Y119" s="1385"/>
      <c r="Z119" s="1385"/>
      <c r="AA119" s="1860"/>
      <c r="AB119" s="789"/>
      <c r="AC119" s="789"/>
      <c r="AD119" s="789"/>
      <c r="AE119" s="789"/>
    </row>
    <row s="13656" customFormat="1" customHeight="1" ht="11.25">
      <c r="A120" s="1211"/>
      <c r="B120" s="1864"/>
      <c r="C120" s="1864"/>
      <c r="D120" s="574"/>
      <c r="K120" s="1385"/>
      <c r="L120" s="1864"/>
      <c r="M120" s="1864"/>
      <c r="N120" s="1385"/>
      <c r="O120" s="1385"/>
      <c r="P120" s="1385"/>
      <c r="Q120" s="1385"/>
      <c r="R120" s="1864"/>
      <c r="S120" s="1385"/>
      <c r="T120" s="1385"/>
      <c r="U120" s="767"/>
      <c r="V120" s="1385"/>
      <c r="W120" s="1385"/>
      <c r="X120" s="1385"/>
      <c r="Y120" s="1385"/>
      <c r="Z120" s="1385"/>
      <c r="AA120" s="1860"/>
      <c r="AB120" s="789"/>
      <c r="AC120" s="789"/>
      <c r="AD120" s="789"/>
      <c r="AE120" s="789"/>
    </row>
    <row s="13656" customFormat="1" customHeight="1" ht="11.25">
      <c r="A121" s="1211"/>
      <c r="B121" s="1864"/>
      <c r="C121" s="1864"/>
      <c r="D121" s="574"/>
      <c r="K121" s="1385"/>
      <c r="L121" s="1864"/>
      <c r="M121" s="1864"/>
      <c r="N121" s="1385"/>
      <c r="O121" s="1385"/>
      <c r="P121" s="1385"/>
      <c r="Q121" s="1385"/>
      <c r="R121" s="1864"/>
      <c r="S121" s="1385"/>
      <c r="T121" s="1385"/>
      <c r="U121" s="767"/>
      <c r="V121" s="1385"/>
      <c r="W121" s="1385"/>
      <c r="X121" s="1385"/>
      <c r="Y121" s="1385"/>
      <c r="Z121" s="1385"/>
      <c r="AA121" s="1860"/>
      <c r="AB121" s="789"/>
      <c r="AC121" s="789"/>
      <c r="AD121" s="789"/>
      <c r="AE121" s="789"/>
    </row>
    <row s="13656" customFormat="1" customHeight="1" ht="11.25">
      <c r="A122" s="1211"/>
      <c r="B122" s="1864"/>
      <c r="C122" s="1864"/>
      <c r="D122" s="574"/>
      <c r="K122" s="1385"/>
      <c r="L122" s="1864"/>
      <c r="M122" s="1864"/>
      <c r="N122" s="1385"/>
      <c r="O122" s="1385"/>
      <c r="P122" s="1385"/>
      <c r="Q122" s="1385"/>
      <c r="R122" s="1864"/>
      <c r="S122" s="1385"/>
      <c r="T122" s="1385"/>
      <c r="U122" s="767"/>
      <c r="V122" s="1385"/>
      <c r="W122" s="1385"/>
      <c r="X122" s="1385"/>
      <c r="Y122" s="1385"/>
      <c r="Z122" s="1385"/>
      <c r="AA122" s="1860"/>
      <c r="AB122" s="789"/>
      <c r="AC122" s="789"/>
      <c r="AD122" s="789"/>
      <c r="AE122" s="789"/>
    </row>
    <row s="13656" customFormat="1" customHeight="1" ht="11.25">
      <c r="A123" s="1211"/>
      <c r="B123" s="1864"/>
      <c r="C123" s="1864"/>
      <c r="D123" s="574"/>
      <c r="K123" s="1385"/>
      <c r="L123" s="1864"/>
      <c r="M123" s="1864"/>
      <c r="N123" s="1385"/>
      <c r="O123" s="1385"/>
      <c r="P123" s="1385"/>
      <c r="Q123" s="1385"/>
      <c r="R123" s="1864"/>
      <c r="S123" s="1385"/>
      <c r="T123" s="1385"/>
      <c r="U123" s="767"/>
      <c r="V123" s="1385"/>
      <c r="W123" s="1385"/>
      <c r="X123" s="1385"/>
      <c r="Y123" s="1385"/>
      <c r="Z123" s="1385"/>
      <c r="AA123" s="1860"/>
      <c r="AB123" s="789"/>
      <c r="AC123" s="789"/>
      <c r="AD123" s="789"/>
      <c r="AE123" s="789"/>
    </row>
    <row s="13656" customFormat="1" customHeight="1" ht="11.25">
      <c r="A124" s="1211"/>
      <c r="B124" s="1864"/>
      <c r="C124" s="1864"/>
      <c r="D124" s="574"/>
      <c r="K124" s="1385"/>
      <c r="L124" s="1864"/>
      <c r="M124" s="1864"/>
      <c r="N124" s="1385"/>
      <c r="O124" s="1385"/>
      <c r="P124" s="1385"/>
      <c r="Q124" s="1385"/>
      <c r="R124" s="1864"/>
      <c r="S124" s="1385"/>
      <c r="T124" s="1385"/>
      <c r="U124" s="767"/>
      <c r="V124" s="1385"/>
      <c r="W124" s="1385"/>
      <c r="X124" s="1385"/>
      <c r="Y124" s="1385"/>
      <c r="Z124" s="1385"/>
      <c r="AA124" s="1860"/>
      <c r="AB124" s="789"/>
      <c r="AC124" s="789"/>
      <c r="AD124" s="789"/>
      <c r="AE124" s="789"/>
    </row>
    <row s="13656" customFormat="1" customHeight="1" ht="11.25">
      <c r="A125" s="1211"/>
      <c r="B125" s="1864"/>
      <c r="C125" s="1864"/>
      <c r="D125" s="574"/>
      <c r="K125" s="1385"/>
      <c r="L125" s="1864"/>
      <c r="M125" s="1864"/>
      <c r="N125" s="1385"/>
      <c r="O125" s="1385"/>
      <c r="P125" s="1385"/>
      <c r="Q125" s="1385"/>
      <c r="R125" s="1864"/>
      <c r="S125" s="1385"/>
      <c r="T125" s="1385"/>
      <c r="U125" s="767"/>
      <c r="V125" s="1385"/>
      <c r="W125" s="1385"/>
      <c r="X125" s="1385"/>
      <c r="Y125" s="1385"/>
      <c r="Z125" s="1385"/>
      <c r="AA125" s="1860"/>
      <c r="AB125" s="789"/>
      <c r="AC125" s="789"/>
      <c r="AD125" s="789"/>
      <c r="AE125" s="789"/>
    </row>
    <row s="13656" customFormat="1" customHeight="1" ht="11.25">
      <c r="A126" s="1211"/>
      <c r="B126" s="1864"/>
      <c r="C126" s="1864"/>
      <c r="D126" s="574"/>
      <c r="K126" s="1385"/>
      <c r="L126" s="1864"/>
      <c r="M126" s="1864"/>
      <c r="N126" s="1385"/>
      <c r="O126" s="1385"/>
      <c r="P126" s="1385"/>
      <c r="Q126" s="1385"/>
      <c r="R126" s="1864"/>
      <c r="S126" s="1385"/>
      <c r="T126" s="1385"/>
      <c r="U126" s="767"/>
      <c r="V126" s="1385"/>
      <c r="W126" s="1385"/>
      <c r="X126" s="1385"/>
      <c r="Y126" s="1385"/>
      <c r="Z126" s="1385"/>
      <c r="AA126" s="1860"/>
      <c r="AB126" s="789"/>
      <c r="AC126" s="789"/>
      <c r="AD126" s="789"/>
      <c r="AE126" s="789"/>
    </row>
    <row s="13656" customFormat="1" customHeight="1" ht="11.25">
      <c r="A127" s="1211"/>
      <c r="B127" s="1864"/>
      <c r="C127" s="1864"/>
      <c r="D127" s="574"/>
      <c r="K127" s="1385"/>
      <c r="L127" s="1864"/>
      <c r="M127" s="1864"/>
      <c r="N127" s="1385"/>
      <c r="O127" s="1385"/>
      <c r="P127" s="1385"/>
      <c r="Q127" s="1385"/>
      <c r="R127" s="1864"/>
      <c r="S127" s="1385"/>
      <c r="T127" s="1385"/>
      <c r="U127" s="767"/>
      <c r="V127" s="1385"/>
      <c r="W127" s="1385"/>
      <c r="X127" s="1385"/>
      <c r="Y127" s="1385"/>
      <c r="Z127" s="1385"/>
      <c r="AA127" s="1860"/>
      <c r="AB127" s="789"/>
      <c r="AC127" s="789"/>
      <c r="AD127" s="789"/>
      <c r="AE127" s="789"/>
    </row>
    <row s="13656" customFormat="1" customHeight="1" ht="11.25">
      <c r="A128" s="1211"/>
      <c r="B128" s="1864"/>
      <c r="C128" s="1864"/>
      <c r="D128" s="574"/>
      <c r="K128" s="1385"/>
      <c r="L128" s="1864"/>
      <c r="M128" s="1864"/>
      <c r="N128" s="1385"/>
      <c r="O128" s="1385"/>
      <c r="P128" s="1385"/>
      <c r="Q128" s="1385"/>
      <c r="R128" s="1864"/>
      <c r="S128" s="1385"/>
      <c r="T128" s="1385"/>
      <c r="U128" s="767"/>
      <c r="V128" s="1385"/>
      <c r="W128" s="1385"/>
      <c r="X128" s="1385"/>
      <c r="Y128" s="1385"/>
      <c r="Z128" s="1385"/>
      <c r="AA128" s="1860"/>
      <c r="AB128" s="789"/>
      <c r="AC128" s="789"/>
      <c r="AD128" s="789"/>
      <c r="AE128" s="789"/>
    </row>
    <row s="13656" customFormat="1" customHeight="1" ht="11.25">
      <c r="A129" s="1211"/>
      <c r="B129" s="1864"/>
      <c r="C129" s="1864"/>
      <c r="D129" s="574"/>
      <c r="K129" s="1385"/>
      <c r="L129" s="1864"/>
      <c r="M129" s="1864"/>
      <c r="N129" s="1385"/>
      <c r="O129" s="1385"/>
      <c r="P129" s="1385"/>
      <c r="Q129" s="1385"/>
      <c r="R129" s="1864"/>
      <c r="S129" s="1385"/>
      <c r="T129" s="1385"/>
      <c r="U129" s="767"/>
      <c r="V129" s="1385"/>
      <c r="W129" s="1385"/>
      <c r="X129" s="1385"/>
      <c r="Y129" s="1385"/>
      <c r="Z129" s="1385"/>
      <c r="AA129" s="1860"/>
      <c r="AB129" s="789"/>
      <c r="AC129" s="789"/>
      <c r="AD129" s="789"/>
      <c r="AE129" s="789"/>
    </row>
    <row s="13656" customFormat="1" customHeight="1" ht="11.25">
      <c r="A130" s="1211"/>
      <c r="B130" s="1864"/>
      <c r="C130" s="1864"/>
      <c r="D130" s="574"/>
      <c r="K130" s="1385"/>
      <c r="L130" s="1864"/>
      <c r="M130" s="1864"/>
      <c r="N130" s="1385"/>
      <c r="O130" s="1385"/>
      <c r="P130" s="1385"/>
      <c r="Q130" s="1385"/>
      <c r="R130" s="1864"/>
      <c r="S130" s="1385"/>
      <c r="T130" s="1385"/>
      <c r="U130" s="767"/>
      <c r="V130" s="1385"/>
      <c r="W130" s="1385"/>
      <c r="X130" s="1385"/>
      <c r="Y130" s="1385"/>
      <c r="Z130" s="1385"/>
      <c r="AA130" s="1860"/>
      <c r="AB130" s="789"/>
      <c r="AC130" s="789"/>
      <c r="AD130" s="789"/>
      <c r="AE130" s="789"/>
    </row>
    <row s="13656" customFormat="1" customHeight="1" ht="11.25">
      <c r="A131" s="1211"/>
      <c r="B131" s="1864"/>
      <c r="C131" s="1864"/>
      <c r="D131" s="574"/>
      <c r="K131" s="1385"/>
      <c r="L131" s="1864"/>
      <c r="M131" s="1864"/>
      <c r="N131" s="1385"/>
      <c r="O131" s="1385"/>
      <c r="P131" s="1385"/>
      <c r="Q131" s="1385"/>
      <c r="R131" s="1864"/>
      <c r="S131" s="1385"/>
      <c r="T131" s="1385"/>
      <c r="U131" s="767"/>
      <c r="V131" s="1385"/>
      <c r="W131" s="1385"/>
      <c r="X131" s="1385"/>
      <c r="Y131" s="1385"/>
      <c r="Z131" s="1385"/>
      <c r="AA131" s="1860"/>
      <c r="AB131" s="789"/>
      <c r="AC131" s="789"/>
      <c r="AD131" s="789"/>
      <c r="AE131" s="789"/>
    </row>
    <row s="13656" customFormat="1" customHeight="1" ht="11.25">
      <c r="A132" s="1211"/>
      <c r="B132" s="1864"/>
      <c r="C132" s="1864"/>
      <c r="D132" s="574"/>
      <c r="K132" s="1385"/>
      <c r="L132" s="1864"/>
      <c r="M132" s="1864"/>
      <c r="N132" s="1385"/>
      <c r="O132" s="1385"/>
      <c r="P132" s="1385"/>
      <c r="Q132" s="1385"/>
      <c r="R132" s="1864"/>
      <c r="S132" s="1385"/>
      <c r="T132" s="1385"/>
      <c r="U132" s="767"/>
      <c r="V132" s="1385"/>
      <c r="W132" s="1385"/>
      <c r="X132" s="1385"/>
      <c r="Y132" s="1385"/>
      <c r="Z132" s="1385"/>
      <c r="AA132" s="1860"/>
      <c r="AB132" s="789"/>
      <c r="AC132" s="789"/>
      <c r="AD132" s="789"/>
      <c r="AE132" s="789"/>
    </row>
    <row s="13656" customFormat="1" customHeight="1" ht="11.25">
      <c r="A133" s="1211"/>
      <c r="B133" s="1864"/>
      <c r="C133" s="1864"/>
      <c r="D133" s="574"/>
      <c r="K133" s="1385"/>
      <c r="L133" s="1864"/>
      <c r="M133" s="1864"/>
      <c r="N133" s="1385"/>
      <c r="O133" s="1385"/>
      <c r="P133" s="1385"/>
      <c r="Q133" s="1385"/>
      <c r="R133" s="1864"/>
      <c r="S133" s="1385"/>
      <c r="T133" s="1385"/>
      <c r="U133" s="767"/>
      <c r="V133" s="1385"/>
      <c r="W133" s="1385"/>
      <c r="X133" s="1385"/>
      <c r="Y133" s="1385"/>
      <c r="Z133" s="1385"/>
      <c r="AA133" s="1860"/>
      <c r="AB133" s="789"/>
      <c r="AC133" s="789"/>
      <c r="AD133" s="789"/>
      <c r="AE133" s="789"/>
    </row>
    <row s="13656" customFormat="1" customHeight="1" ht="11.25">
      <c r="A134" s="1211"/>
      <c r="B134" s="1864"/>
      <c r="C134" s="1864"/>
      <c r="D134" s="574"/>
      <c r="K134" s="1385"/>
      <c r="L134" s="1864"/>
      <c r="M134" s="1864"/>
      <c r="N134" s="1385"/>
      <c r="O134" s="1385"/>
      <c r="P134" s="1385"/>
      <c r="Q134" s="1385"/>
      <c r="R134" s="1864"/>
      <c r="S134" s="1385"/>
      <c r="T134" s="1385"/>
      <c r="U134" s="767"/>
      <c r="V134" s="1385"/>
      <c r="W134" s="1385"/>
      <c r="X134" s="1385"/>
      <c r="Y134" s="1385"/>
      <c r="Z134" s="1385"/>
      <c r="AA134" s="1860"/>
      <c r="AB134" s="789"/>
      <c r="AC134" s="789"/>
      <c r="AD134" s="789"/>
      <c r="AE134" s="789"/>
    </row>
    <row s="13656" customFormat="1" customHeight="1" ht="11.25">
      <c r="A135" s="1211"/>
      <c r="B135" s="1864"/>
      <c r="C135" s="1864"/>
      <c r="D135" s="574"/>
      <c r="K135" s="1385"/>
      <c r="L135" s="1864"/>
      <c r="M135" s="1864"/>
      <c r="N135" s="1385"/>
      <c r="O135" s="1385"/>
      <c r="P135" s="1385"/>
      <c r="Q135" s="1385"/>
      <c r="R135" s="1864"/>
      <c r="S135" s="1385"/>
      <c r="T135" s="1385"/>
      <c r="U135" s="767"/>
      <c r="V135" s="1385"/>
      <c r="W135" s="1385"/>
      <c r="X135" s="1385"/>
      <c r="Y135" s="1385"/>
      <c r="Z135" s="1385"/>
      <c r="AA135" s="1860"/>
      <c r="AB135" s="789"/>
      <c r="AC135" s="789"/>
      <c r="AD135" s="789"/>
      <c r="AE135" s="789"/>
    </row>
    <row s="13656" customFormat="1" customHeight="1" ht="11.25">
      <c r="A136" s="1211"/>
      <c r="B136" s="1864"/>
      <c r="C136" s="1864"/>
      <c r="D136" s="574"/>
      <c r="K136" s="1385"/>
      <c r="L136" s="1864"/>
      <c r="M136" s="1864"/>
      <c r="N136" s="1385"/>
      <c r="O136" s="1385"/>
      <c r="P136" s="1385"/>
      <c r="Q136" s="1385"/>
      <c r="R136" s="1864"/>
      <c r="S136" s="1385"/>
      <c r="T136" s="1385"/>
      <c r="U136" s="767"/>
      <c r="V136" s="1385"/>
      <c r="W136" s="1385"/>
      <c r="X136" s="1385"/>
      <c r="Y136" s="1385"/>
      <c r="Z136" s="1385"/>
      <c r="AA136" s="1860"/>
      <c r="AB136" s="789"/>
      <c r="AC136" s="789"/>
      <c r="AD136" s="789"/>
      <c r="AE136" s="789"/>
    </row>
    <row s="13656" customFormat="1" customHeight="1" ht="11.25">
      <c r="A137" s="1211"/>
      <c r="B137" s="1864"/>
      <c r="C137" s="1864"/>
      <c r="D137" s="574"/>
      <c r="K137" s="1385"/>
      <c r="L137" s="1864"/>
      <c r="M137" s="1864"/>
      <c r="N137" s="1385"/>
      <c r="O137" s="1385"/>
      <c r="P137" s="1385"/>
      <c r="Q137" s="1385"/>
      <c r="R137" s="1864"/>
      <c r="S137" s="1385"/>
      <c r="T137" s="1385"/>
      <c r="U137" s="767"/>
      <c r="V137" s="1385"/>
      <c r="W137" s="1385"/>
      <c r="X137" s="1385"/>
      <c r="Y137" s="1385"/>
      <c r="Z137" s="1385"/>
      <c r="AA137" s="1860"/>
      <c r="AB137" s="789"/>
      <c r="AC137" s="789"/>
      <c r="AD137" s="789"/>
      <c r="AE137" s="789"/>
    </row>
    <row s="13656" customFormat="1" customHeight="1" ht="11.25">
      <c r="A138" s="1211"/>
      <c r="B138" s="1864"/>
      <c r="C138" s="1864"/>
      <c r="D138" s="574"/>
      <c r="K138" s="1385"/>
      <c r="L138" s="1864"/>
      <c r="M138" s="1864"/>
      <c r="N138" s="1385"/>
      <c r="O138" s="1385"/>
      <c r="P138" s="1385"/>
      <c r="Q138" s="1385"/>
      <c r="R138" s="1864"/>
      <c r="S138" s="1385"/>
      <c r="T138" s="1385"/>
      <c r="U138" s="767"/>
      <c r="V138" s="1385"/>
      <c r="W138" s="1385"/>
      <c r="X138" s="1385"/>
      <c r="Y138" s="1385"/>
      <c r="Z138" s="1385"/>
      <c r="AA138" s="1860"/>
      <c r="AB138" s="789"/>
      <c r="AC138" s="789"/>
      <c r="AD138" s="789"/>
      <c r="AE138" s="789"/>
    </row>
    <row s="13656" customFormat="1" customHeight="1" ht="11.25">
      <c r="A139" s="1211"/>
      <c r="B139" s="1864"/>
      <c r="C139" s="1864"/>
      <c r="D139" s="574"/>
      <c r="K139" s="1385"/>
      <c r="L139" s="1864"/>
      <c r="M139" s="1864"/>
      <c r="N139" s="1385"/>
      <c r="O139" s="1385"/>
      <c r="P139" s="1385"/>
      <c r="Q139" s="1385"/>
      <c r="R139" s="1864"/>
      <c r="S139" s="1385"/>
      <c r="T139" s="1385"/>
      <c r="U139" s="767"/>
      <c r="V139" s="1385"/>
      <c r="W139" s="1385"/>
      <c r="X139" s="1385"/>
      <c r="Y139" s="1385"/>
      <c r="Z139" s="1385"/>
      <c r="AA139" s="1860"/>
      <c r="AB139" s="789"/>
      <c r="AC139" s="789"/>
      <c r="AD139" s="789"/>
      <c r="AE139" s="789"/>
    </row>
    <row s="13656" customFormat="1" customHeight="1" ht="11.25">
      <c r="A140" s="1211"/>
      <c r="B140" s="1864"/>
      <c r="C140" s="1864"/>
      <c r="D140" s="574"/>
      <c r="K140" s="1385"/>
      <c r="L140" s="1864"/>
      <c r="M140" s="1864"/>
      <c r="N140" s="1385"/>
      <c r="O140" s="1385"/>
      <c r="P140" s="1385"/>
      <c r="Q140" s="1385"/>
      <c r="R140" s="1864"/>
      <c r="S140" s="1385"/>
      <c r="T140" s="1385"/>
      <c r="U140" s="767"/>
      <c r="V140" s="1385"/>
      <c r="W140" s="1385"/>
      <c r="X140" s="1385"/>
      <c r="Y140" s="1385"/>
      <c r="Z140" s="1385"/>
      <c r="AA140" s="1860"/>
      <c r="AB140" s="789"/>
      <c r="AC140" s="789"/>
      <c r="AD140" s="789"/>
      <c r="AE140" s="789"/>
    </row>
    <row s="13656" customFormat="1" customHeight="1" ht="11.25">
      <c r="A141" s="1211"/>
      <c r="B141" s="1864"/>
      <c r="C141" s="1864"/>
      <c r="D141" s="574"/>
      <c r="K141" s="1385"/>
      <c r="L141" s="1864"/>
      <c r="M141" s="1864"/>
      <c r="N141" s="1385"/>
      <c r="O141" s="1385"/>
      <c r="P141" s="1385"/>
      <c r="Q141" s="1385"/>
      <c r="R141" s="1864"/>
      <c r="S141" s="1385"/>
      <c r="T141" s="1385"/>
      <c r="U141" s="767"/>
      <c r="V141" s="1385"/>
      <c r="W141" s="1385"/>
      <c r="X141" s="1385"/>
      <c r="Y141" s="1385"/>
      <c r="Z141" s="1385"/>
      <c r="AA141" s="1860"/>
      <c r="AB141" s="789"/>
      <c r="AC141" s="789"/>
      <c r="AD141" s="789"/>
      <c r="AE141" s="789"/>
    </row>
    <row s="13656" customFormat="1" customHeight="1" ht="11.25">
      <c r="A142" s="1211"/>
      <c r="B142" s="1864"/>
      <c r="C142" s="1864"/>
      <c r="D142" s="574"/>
      <c r="K142" s="1385"/>
      <c r="L142" s="1864"/>
      <c r="M142" s="1864"/>
      <c r="N142" s="1385"/>
      <c r="O142" s="1385"/>
      <c r="P142" s="1385"/>
      <c r="Q142" s="1385"/>
      <c r="R142" s="1864"/>
      <c r="S142" s="1385"/>
      <c r="T142" s="1385"/>
      <c r="U142" s="767"/>
      <c r="V142" s="1385"/>
      <c r="W142" s="1385"/>
      <c r="X142" s="1385"/>
      <c r="Y142" s="1385"/>
      <c r="Z142" s="1385"/>
      <c r="AA142" s="1860"/>
      <c r="AB142" s="789"/>
      <c r="AC142" s="789"/>
      <c r="AD142" s="789"/>
      <c r="AE142" s="789"/>
    </row>
    <row s="13656" customFormat="1" customHeight="1" ht="11.25">
      <c r="A143" s="1211"/>
      <c r="B143" s="1864"/>
      <c r="C143" s="1864"/>
      <c r="D143" s="574"/>
      <c r="K143" s="1385"/>
      <c r="L143" s="1864"/>
      <c r="M143" s="1864"/>
      <c r="N143" s="1385"/>
      <c r="O143" s="1385"/>
      <c r="P143" s="1385"/>
      <c r="Q143" s="1385"/>
      <c r="R143" s="1864"/>
      <c r="S143" s="1385"/>
      <c r="T143" s="1385"/>
      <c r="U143" s="767"/>
      <c r="V143" s="1385"/>
      <c r="W143" s="1385"/>
      <c r="X143" s="1385"/>
      <c r="Y143" s="1385"/>
      <c r="Z143" s="1385"/>
      <c r="AA143" s="1860"/>
      <c r="AB143" s="789"/>
      <c r="AC143" s="789"/>
      <c r="AD143" s="789"/>
      <c r="AE143" s="789"/>
    </row>
    <row s="13656" customFormat="1" customHeight="1" ht="11.25">
      <c r="A144" s="1211"/>
      <c r="B144" s="1864"/>
      <c r="C144" s="1864"/>
      <c r="D144" s="574"/>
      <c r="K144" s="1385"/>
      <c r="L144" s="1864"/>
      <c r="M144" s="1864"/>
      <c r="N144" s="1385"/>
      <c r="O144" s="1385"/>
      <c r="P144" s="1385"/>
      <c r="Q144" s="1385"/>
      <c r="R144" s="1864"/>
      <c r="S144" s="1385"/>
      <c r="T144" s="1385"/>
      <c r="U144" s="767"/>
      <c r="V144" s="1385"/>
      <c r="W144" s="1385"/>
      <c r="X144" s="1385"/>
      <c r="Y144" s="1385"/>
      <c r="Z144" s="1385"/>
      <c r="AA144" s="1860"/>
      <c r="AB144" s="789"/>
      <c r="AC144" s="789"/>
      <c r="AD144" s="789"/>
      <c r="AE144" s="789"/>
    </row>
    <row s="13656" customFormat="1" customHeight="1" ht="11.25">
      <c r="A145" s="1211"/>
      <c r="B145" s="1864"/>
      <c r="C145" s="1864"/>
      <c r="D145" s="574"/>
      <c r="K145" s="1385"/>
      <c r="L145" s="1864"/>
      <c r="M145" s="1864"/>
      <c r="N145" s="1385"/>
      <c r="O145" s="1385"/>
      <c r="P145" s="1385"/>
      <c r="Q145" s="1385"/>
      <c r="R145" s="1864"/>
      <c r="S145" s="1385"/>
      <c r="T145" s="1385"/>
      <c r="U145" s="767"/>
      <c r="V145" s="1385"/>
      <c r="W145" s="1385"/>
      <c r="X145" s="1385"/>
      <c r="Y145" s="1385"/>
      <c r="Z145" s="1385"/>
      <c r="AA145" s="1860"/>
      <c r="AB145" s="789"/>
      <c r="AC145" s="789"/>
      <c r="AD145" s="789"/>
      <c r="AE145" s="789"/>
    </row>
    <row s="13656" customFormat="1" customHeight="1" ht="11.25">
      <c r="A146" s="1211"/>
      <c r="B146" s="1864"/>
      <c r="C146" s="1864"/>
      <c r="D146" s="574"/>
      <c r="K146" s="1385"/>
      <c r="L146" s="1864"/>
      <c r="M146" s="1864"/>
      <c r="N146" s="1385"/>
      <c r="O146" s="1385"/>
      <c r="P146" s="1385"/>
      <c r="Q146" s="1385"/>
      <c r="R146" s="1864"/>
      <c r="S146" s="1385"/>
      <c r="T146" s="1385"/>
      <c r="U146" s="767"/>
      <c r="V146" s="1385"/>
      <c r="W146" s="1385"/>
      <c r="X146" s="1385"/>
      <c r="Y146" s="1385"/>
      <c r="Z146" s="1385"/>
      <c r="AA146" s="1860"/>
      <c r="AB146" s="789"/>
      <c r="AC146" s="789"/>
      <c r="AD146" s="789"/>
      <c r="AE146" s="789"/>
    </row>
    <row s="13656" customFormat="1" customHeight="1" ht="11.25">
      <c r="A147" s="1211"/>
      <c r="B147" s="1864"/>
      <c r="C147" s="1864"/>
      <c r="D147" s="574"/>
      <c r="K147" s="1385"/>
      <c r="L147" s="1864"/>
      <c r="M147" s="1864"/>
      <c r="N147" s="1385"/>
      <c r="O147" s="1385"/>
      <c r="P147" s="1385"/>
      <c r="Q147" s="1385"/>
      <c r="R147" s="1864"/>
      <c r="S147" s="1385"/>
      <c r="T147" s="1385"/>
      <c r="U147" s="767"/>
      <c r="V147" s="1385"/>
      <c r="W147" s="1385"/>
      <c r="X147" s="1385"/>
      <c r="Y147" s="1385"/>
      <c r="Z147" s="1385"/>
      <c r="AA147" s="1860"/>
      <c r="AB147" s="789"/>
      <c r="AC147" s="789"/>
      <c r="AD147" s="789"/>
      <c r="AE147" s="789"/>
    </row>
    <row s="13656" customFormat="1" customHeight="1" ht="11.25">
      <c r="A148" s="1211"/>
      <c r="B148" s="1864"/>
      <c r="C148" s="1864"/>
      <c r="D148" s="574"/>
      <c r="K148" s="1385"/>
      <c r="L148" s="1864"/>
      <c r="M148" s="1864"/>
      <c r="N148" s="1385"/>
      <c r="O148" s="1385"/>
      <c r="P148" s="1385"/>
      <c r="Q148" s="1385"/>
      <c r="R148" s="1864"/>
      <c r="S148" s="1385"/>
      <c r="T148" s="1385"/>
      <c r="U148" s="767"/>
      <c r="V148" s="1385"/>
      <c r="W148" s="1385"/>
      <c r="X148" s="1385"/>
      <c r="Y148" s="1385"/>
      <c r="Z148" s="1385"/>
      <c r="AA148" s="1860"/>
      <c r="AB148" s="789"/>
      <c r="AC148" s="789"/>
      <c r="AD148" s="789"/>
      <c r="AE148" s="789"/>
    </row>
    <row s="13656" customFormat="1" customHeight="1" ht="11.25">
      <c r="A149" s="1211"/>
      <c r="B149" s="1864"/>
      <c r="C149" s="1864"/>
      <c r="D149" s="574"/>
      <c r="K149" s="1385"/>
      <c r="L149" s="1864"/>
      <c r="M149" s="1864"/>
      <c r="N149" s="1385"/>
      <c r="O149" s="1385"/>
      <c r="P149" s="1385"/>
      <c r="Q149" s="1385"/>
      <c r="R149" s="1864"/>
      <c r="S149" s="1385"/>
      <c r="T149" s="1385"/>
      <c r="U149" s="767"/>
      <c r="V149" s="1385"/>
      <c r="W149" s="1385"/>
      <c r="X149" s="1385"/>
      <c r="Y149" s="1385"/>
      <c r="Z149" s="1385"/>
      <c r="AA149" s="1860"/>
      <c r="AB149" s="789"/>
      <c r="AC149" s="789"/>
      <c r="AD149" s="789"/>
      <c r="AE149" s="789"/>
    </row>
    <row s="13656" customFormat="1" customHeight="1" ht="11.25">
      <c r="A150" s="1211"/>
      <c r="B150" s="1864"/>
      <c r="C150" s="1864"/>
      <c r="D150" s="574"/>
      <c r="K150" s="1385"/>
      <c r="L150" s="1864"/>
      <c r="M150" s="1864"/>
      <c r="N150" s="1385"/>
      <c r="O150" s="1385"/>
      <c r="P150" s="1385"/>
      <c r="Q150" s="1385"/>
      <c r="R150" s="1864"/>
      <c r="S150" s="1385"/>
      <c r="T150" s="1385"/>
      <c r="U150" s="767"/>
      <c r="V150" s="1385"/>
      <c r="W150" s="1385"/>
      <c r="X150" s="1385"/>
      <c r="Y150" s="1385"/>
      <c r="Z150" s="1385"/>
      <c r="AA150" s="1860"/>
      <c r="AB150" s="789"/>
      <c r="AC150" s="789"/>
      <c r="AD150" s="789"/>
      <c r="AE150" s="789"/>
    </row>
    <row s="13656" customFormat="1" customHeight="1" ht="11.25">
      <c r="A151" s="1211"/>
      <c r="B151" s="1864"/>
      <c r="C151" s="1864"/>
      <c r="D151" s="574"/>
      <c r="K151" s="1385"/>
      <c r="L151" s="1864"/>
      <c r="M151" s="1864"/>
      <c r="N151" s="1385"/>
      <c r="O151" s="1385"/>
      <c r="P151" s="1385"/>
      <c r="Q151" s="1385"/>
      <c r="R151" s="1864"/>
      <c r="S151" s="1385"/>
      <c r="T151" s="1385"/>
      <c r="U151" s="767"/>
      <c r="V151" s="1385"/>
      <c r="W151" s="1385"/>
      <c r="X151" s="1385"/>
      <c r="Y151" s="1385"/>
      <c r="Z151" s="1385"/>
      <c r="AA151" s="1860"/>
      <c r="AB151" s="789"/>
      <c r="AC151" s="789"/>
      <c r="AD151" s="789"/>
      <c r="AE151" s="789"/>
    </row>
    <row s="13656" customFormat="1" customHeight="1" ht="11.25">
      <c r="A152" s="1211"/>
      <c r="B152" s="1864"/>
      <c r="C152" s="1864"/>
      <c r="D152" s="574"/>
      <c r="K152" s="1385"/>
      <c r="L152" s="1864"/>
      <c r="M152" s="1864"/>
      <c r="N152" s="1385"/>
      <c r="O152" s="1385"/>
      <c r="P152" s="1385"/>
      <c r="Q152" s="1385"/>
      <c r="R152" s="1864"/>
      <c r="S152" s="1385"/>
      <c r="T152" s="1385"/>
      <c r="U152" s="767"/>
      <c r="V152" s="1385"/>
      <c r="W152" s="1385"/>
      <c r="X152" s="1385"/>
      <c r="Y152" s="1385"/>
      <c r="Z152" s="1385"/>
      <c r="AA152" s="1860"/>
      <c r="AB152" s="789"/>
      <c r="AC152" s="789"/>
      <c r="AD152" s="789"/>
      <c r="AE152" s="789"/>
    </row>
    <row s="13656" customFormat="1" customHeight="1" ht="11.25">
      <c r="A153" s="1211"/>
      <c r="B153" s="1864"/>
      <c r="C153" s="1864"/>
      <c r="D153" s="574"/>
      <c r="K153" s="1385"/>
      <c r="L153" s="1864"/>
      <c r="M153" s="1864"/>
      <c r="N153" s="1385"/>
      <c r="O153" s="1385"/>
      <c r="P153" s="1385"/>
      <c r="Q153" s="1385"/>
      <c r="R153" s="1864"/>
      <c r="S153" s="1385"/>
      <c r="T153" s="1385"/>
      <c r="U153" s="767"/>
      <c r="V153" s="1385"/>
      <c r="W153" s="1385"/>
      <c r="X153" s="1385"/>
      <c r="Y153" s="1385"/>
      <c r="Z153" s="1385"/>
      <c r="AA153" s="1860"/>
      <c r="AB153" s="789"/>
      <c r="AC153" s="789"/>
      <c r="AD153" s="789"/>
      <c r="AE153" s="789"/>
    </row>
    <row s="13656" customFormat="1" customHeight="1" ht="11.25">
      <c r="A154" s="1211"/>
      <c r="B154" s="1864"/>
      <c r="C154" s="1864"/>
      <c r="D154" s="574"/>
      <c r="K154" s="1385"/>
      <c r="L154" s="1864"/>
      <c r="M154" s="1864"/>
      <c r="N154" s="1385"/>
      <c r="O154" s="1385"/>
      <c r="P154" s="1385"/>
      <c r="Q154" s="1385"/>
      <c r="R154" s="1864"/>
      <c r="S154" s="1385"/>
      <c r="T154" s="1385"/>
      <c r="U154" s="767"/>
      <c r="V154" s="1385"/>
      <c r="W154" s="1385"/>
      <c r="X154" s="1385"/>
      <c r="Y154" s="1385"/>
      <c r="Z154" s="1385"/>
      <c r="AA154" s="1860"/>
      <c r="AB154" s="789"/>
      <c r="AC154" s="789"/>
      <c r="AD154" s="789"/>
      <c r="AE154" s="789"/>
    </row>
    <row s="13656" customFormat="1" customHeight="1" ht="11.25">
      <c r="A155" s="1211"/>
      <c r="B155" s="1864"/>
      <c r="C155" s="1864"/>
      <c r="D155" s="574"/>
      <c r="K155" s="1385"/>
      <c r="L155" s="1864"/>
      <c r="M155" s="1864"/>
      <c r="N155" s="1385"/>
      <c r="O155" s="1385"/>
      <c r="P155" s="1385"/>
      <c r="Q155" s="1385"/>
      <c r="R155" s="1864"/>
      <c r="S155" s="1385"/>
      <c r="T155" s="1385"/>
      <c r="U155" s="767"/>
      <c r="V155" s="1385"/>
      <c r="W155" s="1385"/>
      <c r="X155" s="1385"/>
      <c r="Y155" s="1385"/>
      <c r="Z155" s="1385"/>
      <c r="AA155" s="1860"/>
      <c r="AB155" s="789"/>
      <c r="AC155" s="789"/>
      <c r="AD155" s="789"/>
      <c r="AE155" s="789"/>
    </row>
    <row s="13656" customFormat="1" customHeight="1" ht="11.25">
      <c r="A156" s="1211"/>
      <c r="B156" s="1864"/>
      <c r="C156" s="1864"/>
      <c r="D156" s="574"/>
      <c r="K156" s="1385"/>
      <c r="L156" s="1864"/>
      <c r="M156" s="1864"/>
      <c r="N156" s="1385"/>
      <c r="O156" s="1385"/>
      <c r="P156" s="1385"/>
      <c r="Q156" s="1385"/>
      <c r="R156" s="1864"/>
      <c r="S156" s="1385"/>
      <c r="T156" s="1385"/>
      <c r="U156" s="767"/>
      <c r="V156" s="1385"/>
      <c r="W156" s="1385"/>
      <c r="X156" s="1385"/>
      <c r="Y156" s="1385"/>
      <c r="Z156" s="1385"/>
      <c r="AA156" s="1860"/>
      <c r="AB156" s="789"/>
      <c r="AC156" s="789"/>
      <c r="AD156" s="789"/>
      <c r="AE156" s="789"/>
    </row>
    <row s="13656" customFormat="1" customHeight="1" ht="11.25">
      <c r="A157" s="1211"/>
      <c r="B157" s="1864"/>
      <c r="C157" s="1864"/>
      <c r="D157" s="574"/>
      <c r="K157" s="1385"/>
      <c r="L157" s="1864"/>
      <c r="M157" s="1864"/>
      <c r="N157" s="1385"/>
      <c r="O157" s="1385"/>
      <c r="P157" s="1385"/>
      <c r="Q157" s="1385"/>
      <c r="R157" s="1864"/>
      <c r="S157" s="1385"/>
      <c r="T157" s="1385"/>
      <c r="U157" s="767"/>
      <c r="V157" s="1385"/>
      <c r="W157" s="1385"/>
      <c r="X157" s="1385"/>
      <c r="Y157" s="1385"/>
      <c r="Z157" s="1385"/>
      <c r="AA157" s="1860"/>
      <c r="AB157" s="789"/>
      <c r="AC157" s="789"/>
      <c r="AD157" s="789"/>
      <c r="AE157" s="789"/>
    </row>
    <row s="13656" customFormat="1" customHeight="1" ht="11.25">
      <c r="A158" s="1211"/>
      <c r="B158" s="1864"/>
      <c r="C158" s="1864"/>
      <c r="D158" s="574"/>
      <c r="K158" s="1385"/>
      <c r="L158" s="1864"/>
      <c r="M158" s="1864"/>
      <c r="N158" s="1385"/>
      <c r="O158" s="1385"/>
      <c r="P158" s="1385"/>
      <c r="Q158" s="1385"/>
      <c r="R158" s="1864"/>
      <c r="S158" s="1385"/>
      <c r="T158" s="1385"/>
      <c r="U158" s="767"/>
      <c r="V158" s="1385"/>
      <c r="W158" s="1385"/>
      <c r="X158" s="1385"/>
      <c r="Y158" s="1385"/>
      <c r="Z158" s="1385"/>
      <c r="AA158" s="1860"/>
      <c r="AB158" s="789"/>
      <c r="AC158" s="789"/>
      <c r="AD158" s="789"/>
      <c r="AE158" s="789"/>
    </row>
    <row s="13656" customFormat="1" customHeight="1" ht="11.25">
      <c r="A159" s="1211"/>
      <c r="B159" s="1864"/>
      <c r="C159" s="1864"/>
      <c r="D159" s="574"/>
      <c r="K159" s="1385"/>
      <c r="L159" s="1864"/>
      <c r="M159" s="1864"/>
      <c r="N159" s="1385"/>
      <c r="O159" s="1385"/>
      <c r="P159" s="1385"/>
      <c r="Q159" s="1385"/>
      <c r="R159" s="1864"/>
      <c r="S159" s="1385"/>
      <c r="T159" s="1385"/>
      <c r="U159" s="767"/>
      <c r="V159" s="1385"/>
      <c r="W159" s="1385"/>
      <c r="X159" s="1385"/>
      <c r="Y159" s="1385"/>
      <c r="Z159" s="1385"/>
      <c r="AA159" s="1860"/>
      <c r="AB159" s="789"/>
      <c r="AC159" s="789"/>
      <c r="AD159" s="789"/>
      <c r="AE159" s="789"/>
    </row>
    <row s="13656" customFormat="1" customHeight="1" ht="11.25">
      <c r="A160" s="1211"/>
      <c r="B160" s="1864"/>
      <c r="C160" s="1864"/>
      <c r="D160" s="574"/>
      <c r="K160" s="1385"/>
      <c r="L160" s="1864"/>
      <c r="M160" s="1864"/>
      <c r="N160" s="1385"/>
      <c r="O160" s="1385"/>
      <c r="P160" s="1385"/>
      <c r="Q160" s="1385"/>
      <c r="R160" s="1864"/>
      <c r="S160" s="1385"/>
      <c r="T160" s="1385"/>
      <c r="U160" s="767"/>
      <c r="V160" s="1385"/>
      <c r="W160" s="1385"/>
      <c r="X160" s="1385"/>
      <c r="Y160" s="1385"/>
      <c r="Z160" s="1385"/>
      <c r="AA160" s="1860"/>
      <c r="AB160" s="789"/>
      <c r="AC160" s="789"/>
      <c r="AD160" s="789"/>
      <c r="AE160" s="789"/>
    </row>
    <row s="13656" customFormat="1" customHeight="1" ht="11.25">
      <c r="A161" s="1211"/>
      <c r="B161" s="1864"/>
      <c r="C161" s="1864"/>
      <c r="D161" s="574"/>
      <c r="K161" s="1385"/>
      <c r="L161" s="1864"/>
      <c r="M161" s="1864"/>
      <c r="N161" s="1385"/>
      <c r="O161" s="1385"/>
      <c r="P161" s="1385"/>
      <c r="Q161" s="1385"/>
      <c r="R161" s="1864"/>
      <c r="S161" s="1385"/>
      <c r="T161" s="1385"/>
      <c r="U161" s="767"/>
      <c r="V161" s="1385"/>
      <c r="W161" s="1385"/>
      <c r="X161" s="1385"/>
      <c r="Y161" s="1385"/>
      <c r="Z161" s="1385"/>
      <c r="AA161" s="1860"/>
      <c r="AB161" s="789"/>
      <c r="AC161" s="789"/>
      <c r="AD161" s="789"/>
      <c r="AE161" s="789"/>
    </row>
    <row s="13656" customFormat="1" customHeight="1" ht="11.25">
      <c r="A162" s="1211"/>
      <c r="B162" s="1864"/>
      <c r="C162" s="1864"/>
      <c r="D162" s="574"/>
      <c r="K162" s="1385"/>
      <c r="L162" s="1864"/>
      <c r="M162" s="1864"/>
      <c r="N162" s="1385"/>
      <c r="O162" s="1385"/>
      <c r="P162" s="1385"/>
      <c r="Q162" s="1385"/>
      <c r="R162" s="1864"/>
      <c r="S162" s="1385"/>
      <c r="T162" s="1385"/>
      <c r="U162" s="767"/>
      <c r="V162" s="1385"/>
      <c r="W162" s="1385"/>
      <c r="X162" s="1385"/>
      <c r="Y162" s="1385"/>
      <c r="Z162" s="1385"/>
      <c r="AA162" s="1860"/>
      <c r="AB162" s="789"/>
      <c r="AC162" s="789"/>
      <c r="AD162" s="789"/>
      <c r="AE162" s="789"/>
    </row>
    <row s="13656" customFormat="1" customHeight="1" ht="11.25">
      <c r="A163" s="1211"/>
      <c r="B163" s="1864"/>
      <c r="C163" s="1864"/>
      <c r="D163" s="574"/>
      <c r="K163" s="1385"/>
      <c r="L163" s="1864"/>
      <c r="M163" s="1864"/>
      <c r="N163" s="1385"/>
      <c r="O163" s="1385"/>
      <c r="P163" s="1385"/>
      <c r="Q163" s="1385"/>
      <c r="R163" s="1864"/>
      <c r="S163" s="1385"/>
      <c r="T163" s="1385"/>
      <c r="U163" s="767"/>
      <c r="V163" s="1385"/>
      <c r="W163" s="1385"/>
      <c r="X163" s="1385"/>
      <c r="Y163" s="1385"/>
      <c r="Z163" s="1385"/>
      <c r="AA163" s="1860"/>
      <c r="AB163" s="789"/>
      <c r="AC163" s="789"/>
      <c r="AD163" s="789"/>
      <c r="AE163" s="789"/>
    </row>
    <row s="13656" customFormat="1" customHeight="1" ht="11.25">
      <c r="A164" s="1211"/>
      <c r="B164" s="1864"/>
      <c r="C164" s="1864"/>
      <c r="D164" s="574"/>
      <c r="K164" s="1385"/>
      <c r="L164" s="1864"/>
      <c r="M164" s="1864"/>
      <c r="N164" s="1385"/>
      <c r="O164" s="1385"/>
      <c r="P164" s="1385"/>
      <c r="Q164" s="1385"/>
      <c r="R164" s="1864"/>
      <c r="S164" s="1385"/>
      <c r="T164" s="1385"/>
      <c r="U164" s="767"/>
      <c r="V164" s="1385"/>
      <c r="W164" s="1385"/>
      <c r="X164" s="1385"/>
      <c r="Y164" s="1385"/>
      <c r="Z164" s="1385"/>
      <c r="AA164" s="1860"/>
      <c r="AB164" s="789"/>
      <c r="AC164" s="789"/>
      <c r="AD164" s="789"/>
      <c r="AE164" s="789"/>
    </row>
    <row s="13656" customFormat="1" customHeight="1" ht="11.25">
      <c r="A165" s="1211"/>
      <c r="B165" s="1864"/>
      <c r="C165" s="1864"/>
      <c r="D165" s="574"/>
      <c r="K165" s="1385"/>
      <c r="L165" s="1864"/>
      <c r="M165" s="1864"/>
      <c r="N165" s="1385"/>
      <c r="O165" s="1385"/>
      <c r="P165" s="1385"/>
      <c r="Q165" s="1385"/>
      <c r="R165" s="1864"/>
      <c r="S165" s="1385"/>
      <c r="T165" s="1385"/>
      <c r="U165" s="767"/>
      <c r="V165" s="1385"/>
      <c r="W165" s="1385"/>
      <c r="X165" s="1385"/>
      <c r="Y165" s="1385"/>
      <c r="Z165" s="1385"/>
      <c r="AA165" s="1860"/>
      <c r="AB165" s="789"/>
      <c r="AC165" s="789"/>
      <c r="AD165" s="789"/>
      <c r="AE165" s="789"/>
    </row>
    <row s="13656" customFormat="1" customHeight="1" ht="11.25">
      <c r="A166" s="1211"/>
      <c r="B166" s="1864"/>
      <c r="C166" s="1864"/>
      <c r="D166" s="574"/>
      <c r="K166" s="1385"/>
      <c r="L166" s="1864"/>
      <c r="M166" s="1864"/>
      <c r="N166" s="1385"/>
      <c r="O166" s="1385"/>
      <c r="P166" s="1385"/>
      <c r="Q166" s="1385"/>
      <c r="R166" s="1864"/>
      <c r="S166" s="1385"/>
      <c r="T166" s="1385"/>
      <c r="U166" s="767"/>
      <c r="V166" s="1385"/>
      <c r="W166" s="1385"/>
      <c r="X166" s="1385"/>
      <c r="Y166" s="1385"/>
      <c r="Z166" s="1385"/>
      <c r="AA166" s="1860"/>
      <c r="AB166" s="789"/>
      <c r="AC166" s="789"/>
      <c r="AD166" s="789"/>
      <c r="AE166" s="789"/>
    </row>
    <row s="13656" customFormat="1" customHeight="1" ht="11.25">
      <c r="A167" s="1211"/>
      <c r="B167" s="1864"/>
      <c r="C167" s="1864"/>
      <c r="D167" s="574"/>
      <c r="K167" s="1385"/>
      <c r="L167" s="1864"/>
      <c r="M167" s="1864"/>
      <c r="N167" s="1385"/>
      <c r="O167" s="1385"/>
      <c r="P167" s="1385"/>
      <c r="Q167" s="1385"/>
      <c r="R167" s="1864"/>
      <c r="S167" s="1385"/>
      <c r="T167" s="1385"/>
      <c r="U167" s="767"/>
      <c r="V167" s="1385"/>
      <c r="W167" s="1385"/>
      <c r="X167" s="1385"/>
      <c r="Y167" s="1385"/>
      <c r="Z167" s="1385"/>
      <c r="AA167" s="1860"/>
      <c r="AB167" s="789"/>
      <c r="AC167" s="789"/>
      <c r="AD167" s="789"/>
      <c r="AE167" s="789"/>
    </row>
    <row s="13656" customFormat="1" customHeight="1" ht="11.25">
      <c r="A168" s="1211"/>
      <c r="B168" s="1864"/>
      <c r="C168" s="1864"/>
      <c r="D168" s="574"/>
      <c r="K168" s="1385"/>
      <c r="L168" s="1864"/>
      <c r="M168" s="1864"/>
      <c r="N168" s="1385"/>
      <c r="O168" s="1385"/>
      <c r="P168" s="1385"/>
      <c r="Q168" s="1385"/>
      <c r="R168" s="1864"/>
      <c r="S168" s="1385"/>
      <c r="T168" s="1385"/>
      <c r="U168" s="767"/>
      <c r="V168" s="1385"/>
      <c r="W168" s="1385"/>
      <c r="X168" s="1385"/>
      <c r="Y168" s="1385"/>
      <c r="Z168" s="1385"/>
      <c r="AA168" s="1860"/>
      <c r="AB168" s="789"/>
      <c r="AC168" s="789"/>
      <c r="AD168" s="789"/>
      <c r="AE168" s="789"/>
    </row>
    <row s="13656" customFormat="1" customHeight="1" ht="11.25">
      <c r="A169" s="1211"/>
      <c r="B169" s="1864"/>
      <c r="C169" s="1864"/>
      <c r="D169" s="574"/>
      <c r="K169" s="1385"/>
      <c r="L169" s="1864"/>
      <c r="M169" s="1864"/>
      <c r="N169" s="1385"/>
      <c r="O169" s="1385"/>
      <c r="P169" s="1385"/>
      <c r="Q169" s="1385"/>
      <c r="R169" s="1864"/>
      <c r="S169" s="1385"/>
      <c r="T169" s="1385"/>
      <c r="U169" s="767"/>
      <c r="V169" s="1385"/>
      <c r="W169" s="1385"/>
      <c r="X169" s="1385"/>
      <c r="Y169" s="1385"/>
      <c r="Z169" s="1385"/>
      <c r="AA169" s="1860"/>
      <c r="AB169" s="789"/>
      <c r="AC169" s="789"/>
      <c r="AD169" s="789"/>
      <c r="AE169" s="789"/>
    </row>
    <row s="13656" customFormat="1" customHeight="1" ht="11.25">
      <c r="A170" s="1211"/>
      <c r="B170" s="1864"/>
      <c r="C170" s="1864"/>
      <c r="D170" s="574"/>
      <c r="K170" s="1385"/>
      <c r="L170" s="1864"/>
      <c r="M170" s="1864"/>
      <c r="N170" s="1385"/>
      <c r="O170" s="1385"/>
      <c r="P170" s="1385"/>
      <c r="Q170" s="1385"/>
      <c r="R170" s="1864"/>
      <c r="S170" s="1385"/>
      <c r="T170" s="1385"/>
      <c r="U170" s="767"/>
      <c r="V170" s="1385"/>
      <c r="W170" s="1385"/>
      <c r="X170" s="1385"/>
      <c r="Y170" s="1385"/>
      <c r="Z170" s="1385"/>
      <c r="AA170" s="1860"/>
      <c r="AB170" s="789"/>
      <c r="AC170" s="789"/>
      <c r="AD170" s="789"/>
      <c r="AE170" s="789"/>
    </row>
    <row s="13656" customFormat="1" customHeight="1" ht="11.25">
      <c r="A171" s="1211"/>
      <c r="B171" s="1864"/>
      <c r="C171" s="1864"/>
      <c r="D171" s="574"/>
      <c r="K171" s="1385"/>
      <c r="L171" s="1864"/>
      <c r="M171" s="1864"/>
      <c r="N171" s="1385"/>
      <c r="O171" s="1385"/>
      <c r="P171" s="1385"/>
      <c r="Q171" s="1385"/>
      <c r="R171" s="1864"/>
      <c r="S171" s="1385"/>
      <c r="T171" s="1385"/>
      <c r="U171" s="767"/>
      <c r="V171" s="1385"/>
      <c r="W171" s="1385"/>
      <c r="X171" s="1385"/>
      <c r="Y171" s="1385"/>
      <c r="Z171" s="1385"/>
      <c r="AA171" s="1860"/>
      <c r="AB171" s="789"/>
      <c r="AC171" s="789"/>
      <c r="AD171" s="789"/>
      <c r="AE171" s="789"/>
    </row>
    <row s="13656" customFormat="1" customHeight="1" ht="11.25">
      <c r="A172" s="1211"/>
      <c r="B172" s="1864"/>
      <c r="C172" s="1864"/>
      <c r="D172" s="574"/>
      <c r="K172" s="1385"/>
      <c r="L172" s="1864"/>
      <c r="M172" s="1864"/>
      <c r="N172" s="1385"/>
      <c r="O172" s="1385"/>
      <c r="P172" s="1385"/>
      <c r="Q172" s="1385"/>
      <c r="R172" s="1864"/>
      <c r="S172" s="1385"/>
      <c r="T172" s="1385"/>
      <c r="U172" s="767"/>
      <c r="V172" s="1385"/>
      <c r="W172" s="1385"/>
      <c r="X172" s="1385"/>
      <c r="Y172" s="1385"/>
      <c r="Z172" s="1385"/>
      <c r="AA172" s="1860"/>
      <c r="AB172" s="789"/>
      <c r="AC172" s="789"/>
      <c r="AD172" s="789"/>
      <c r="AE172" s="789"/>
    </row>
    <row s="13656" customFormat="1" customHeight="1" ht="11.25">
      <c r="A173" s="1211"/>
      <c r="B173" s="1864"/>
      <c r="C173" s="1864"/>
      <c r="D173" s="574"/>
      <c r="K173" s="1385"/>
      <c r="L173" s="1864"/>
      <c r="M173" s="1864"/>
      <c r="N173" s="1385"/>
      <c r="O173" s="1385"/>
      <c r="P173" s="1385"/>
      <c r="Q173" s="1385"/>
      <c r="R173" s="1864"/>
      <c r="S173" s="1385"/>
      <c r="T173" s="1385"/>
      <c r="U173" s="767"/>
      <c r="V173" s="1385"/>
      <c r="W173" s="1385"/>
      <c r="X173" s="1385"/>
      <c r="Y173" s="1385"/>
      <c r="Z173" s="1385"/>
      <c r="AA173" s="1860"/>
      <c r="AB173" s="789"/>
      <c r="AC173" s="789"/>
      <c r="AD173" s="789"/>
      <c r="AE173" s="789"/>
    </row>
    <row s="13656" customFormat="1" customHeight="1" ht="11.25">
      <c r="A174" s="1211"/>
      <c r="B174" s="1864"/>
      <c r="C174" s="1864"/>
      <c r="D174" s="574"/>
      <c r="K174" s="1385"/>
      <c r="L174" s="1864"/>
      <c r="M174" s="1864"/>
      <c r="N174" s="1385"/>
      <c r="O174" s="1385"/>
      <c r="P174" s="1385"/>
      <c r="Q174" s="1385"/>
      <c r="R174" s="1864"/>
      <c r="S174" s="1385"/>
      <c r="T174" s="1385"/>
      <c r="U174" s="767"/>
      <c r="V174" s="1385"/>
      <c r="W174" s="1385"/>
      <c r="X174" s="1385"/>
      <c r="Y174" s="1385"/>
      <c r="Z174" s="1385"/>
      <c r="AA174" s="1860"/>
      <c r="AB174" s="789"/>
      <c r="AC174" s="789"/>
      <c r="AD174" s="789"/>
      <c r="AE174" s="789"/>
    </row>
    <row s="13656" customFormat="1" customHeight="1" ht="11.25">
      <c r="A175" s="1211"/>
      <c r="B175" s="1864"/>
      <c r="C175" s="1864"/>
      <c r="D175" s="574"/>
      <c r="K175" s="1385"/>
      <c r="L175" s="1864"/>
      <c r="M175" s="1864"/>
      <c r="N175" s="1385"/>
      <c r="O175" s="1385"/>
      <c r="P175" s="1385"/>
      <c r="Q175" s="1385"/>
      <c r="R175" s="1864"/>
      <c r="S175" s="1385"/>
      <c r="T175" s="1385"/>
      <c r="U175" s="767"/>
      <c r="V175" s="1385"/>
      <c r="W175" s="1385"/>
      <c r="X175" s="1385"/>
      <c r="Y175" s="1385"/>
      <c r="Z175" s="1385"/>
      <c r="AA175" s="1860"/>
      <c r="AB175" s="789"/>
      <c r="AC175" s="789"/>
      <c r="AD175" s="789"/>
      <c r="AE175" s="789"/>
    </row>
    <row s="13656" customFormat="1" customHeight="1" ht="11.25">
      <c r="A176" s="1211"/>
      <c r="B176" s="1864"/>
      <c r="C176" s="1864"/>
      <c r="D176" s="574"/>
      <c r="K176" s="1385"/>
      <c r="L176" s="1864"/>
      <c r="M176" s="1864"/>
      <c r="N176" s="1385"/>
      <c r="O176" s="1385"/>
      <c r="P176" s="1385"/>
      <c r="Q176" s="1385"/>
      <c r="R176" s="1864"/>
      <c r="S176" s="1385"/>
      <c r="T176" s="1385"/>
      <c r="U176" s="767"/>
      <c r="V176" s="1385"/>
      <c r="W176" s="1385"/>
      <c r="X176" s="1385"/>
      <c r="Y176" s="1385"/>
      <c r="Z176" s="1385"/>
      <c r="AA176" s="1860"/>
      <c r="AB176" s="789"/>
      <c r="AC176" s="789"/>
      <c r="AD176" s="789"/>
      <c r="AE176" s="789"/>
    </row>
    <row s="13656" customFormat="1" customHeight="1" ht="11.25">
      <c r="A177" s="1211"/>
      <c r="B177" s="1864"/>
      <c r="C177" s="1864"/>
      <c r="D177" s="574"/>
      <c r="K177" s="1385"/>
      <c r="L177" s="1864"/>
      <c r="M177" s="1864"/>
      <c r="N177" s="1385"/>
      <c r="O177" s="1385"/>
      <c r="P177" s="1385"/>
      <c r="Q177" s="1385"/>
      <c r="R177" s="1864"/>
      <c r="S177" s="1385"/>
      <c r="T177" s="1385"/>
      <c r="U177" s="767"/>
      <c r="V177" s="1385"/>
      <c r="W177" s="1385"/>
      <c r="X177" s="1385"/>
      <c r="Y177" s="1385"/>
      <c r="Z177" s="1385"/>
      <c r="AA177" s="1860"/>
      <c r="AB177" s="789"/>
      <c r="AC177" s="789"/>
      <c r="AD177" s="789"/>
      <c r="AE177" s="789"/>
    </row>
    <row s="13656" customFormat="1" customHeight="1" ht="11.25">
      <c r="A178" s="1211"/>
      <c r="B178" s="1864"/>
      <c r="C178" s="1864"/>
      <c r="D178" s="574"/>
      <c r="K178" s="1385"/>
      <c r="L178" s="1864"/>
      <c r="M178" s="1864"/>
      <c r="N178" s="1385"/>
      <c r="O178" s="1385"/>
      <c r="P178" s="1385"/>
      <c r="Q178" s="1385"/>
      <c r="R178" s="1864"/>
      <c r="S178" s="1385"/>
      <c r="T178" s="1385"/>
      <c r="U178" s="767"/>
      <c r="V178" s="1385"/>
      <c r="W178" s="1385"/>
      <c r="X178" s="1385"/>
      <c r="Y178" s="1385"/>
      <c r="Z178" s="1385"/>
      <c r="AA178" s="1860"/>
      <c r="AB178" s="789"/>
      <c r="AC178" s="789"/>
      <c r="AD178" s="789"/>
      <c r="AE178" s="789"/>
    </row>
    <row s="13656" customFormat="1" customHeight="1" ht="11.25">
      <c r="A179" s="1211"/>
      <c r="B179" s="1864"/>
      <c r="C179" s="1864"/>
      <c r="D179" s="574"/>
      <c r="K179" s="1385"/>
      <c r="L179" s="1864"/>
      <c r="M179" s="1864"/>
      <c r="N179" s="1385"/>
      <c r="O179" s="1385"/>
      <c r="P179" s="1385"/>
      <c r="Q179" s="1385"/>
      <c r="R179" s="1864"/>
      <c r="S179" s="1385"/>
      <c r="T179" s="1385"/>
      <c r="U179" s="767"/>
      <c r="V179" s="1385"/>
      <c r="W179" s="1385"/>
      <c r="X179" s="1385"/>
      <c r="Y179" s="1385"/>
      <c r="Z179" s="1385"/>
      <c r="AA179" s="1860"/>
      <c r="AB179" s="789"/>
      <c r="AC179" s="789"/>
      <c r="AD179" s="789"/>
      <c r="AE179" s="789"/>
    </row>
    <row s="13656" customFormat="1" customHeight="1" ht="11.25">
      <c r="A180" s="1211"/>
      <c r="B180" s="1864"/>
      <c r="C180" s="1864"/>
      <c r="D180" s="574"/>
      <c r="K180" s="1385"/>
      <c r="L180" s="1864"/>
      <c r="M180" s="1864"/>
      <c r="N180" s="1385"/>
      <c r="O180" s="1385"/>
      <c r="P180" s="1385"/>
      <c r="Q180" s="1385"/>
      <c r="R180" s="1864"/>
      <c r="S180" s="1385"/>
      <c r="T180" s="1385"/>
      <c r="U180" s="767"/>
      <c r="V180" s="1385"/>
      <c r="W180" s="1385"/>
      <c r="X180" s="1385"/>
      <c r="Y180" s="1385"/>
      <c r="Z180" s="1385"/>
      <c r="AA180" s="1860"/>
      <c r="AB180" s="789"/>
      <c r="AC180" s="789"/>
      <c r="AD180" s="789"/>
      <c r="AE180" s="789"/>
    </row>
    <row s="13656" customFormat="1" customHeight="1" ht="11.25">
      <c r="A181" s="1211"/>
      <c r="B181" s="1864"/>
      <c r="C181" s="1864"/>
      <c r="D181" s="574"/>
      <c r="K181" s="1385"/>
      <c r="L181" s="1864"/>
      <c r="M181" s="1864"/>
      <c r="N181" s="1385"/>
      <c r="O181" s="1385"/>
      <c r="P181" s="1385"/>
      <c r="Q181" s="1385"/>
      <c r="R181" s="1864"/>
      <c r="S181" s="1385"/>
      <c r="T181" s="1385"/>
      <c r="U181" s="767"/>
      <c r="V181" s="1385"/>
      <c r="W181" s="1385"/>
      <c r="X181" s="1385"/>
      <c r="Y181" s="1385"/>
      <c r="Z181" s="1385"/>
      <c r="AA181" s="1860"/>
      <c r="AB181" s="789"/>
      <c r="AC181" s="789"/>
      <c r="AD181" s="789"/>
      <c r="AE181" s="789"/>
    </row>
    <row s="13656" customFormat="1" customHeight="1" ht="11.25">
      <c r="A182" s="1211"/>
      <c r="B182" s="1864"/>
      <c r="C182" s="1864"/>
      <c r="D182" s="574"/>
      <c r="K182" s="1385"/>
      <c r="L182" s="1864"/>
      <c r="M182" s="1864"/>
      <c r="N182" s="1385"/>
      <c r="O182" s="1385"/>
      <c r="P182" s="1385"/>
      <c r="Q182" s="1385"/>
      <c r="R182" s="1864"/>
      <c r="S182" s="1385"/>
      <c r="T182" s="1385"/>
      <c r="U182" s="767"/>
      <c r="V182" s="1385"/>
      <c r="W182" s="1385"/>
      <c r="X182" s="1385"/>
      <c r="Y182" s="1385"/>
      <c r="Z182" s="1385"/>
      <c r="AA182" s="1860"/>
      <c r="AB182" s="789"/>
      <c r="AC182" s="789"/>
      <c r="AD182" s="789"/>
      <c r="AE182" s="789"/>
    </row>
    <row s="13656" customFormat="1" customHeight="1" ht="11.25">
      <c r="A183" s="1211"/>
      <c r="B183" s="1864"/>
      <c r="C183" s="1864"/>
      <c r="D183" s="574"/>
      <c r="K183" s="1385"/>
      <c r="L183" s="1864"/>
      <c r="M183" s="1864"/>
      <c r="N183" s="1385"/>
      <c r="O183" s="1385"/>
      <c r="P183" s="1385"/>
      <c r="Q183" s="1385"/>
      <c r="R183" s="1864"/>
      <c r="S183" s="1385"/>
      <c r="T183" s="1385"/>
      <c r="U183" s="767"/>
      <c r="V183" s="1385"/>
      <c r="W183" s="1385"/>
      <c r="X183" s="1385"/>
      <c r="Y183" s="1385"/>
      <c r="Z183" s="1385"/>
      <c r="AA183" s="1860"/>
      <c r="AB183" s="789"/>
      <c r="AC183" s="789"/>
      <c r="AD183" s="789"/>
      <c r="AE183" s="789"/>
    </row>
    <row s="13656" customFormat="1" customHeight="1" ht="11.25">
      <c r="A184" s="1211"/>
      <c r="B184" s="1864"/>
      <c r="C184" s="1864"/>
      <c r="D184" s="574"/>
      <c r="K184" s="1385"/>
      <c r="L184" s="1864"/>
      <c r="M184" s="1864"/>
      <c r="N184" s="1385"/>
      <c r="O184" s="1385"/>
      <c r="P184" s="1385"/>
      <c r="Q184" s="1385"/>
      <c r="R184" s="1864"/>
      <c r="S184" s="1385"/>
      <c r="T184" s="1385"/>
      <c r="U184" s="767"/>
      <c r="V184" s="1385"/>
      <c r="W184" s="1385"/>
      <c r="X184" s="1385"/>
      <c r="Y184" s="1385"/>
      <c r="Z184" s="1385"/>
      <c r="AA184" s="1860"/>
      <c r="AB184" s="789"/>
      <c r="AC184" s="789"/>
      <c r="AD184" s="789"/>
      <c r="AE184" s="789"/>
    </row>
    <row s="13656" customFormat="1" customHeight="1" ht="11.25">
      <c r="A185" s="1211"/>
      <c r="B185" s="1864"/>
      <c r="C185" s="1864"/>
      <c r="D185" s="574"/>
      <c r="K185" s="1385"/>
      <c r="L185" s="1864"/>
      <c r="M185" s="1864"/>
      <c r="N185" s="1385"/>
      <c r="O185" s="1385"/>
      <c r="P185" s="1385"/>
      <c r="Q185" s="1385"/>
      <c r="R185" s="1864"/>
      <c r="S185" s="1385"/>
      <c r="T185" s="1385"/>
      <c r="U185" s="767"/>
      <c r="V185" s="1385"/>
      <c r="W185" s="1385"/>
      <c r="X185" s="1385"/>
      <c r="Y185" s="1385"/>
      <c r="Z185" s="1385"/>
      <c r="AA185" s="1860"/>
      <c r="AB185" s="789"/>
      <c r="AC185" s="789"/>
      <c r="AD185" s="789"/>
      <c r="AE185" s="789"/>
    </row>
    <row s="13656" customFormat="1" customHeight="1" ht="11.25">
      <c r="A186" s="1211"/>
      <c r="B186" s="1864"/>
      <c r="C186" s="1864"/>
      <c r="D186" s="574"/>
      <c r="K186" s="1385"/>
      <c r="L186" s="1864"/>
      <c r="M186" s="1864"/>
      <c r="N186" s="1385"/>
      <c r="O186" s="1385"/>
      <c r="P186" s="1385"/>
      <c r="Q186" s="1385"/>
      <c r="R186" s="1864"/>
      <c r="S186" s="1385"/>
      <c r="T186" s="1385"/>
      <c r="U186" s="767"/>
      <c r="V186" s="1385"/>
      <c r="W186" s="1385"/>
      <c r="X186" s="1385"/>
      <c r="Y186" s="1385"/>
      <c r="Z186" s="1385"/>
      <c r="AA186" s="1860"/>
      <c r="AB186" s="789"/>
      <c r="AC186" s="789"/>
      <c r="AD186" s="789"/>
      <c r="AE186" s="789"/>
    </row>
    <row s="13656" customFormat="1" customHeight="1" ht="11.25">
      <c r="A187" s="1211"/>
      <c r="B187" s="1864"/>
      <c r="C187" s="1864"/>
      <c r="D187" s="574"/>
      <c r="K187" s="1385"/>
      <c r="L187" s="1864"/>
      <c r="M187" s="1864"/>
      <c r="N187" s="1385"/>
      <c r="O187" s="1385"/>
      <c r="P187" s="1385"/>
      <c r="Q187" s="1385"/>
      <c r="R187" s="1864"/>
      <c r="S187" s="1385"/>
      <c r="T187" s="1385"/>
      <c r="U187" s="767"/>
      <c r="V187" s="1385"/>
      <c r="W187" s="1385"/>
      <c r="X187" s="1385"/>
      <c r="Y187" s="1385"/>
      <c r="Z187" s="1385"/>
      <c r="AA187" s="1860"/>
      <c r="AB187" s="789"/>
      <c r="AC187" s="789"/>
      <c r="AD187" s="789"/>
      <c r="AE187" s="789"/>
    </row>
    <row s="13656" customFormat="1" customHeight="1" ht="11.25">
      <c r="A188" s="1211"/>
      <c r="B188" s="1864"/>
      <c r="C188" s="1864"/>
      <c r="D188" s="574"/>
      <c r="K188" s="1385"/>
      <c r="L188" s="1864"/>
      <c r="M188" s="1864"/>
      <c r="N188" s="1385"/>
      <c r="O188" s="1385"/>
      <c r="P188" s="1385"/>
      <c r="Q188" s="1385"/>
      <c r="R188" s="1864"/>
      <c r="S188" s="1385"/>
      <c r="T188" s="1385"/>
      <c r="U188" s="767"/>
      <c r="V188" s="1385"/>
      <c r="W188" s="1385"/>
      <c r="X188" s="1385"/>
      <c r="Y188" s="1385"/>
      <c r="Z188" s="1385"/>
      <c r="AA188" s="1860"/>
      <c r="AB188" s="789"/>
      <c r="AC188" s="789"/>
      <c r="AD188" s="789"/>
      <c r="AE188" s="789"/>
    </row>
    <row s="13656" customFormat="1" customHeight="1" ht="11.25">
      <c r="A189" s="1211"/>
      <c r="B189" s="1864"/>
      <c r="C189" s="1864"/>
      <c r="D189" s="574"/>
      <c r="K189" s="1385"/>
      <c r="L189" s="1864"/>
      <c r="M189" s="1864"/>
      <c r="N189" s="1385"/>
      <c r="O189" s="1385"/>
      <c r="P189" s="1385"/>
      <c r="Q189" s="1385"/>
      <c r="R189" s="1864"/>
      <c r="S189" s="1385"/>
      <c r="T189" s="1385"/>
      <c r="U189" s="767"/>
      <c r="V189" s="1385"/>
      <c r="W189" s="1385"/>
      <c r="X189" s="1385"/>
      <c r="Y189" s="1385"/>
      <c r="Z189" s="1385"/>
      <c r="AA189" s="1860"/>
      <c r="AB189" s="789"/>
      <c r="AC189" s="789"/>
      <c r="AD189" s="789"/>
      <c r="AE189" s="789"/>
    </row>
    <row s="13656" customFormat="1" customHeight="1" ht="11.25">
      <c r="A190" s="1211"/>
      <c r="B190" s="1864"/>
      <c r="C190" s="1864"/>
      <c r="D190" s="574"/>
      <c r="K190" s="1385"/>
      <c r="L190" s="1864"/>
      <c r="M190" s="1864"/>
      <c r="N190" s="1385"/>
      <c r="O190" s="1385"/>
      <c r="P190" s="1385"/>
      <c r="Q190" s="1385"/>
      <c r="R190" s="1864"/>
      <c r="S190" s="1385"/>
      <c r="T190" s="1385"/>
      <c r="U190" s="767"/>
      <c r="V190" s="1385"/>
      <c r="W190" s="1385"/>
      <c r="X190" s="1385"/>
      <c r="Y190" s="1385"/>
      <c r="Z190" s="1385"/>
      <c r="AA190" s="1860"/>
      <c r="AB190" s="789"/>
      <c r="AC190" s="789"/>
      <c r="AD190" s="789"/>
      <c r="AE190" s="789"/>
    </row>
    <row s="13656" customFormat="1" customHeight="1" ht="11.25">
      <c r="A191" s="1211"/>
      <c r="B191" s="1864"/>
      <c r="C191" s="1864"/>
      <c r="D191" s="574"/>
      <c r="K191" s="1385"/>
      <c r="L191" s="1864"/>
      <c r="M191" s="1864"/>
      <c r="N191" s="1385"/>
      <c r="O191" s="1385"/>
      <c r="P191" s="1385"/>
      <c r="Q191" s="1385"/>
      <c r="R191" s="1864"/>
      <c r="S191" s="1385"/>
      <c r="T191" s="1385"/>
      <c r="U191" s="767"/>
      <c r="V191" s="1385"/>
      <c r="W191" s="1385"/>
      <c r="X191" s="1385"/>
      <c r="Y191" s="1385"/>
      <c r="Z191" s="1385"/>
      <c r="AA191" s="1860"/>
      <c r="AB191" s="789"/>
      <c r="AC191" s="789"/>
      <c r="AD191" s="789"/>
      <c r="AE191" s="789"/>
    </row>
    <row s="13656" customFormat="1" customHeight="1" ht="11.25">
      <c r="A192" s="1211"/>
      <c r="B192" s="1864"/>
      <c r="C192" s="1864"/>
      <c r="D192" s="574"/>
      <c r="K192" s="1385"/>
      <c r="L192" s="1864"/>
      <c r="M192" s="1864"/>
      <c r="N192" s="1385"/>
      <c r="O192" s="1385"/>
      <c r="P192" s="1385"/>
      <c r="Q192" s="1385"/>
      <c r="R192" s="1864"/>
      <c r="S192" s="1385"/>
      <c r="T192" s="1385"/>
      <c r="U192" s="767"/>
      <c r="V192" s="1385"/>
      <c r="W192" s="1385"/>
      <c r="X192" s="1385"/>
      <c r="Y192" s="1385"/>
      <c r="Z192" s="1385"/>
      <c r="AA192" s="1860"/>
      <c r="AB192" s="789"/>
      <c r="AC192" s="789"/>
      <c r="AD192" s="789"/>
      <c r="AE192" s="789"/>
    </row>
    <row s="13656" customFormat="1" customHeight="1" ht="11.25">
      <c r="A193" s="1211"/>
      <c r="B193" s="1864"/>
      <c r="C193" s="1864"/>
      <c r="D193" s="574"/>
      <c r="K193" s="1385"/>
      <c r="L193" s="1864"/>
      <c r="M193" s="1864"/>
      <c r="N193" s="1385"/>
      <c r="O193" s="1385"/>
      <c r="P193" s="1385"/>
      <c r="Q193" s="1385"/>
      <c r="R193" s="1864"/>
      <c r="S193" s="1385"/>
      <c r="T193" s="1385"/>
      <c r="U193" s="767"/>
      <c r="V193" s="1385"/>
      <c r="W193" s="1385"/>
      <c r="X193" s="1385"/>
      <c r="Y193" s="1385"/>
      <c r="Z193" s="1385"/>
      <c r="AA193" s="1860"/>
      <c r="AB193" s="789"/>
      <c r="AC193" s="789"/>
      <c r="AD193" s="789"/>
      <c r="AE193" s="789"/>
    </row>
    <row s="13656" customFormat="1" customHeight="1" ht="11.25">
      <c r="A194" s="1211"/>
      <c r="B194" s="1864"/>
      <c r="C194" s="1864"/>
      <c r="D194" s="574"/>
      <c r="K194" s="1385"/>
      <c r="L194" s="1864"/>
      <c r="M194" s="1864"/>
      <c r="N194" s="1385"/>
      <c r="O194" s="1385"/>
      <c r="P194" s="1385"/>
      <c r="Q194" s="1385"/>
      <c r="R194" s="1864"/>
      <c r="S194" s="1385"/>
      <c r="T194" s="1385"/>
      <c r="U194" s="767"/>
      <c r="V194" s="1385"/>
      <c r="W194" s="1385"/>
      <c r="X194" s="1385"/>
      <c r="Y194" s="1385"/>
      <c r="Z194" s="1385"/>
      <c r="AA194" s="1860"/>
      <c r="AB194" s="789"/>
      <c r="AC194" s="789"/>
      <c r="AD194" s="789"/>
      <c r="AE194" s="789"/>
    </row>
    <row s="13656" customFormat="1" customHeight="1" ht="11.25">
      <c r="A195" s="1211"/>
      <c r="B195" s="1864"/>
      <c r="C195" s="1864"/>
      <c r="D195" s="574"/>
      <c r="K195" s="1385"/>
      <c r="L195" s="1864"/>
      <c r="M195" s="1864"/>
      <c r="N195" s="1385"/>
      <c r="O195" s="1385"/>
      <c r="P195" s="1385"/>
      <c r="Q195" s="1385"/>
      <c r="R195" s="1864"/>
      <c r="S195" s="1385"/>
      <c r="T195" s="1385"/>
      <c r="U195" s="767"/>
      <c r="V195" s="1385"/>
      <c r="W195" s="1385"/>
      <c r="X195" s="1385"/>
      <c r="Y195" s="1385"/>
      <c r="Z195" s="1385"/>
      <c r="AA195" s="1860"/>
      <c r="AB195" s="789"/>
      <c r="AC195" s="789"/>
      <c r="AD195" s="789"/>
      <c r="AE195" s="789"/>
    </row>
    <row s="13656" customFormat="1" customHeight="1" ht="11.25">
      <c r="A196" s="1211"/>
      <c r="B196" s="1864"/>
      <c r="C196" s="1864"/>
      <c r="D196" s="574"/>
      <c r="K196" s="1385"/>
      <c r="L196" s="1864"/>
      <c r="M196" s="1864"/>
      <c r="N196" s="1385"/>
      <c r="O196" s="1385"/>
      <c r="P196" s="1385"/>
      <c r="Q196" s="1385"/>
      <c r="R196" s="1864"/>
      <c r="S196" s="1385"/>
      <c r="T196" s="1385"/>
      <c r="U196" s="767"/>
      <c r="V196" s="1385"/>
      <c r="W196" s="1385"/>
      <c r="X196" s="1385"/>
      <c r="Y196" s="1385"/>
      <c r="Z196" s="1385"/>
      <c r="AA196" s="1860"/>
      <c r="AB196" s="789"/>
      <c r="AC196" s="789"/>
      <c r="AD196" s="789"/>
      <c r="AE196" s="789"/>
    </row>
    <row s="13656" customFormat="1" customHeight="1" ht="11.25">
      <c r="A197" s="1211"/>
      <c r="B197" s="1864"/>
      <c r="C197" s="1864"/>
      <c r="D197" s="574"/>
      <c r="K197" s="1385"/>
      <c r="L197" s="1864"/>
      <c r="M197" s="1864"/>
      <c r="N197" s="1385"/>
      <c r="O197" s="1385"/>
      <c r="P197" s="1385"/>
      <c r="Q197" s="1385"/>
      <c r="R197" s="1864"/>
      <c r="S197" s="1385"/>
      <c r="T197" s="1385"/>
      <c r="U197" s="767"/>
      <c r="V197" s="1385"/>
      <c r="W197" s="1385"/>
      <c r="X197" s="1385"/>
      <c r="Y197" s="1385"/>
      <c r="Z197" s="1385"/>
      <c r="AA197" s="1860"/>
      <c r="AB197" s="789"/>
      <c r="AC197" s="789"/>
      <c r="AD197" s="789"/>
      <c r="AE197" s="789"/>
    </row>
    <row s="13656" customFormat="1" customHeight="1" ht="11.25">
      <c r="A198" s="1211"/>
      <c r="B198" s="1864"/>
      <c r="C198" s="1864"/>
      <c r="D198" s="574"/>
      <c r="K198" s="1385"/>
      <c r="L198" s="1864"/>
      <c r="M198" s="1864"/>
      <c r="N198" s="1385"/>
      <c r="O198" s="1385"/>
      <c r="P198" s="1385"/>
      <c r="Q198" s="1385"/>
      <c r="R198" s="1864"/>
      <c r="S198" s="1385"/>
      <c r="T198" s="1385"/>
      <c r="U198" s="767"/>
      <c r="V198" s="1385"/>
      <c r="W198" s="1385"/>
      <c r="X198" s="1385"/>
      <c r="Y198" s="1385"/>
      <c r="Z198" s="1385"/>
      <c r="AA198" s="1860"/>
      <c r="AB198" s="789"/>
      <c r="AC198" s="789"/>
      <c r="AD198" s="789"/>
      <c r="AE198" s="789"/>
    </row>
    <row s="13656" customFormat="1" customHeight="1" ht="11.25">
      <c r="A199" s="1211"/>
      <c r="B199" s="1864"/>
      <c r="C199" s="1864"/>
      <c r="D199" s="574"/>
      <c r="K199" s="1385"/>
      <c r="L199" s="1864"/>
      <c r="M199" s="1864"/>
      <c r="N199" s="1385"/>
      <c r="O199" s="1385"/>
      <c r="P199" s="1385"/>
      <c r="Q199" s="1385"/>
      <c r="R199" s="1864"/>
      <c r="S199" s="1385"/>
      <c r="T199" s="1385"/>
      <c r="U199" s="767"/>
      <c r="V199" s="1385"/>
      <c r="W199" s="1385"/>
      <c r="X199" s="1385"/>
      <c r="Y199" s="1385"/>
      <c r="Z199" s="1385"/>
      <c r="AA199" s="1860"/>
      <c r="AB199" s="789"/>
      <c r="AC199" s="789"/>
      <c r="AD199" s="789"/>
      <c r="AE199" s="789"/>
    </row>
    <row s="13656" customFormat="1" customHeight="1" ht="11.25">
      <c r="A200" s="1211"/>
      <c r="B200" s="1864"/>
      <c r="C200" s="1864"/>
      <c r="D200" s="574"/>
      <c r="K200" s="1385"/>
      <c r="L200" s="1864"/>
      <c r="M200" s="1864"/>
      <c r="N200" s="1385"/>
      <c r="O200" s="1385"/>
      <c r="P200" s="1385"/>
      <c r="Q200" s="1385"/>
      <c r="R200" s="1864"/>
      <c r="S200" s="1385"/>
      <c r="T200" s="1385"/>
      <c r="U200" s="767"/>
      <c r="V200" s="1385"/>
      <c r="W200" s="1385"/>
      <c r="X200" s="1385"/>
      <c r="Y200" s="1385"/>
      <c r="Z200" s="1385"/>
      <c r="AA200" s="1860"/>
      <c r="AB200" s="789"/>
      <c r="AC200" s="789"/>
      <c r="AD200" s="789"/>
      <c r="AE200" s="789"/>
    </row>
    <row s="13656" customFormat="1" customHeight="1" ht="11.25">
      <c r="A201" s="1211"/>
      <c r="B201" s="1864"/>
      <c r="C201" s="1864"/>
      <c r="D201" s="574"/>
      <c r="K201" s="1385"/>
      <c r="L201" s="1864"/>
      <c r="M201" s="1864"/>
      <c r="N201" s="1385"/>
      <c r="O201" s="1385"/>
      <c r="P201" s="1385"/>
      <c r="Q201" s="1385"/>
      <c r="R201" s="1864"/>
      <c r="S201" s="1385"/>
      <c r="T201" s="1385"/>
      <c r="U201" s="767"/>
      <c r="V201" s="1385"/>
      <c r="W201" s="1385"/>
      <c r="X201" s="1385"/>
      <c r="Y201" s="1385"/>
      <c r="Z201" s="1385"/>
      <c r="AA201" s="1860"/>
      <c r="AB201" s="789"/>
      <c r="AC201" s="789"/>
      <c r="AD201" s="789"/>
      <c r="AE201" s="789"/>
    </row>
    <row s="13656" customFormat="1" customHeight="1" ht="11.25">
      <c r="A202" s="1211"/>
      <c r="B202" s="1864"/>
      <c r="C202" s="1864"/>
      <c r="D202" s="574"/>
      <c r="K202" s="1385"/>
      <c r="L202" s="1864"/>
      <c r="M202" s="1864"/>
      <c r="N202" s="1385"/>
      <c r="O202" s="1385"/>
      <c r="P202" s="1385"/>
      <c r="Q202" s="1385"/>
      <c r="R202" s="1864"/>
      <c r="S202" s="1385"/>
      <c r="T202" s="1385"/>
      <c r="U202" s="767"/>
      <c r="V202" s="1385"/>
      <c r="W202" s="1385"/>
      <c r="X202" s="1385"/>
      <c r="Y202" s="1385"/>
      <c r="Z202" s="1385"/>
      <c r="AA202" s="1860"/>
      <c r="AB202" s="789"/>
      <c r="AC202" s="789"/>
      <c r="AD202" s="789"/>
      <c r="AE202" s="789"/>
    </row>
    <row s="13656" customFormat="1" customHeight="1" ht="11.25">
      <c r="A203" s="1211"/>
      <c r="B203" s="1864"/>
      <c r="C203" s="1864"/>
      <c r="D203" s="574"/>
      <c r="K203" s="1385"/>
      <c r="L203" s="1864"/>
      <c r="M203" s="1864"/>
      <c r="N203" s="1385"/>
      <c r="O203" s="1385"/>
      <c r="P203" s="1385"/>
      <c r="Q203" s="1385"/>
      <c r="R203" s="1864"/>
      <c r="S203" s="1385"/>
      <c r="T203" s="1385"/>
      <c r="U203" s="767"/>
      <c r="V203" s="1385"/>
      <c r="W203" s="1385"/>
      <c r="X203" s="1385"/>
      <c r="Y203" s="1385"/>
      <c r="Z203" s="1385"/>
      <c r="AA203" s="1860"/>
      <c r="AB203" s="789"/>
      <c r="AC203" s="789"/>
      <c r="AD203" s="789"/>
      <c r="AE203" s="789"/>
    </row>
    <row s="13656" customFormat="1" customHeight="1" ht="11.25">
      <c r="A204" s="1211"/>
      <c r="B204" s="1864"/>
      <c r="C204" s="1864"/>
      <c r="D204" s="574"/>
      <c r="K204" s="1385"/>
      <c r="L204" s="1864"/>
      <c r="M204" s="1864"/>
      <c r="N204" s="1385"/>
      <c r="O204" s="1385"/>
      <c r="P204" s="1385"/>
      <c r="Q204" s="1385"/>
      <c r="R204" s="1864"/>
      <c r="S204" s="1385"/>
      <c r="T204" s="1385"/>
      <c r="U204" s="767"/>
      <c r="V204" s="1385"/>
      <c r="W204" s="1385"/>
      <c r="X204" s="1385"/>
      <c r="Y204" s="1385"/>
      <c r="Z204" s="1385"/>
      <c r="AA204" s="1860"/>
      <c r="AB204" s="789"/>
      <c r="AC204" s="789"/>
      <c r="AD204" s="789"/>
      <c r="AE204" s="789"/>
    </row>
    <row r="208" customHeight="1" ht="11.25">
      <c r="A208" s="1214"/>
      <c r="B208" s="1859"/>
      <c r="D208" s="1859"/>
      <c r="K208" s="1859"/>
      <c r="N208" s="1859"/>
      <c r="O208" s="1859"/>
      <c r="P208" s="1859"/>
      <c r="Q208" s="1859"/>
      <c r="S208" s="1859"/>
      <c r="T208" s="1859"/>
      <c r="U208" s="1859"/>
      <c r="V208" s="1859"/>
      <c r="W208" s="1859"/>
      <c r="X208" s="1859"/>
      <c r="Y208" s="1859"/>
      <c r="Z208" s="1859"/>
      <c r="AA208" s="1859"/>
      <c r="AB208" s="1859"/>
      <c r="AC208" s="1859"/>
      <c r="AD208" s="1859"/>
      <c r="AE208" s="1859"/>
    </row>
    <row customHeight="1" ht="11.25">
      <c r="A209" s="1214"/>
      <c r="B209" s="1859"/>
      <c r="D209" s="1859"/>
      <c r="K209" s="1859"/>
      <c r="N209" s="1859"/>
      <c r="O209" s="1859"/>
      <c r="P209" s="1859"/>
      <c r="Q209" s="1859"/>
      <c r="S209" s="1859"/>
      <c r="T209" s="1859"/>
      <c r="U209" s="1859"/>
      <c r="V209" s="1859"/>
      <c r="W209" s="1859"/>
      <c r="X209" s="1859"/>
      <c r="Y209" s="1859"/>
      <c r="Z209" s="1859"/>
      <c r="AA209" s="1859"/>
      <c r="AB209" s="1859"/>
      <c r="AC209" s="1859"/>
      <c r="AD209" s="1859"/>
      <c r="AE209" s="1859"/>
    </row>
    <row customHeight="1" ht="11.25">
      <c r="A210" s="1214"/>
      <c r="B210" s="1859"/>
      <c r="D210" s="1859"/>
      <c r="K210" s="1859"/>
      <c r="N210" s="1859"/>
      <c r="O210" s="1859"/>
      <c r="P210" s="1859"/>
      <c r="Q210" s="1859"/>
      <c r="S210" s="1859"/>
      <c r="T210" s="1859"/>
      <c r="U210" s="1859"/>
      <c r="V210" s="1859"/>
      <c r="W210" s="1859"/>
      <c r="X210" s="1859"/>
      <c r="Y210" s="1859"/>
      <c r="Z210" s="1859"/>
      <c r="AA210" s="1859"/>
      <c r="AB210" s="1859"/>
      <c r="AC210" s="1859"/>
      <c r="AD210" s="1859"/>
      <c r="AE210" s="1859"/>
    </row>
    <row customHeight="1" ht="11.25">
      <c r="A211" s="1214"/>
      <c r="B211" s="1859"/>
      <c r="D211" s="1859"/>
      <c r="K211" s="1859"/>
      <c r="N211" s="1859"/>
      <c r="O211" s="1859"/>
      <c r="P211" s="1859"/>
      <c r="Q211" s="1859"/>
      <c r="S211" s="1859"/>
      <c r="T211" s="1859"/>
      <c r="U211" s="1859"/>
      <c r="V211" s="1859"/>
      <c r="W211" s="1859"/>
      <c r="X211" s="1859"/>
      <c r="Y211" s="1859"/>
      <c r="Z211" s="1859"/>
      <c r="AA211" s="1859"/>
      <c r="AB211" s="1859"/>
      <c r="AC211" s="1859"/>
      <c r="AD211" s="1859"/>
      <c r="AE211" s="1859"/>
    </row>
    <row customHeight="1" ht="11.25">
      <c r="A212" s="1214"/>
      <c r="B212" s="1859"/>
      <c r="D212" s="1859"/>
      <c r="K212" s="1859"/>
      <c r="N212" s="1859"/>
      <c r="O212" s="1859"/>
      <c r="P212" s="1859"/>
      <c r="Q212" s="1859"/>
      <c r="S212" s="1859"/>
      <c r="T212" s="1859"/>
      <c r="U212" s="1859"/>
      <c r="V212" s="1859"/>
      <c r="W212" s="1859"/>
      <c r="X212" s="1859"/>
      <c r="Y212" s="1859"/>
      <c r="Z212" s="1859"/>
      <c r="AA212" s="1859"/>
      <c r="AB212" s="1859"/>
      <c r="AC212" s="1859"/>
      <c r="AD212" s="1859"/>
      <c r="AE212" s="1859"/>
    </row>
    <row customHeight="1" ht="11.25">
      <c r="A213" s="1214"/>
      <c r="B213" s="1859"/>
      <c r="D213" s="1859"/>
      <c r="K213" s="1859"/>
      <c r="N213" s="1859"/>
      <c r="O213" s="1859"/>
      <c r="P213" s="1859"/>
      <c r="Q213" s="1859"/>
      <c r="S213" s="1859"/>
      <c r="T213" s="1859"/>
      <c r="U213" s="1859"/>
      <c r="V213" s="1859"/>
      <c r="W213" s="1859"/>
      <c r="X213" s="1859"/>
      <c r="Y213" s="1859"/>
      <c r="Z213" s="1859"/>
      <c r="AA213" s="1859"/>
      <c r="AB213" s="1859"/>
      <c r="AC213" s="1859"/>
      <c r="AD213" s="1859"/>
      <c r="AE213" s="1859"/>
    </row>
    <row customHeight="1" ht="11.25">
      <c r="A214" s="1214"/>
      <c r="B214" s="1859"/>
      <c r="D214" s="1859"/>
      <c r="K214" s="1859"/>
      <c r="N214" s="1859"/>
      <c r="O214" s="1859"/>
      <c r="P214" s="1859"/>
      <c r="Q214" s="1859"/>
      <c r="S214" s="1859"/>
      <c r="T214" s="1859"/>
      <c r="U214" s="1859"/>
      <c r="V214" s="1859"/>
      <c r="W214" s="1859"/>
      <c r="X214" s="1859"/>
      <c r="Y214" s="1859"/>
      <c r="Z214" s="1859"/>
      <c r="AA214" s="1859"/>
      <c r="AB214" s="1859"/>
      <c r="AC214" s="1859"/>
      <c r="AD214" s="1859"/>
      <c r="AE214" s="1859"/>
    </row>
    <row customHeight="1" ht="11.25">
      <c r="A215" s="1214"/>
      <c r="B215" s="1859"/>
      <c r="D215" s="1859"/>
      <c r="K215" s="1859"/>
      <c r="N215" s="1859"/>
      <c r="O215" s="1859"/>
      <c r="P215" s="1859"/>
      <c r="Q215" s="1859"/>
      <c r="S215" s="1859"/>
      <c r="T215" s="1859"/>
      <c r="U215" s="1859"/>
      <c r="V215" s="1859"/>
      <c r="W215" s="1859"/>
      <c r="X215" s="1859"/>
      <c r="Y215" s="1859"/>
      <c r="Z215" s="1859"/>
      <c r="AA215" s="1859"/>
      <c r="AB215" s="1859"/>
      <c r="AC215" s="1859"/>
      <c r="AD215" s="1859"/>
      <c r="AE215" s="1859"/>
    </row>
    <row customHeight="1" ht="11.25">
      <c r="A216" s="1214"/>
      <c r="B216" s="1859"/>
      <c r="D216" s="1859"/>
      <c r="K216" s="1859"/>
      <c r="N216" s="1859"/>
      <c r="O216" s="1859"/>
      <c r="P216" s="1859"/>
      <c r="Q216" s="1859"/>
      <c r="S216" s="1859"/>
      <c r="T216" s="1859"/>
      <c r="U216" s="1859"/>
      <c r="V216" s="1859"/>
      <c r="W216" s="1859"/>
      <c r="X216" s="1859"/>
      <c r="Y216" s="1859"/>
      <c r="Z216" s="1859"/>
      <c r="AA216" s="1859"/>
      <c r="AB216" s="1859"/>
      <c r="AC216" s="1859"/>
      <c r="AD216" s="1859"/>
      <c r="AE216" s="1859"/>
    </row>
    <row customHeight="1" ht="11.25">
      <c r="A217" s="1214"/>
      <c r="B217" s="1859"/>
      <c r="D217" s="1859"/>
      <c r="K217" s="1859"/>
      <c r="N217" s="1859"/>
      <c r="O217" s="1859"/>
      <c r="P217" s="1859"/>
      <c r="Q217" s="1859"/>
      <c r="S217" s="1859"/>
      <c r="T217" s="1859"/>
      <c r="U217" s="1859"/>
      <c r="V217" s="1859"/>
      <c r="W217" s="1859"/>
      <c r="X217" s="1859"/>
      <c r="Y217" s="1859"/>
      <c r="Z217" s="1859"/>
      <c r="AA217" s="1859"/>
      <c r="AB217" s="1859"/>
      <c r="AC217" s="1859"/>
      <c r="AD217" s="1859"/>
      <c r="AE217" s="1859"/>
    </row>
    <row customHeight="1" ht="11.25">
      <c r="A218" s="1214"/>
      <c r="B218" s="1859"/>
      <c r="D218" s="1859"/>
      <c r="K218" s="1859"/>
      <c r="N218" s="1859"/>
      <c r="O218" s="1859"/>
      <c r="P218" s="1859"/>
      <c r="Q218" s="1859"/>
      <c r="S218" s="1859"/>
      <c r="T218" s="1859"/>
      <c r="U218" s="1859"/>
      <c r="V218" s="1859"/>
      <c r="W218" s="1859"/>
      <c r="X218" s="1859"/>
      <c r="Y218" s="1859"/>
      <c r="Z218" s="1859"/>
      <c r="AA218" s="1859"/>
      <c r="AB218" s="1859"/>
      <c r="AC218" s="1859"/>
      <c r="AD218" s="1859"/>
      <c r="AE218" s="185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EF60E-35E1-C638-6B64-709A6BA9823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6758" width="10.7109375" hidden="1" customWidth="1"/>
    <col min="2" max="2" style="13533" width="16.8515625" hidden="1" customWidth="1"/>
    <col min="3" max="3" style="13659" width="5.57421875" hidden="1" customWidth="1"/>
    <col min="4" max="4" style="16759" width="3.7109375" customWidth="1"/>
    <col min="5" max="5" style="13661" width="7.7109375" customWidth="1"/>
    <col min="6" max="6" style="13661" width="54.57421875" customWidth="1"/>
    <col min="7" max="7" style="13661" width="10.421875" customWidth="1"/>
    <col min="8" max="8" style="13661" width="40.7109375" hidden="1" customWidth="1"/>
    <col min="9" max="9" style="13661" width="40.7109375" customWidth="1"/>
    <col min="10" max="10" style="13661" width="102.8515625" customWidth="1"/>
    <col min="11" max="11" style="13533" width="9.7109375" customWidth="1"/>
    <col min="12" max="12" style="13659" width="5.28125" customWidth="1"/>
    <col min="13" max="13" style="13659" width="3.7109375" customWidth="1"/>
    <col min="14" max="17" style="13533" width="3.7109375" customWidth="1"/>
    <col min="18" max="18" style="13659" width="10.57421875" customWidth="1"/>
    <col min="19" max="19" style="13533" width="34.7109375" customWidth="1"/>
    <col min="20" max="20" style="13533" width="9.421875" customWidth="1"/>
    <col min="21" max="21" style="16760" width="9.140625"/>
    <col min="22" max="26" style="13533" width="9.140625"/>
    <col min="27" max="31" style="16662" width="9.140625"/>
  </cols>
  <sheetData>
    <row s="13533" customFormat="1" customHeight="1" ht="11.25" hidden="1">
      <c r="A1" s="1211"/>
      <c r="C1" s="1864"/>
      <c r="D1" s="760"/>
      <c r="H1" s="1385">
        <v>4</v>
      </c>
      <c r="I1" s="1385">
        <v>4</v>
      </c>
      <c r="L1" s="1864"/>
      <c r="M1" s="1864"/>
      <c r="R1" s="1864"/>
    </row>
    <row s="13533" customFormat="1" customHeight="1" ht="22.5" hidden="1">
      <c r="A2" s="1211"/>
      <c r="C2" s="1864"/>
      <c r="D2" s="761"/>
      <c r="E2" s="1886"/>
      <c r="F2" s="763"/>
      <c r="G2" s="1885" t="s">
        <v>555</v>
      </c>
      <c r="H2" s="764"/>
      <c r="I2" s="764"/>
      <c r="J2" s="765" t="s">
        <v>558</v>
      </c>
      <c r="K2" s="766"/>
      <c r="L2" s="1864"/>
      <c r="M2" s="1864"/>
      <c r="R2" s="1864"/>
      <c r="U2" s="767"/>
      <c r="AA2" s="1860"/>
      <c r="AB2" s="1860"/>
      <c r="AC2" s="1860"/>
      <c r="AD2" s="1860"/>
      <c r="AE2" s="1860"/>
    </row>
    <row customHeight="1" ht="11.25" hidden="1"/>
    <row s="16662" customFormat="1" customHeight="1" ht="11.25" hidden="1">
      <c r="A4" s="1211"/>
      <c r="B4" s="1385"/>
      <c r="C4" s="1864"/>
      <c r="D4" s="585"/>
      <c r="J4" s="1860">
        <v>4</v>
      </c>
      <c r="K4" s="1385"/>
      <c r="L4" s="1864"/>
      <c r="M4" s="1864"/>
      <c r="N4" s="1385"/>
      <c r="O4" s="1385"/>
      <c r="P4" s="1385"/>
      <c r="Q4" s="1385"/>
      <c r="R4" s="1864"/>
      <c r="S4" s="1385"/>
      <c r="T4" s="1385"/>
      <c r="U4" s="767"/>
      <c r="V4" s="1385"/>
      <c r="W4" s="1385"/>
      <c r="X4" s="1385"/>
      <c r="Y4" s="1385"/>
      <c r="Z4" s="1385"/>
    </row>
    <row r="6" customHeight="1" ht="32.25">
      <c r="E6" s="2422" t="s">
        <v>692</v>
      </c>
      <c r="F6" s="2422"/>
      <c r="G6" s="2422"/>
      <c r="H6" s="2422"/>
      <c r="I6" s="2422"/>
      <c r="J6" s="779"/>
    </row>
    <row customHeight="1" ht="24">
      <c r="E7" s="2423" t="str">
        <f>IF(org=0,"Не определено",org)</f>
        <v>ООО "Новая Энергетика"</v>
      </c>
      <c r="F7" s="2423"/>
      <c r="G7" s="2423"/>
      <c r="H7" s="2423"/>
      <c r="I7" s="2423"/>
    </row>
    <row customHeight="1" ht="11.25">
      <c r="E8" s="1360"/>
      <c r="F8" s="1360"/>
      <c r="G8" s="1360"/>
      <c r="H8" s="1360"/>
      <c r="I8" s="1360"/>
    </row>
    <row s="13659" customFormat="1" customHeight="1" ht="0.75">
      <c r="A9" s="1392"/>
      <c r="D9" s="1870"/>
      <c r="H9" s="1112"/>
      <c r="I9" s="1112" t="s">
        <v>116</v>
      </c>
    </row>
    <row customHeight="1" ht="11.25">
      <c r="E10" s="934"/>
      <c r="F10" s="2498" t="s">
        <v>104</v>
      </c>
      <c r="G10" s="2499"/>
      <c r="H10" s="1887" t="str">
        <f>IF(H9="","",INDEX(DIFFERENTIATION_UNMERGE_VD,MATCH(H9,DIFFERENTIATION_ID_DIFF,0)))</f>
        <v/>
      </c>
      <c r="I10" s="1887">
        <f>IF(I9="","",INDEX(DIFFERENTIATION_UNMERGE_VD,MATCH(I9,DIFFERENTIATION_ID_DIFF,0)))</f>
        <v>0</v>
      </c>
      <c r="J10" s="2254"/>
    </row>
    <row customHeight="1" ht="11.25">
      <c r="E11" s="934"/>
      <c r="F11" s="2498" t="s">
        <v>567</v>
      </c>
      <c r="G11" s="2499"/>
      <c r="H11" s="1887" t="str">
        <f>IF(H9="","",INDEX(DIFFERENTIATION_UNMERGE_AREA,MATCH(H9,DIFFERENTIATION_ID_DIFF,0)))</f>
        <v/>
      </c>
      <c r="I11" s="1887" t="str">
        <f>IF(I9="","",INDEX(DIFFERENTIATION_UNMERGE_AREA,MATCH(I9,DIFFERENTIATION_ID_DIFF,0)))</f>
        <v/>
      </c>
      <c r="J11" s="2254"/>
    </row>
    <row customHeight="1" ht="11.25" hidden="1">
      <c r="E12" s="1890"/>
      <c r="F12" s="2513" t="s">
        <v>568</v>
      </c>
      <c r="G12" s="2514"/>
      <c r="H12" s="1891" t="str">
        <f>IF(H9="","",INDEX(DIFFERENTIATION_UNMERGE_SYSTEM,MATCH(H9,DIFFERENTIATION_ID_DIFF,0)))</f>
        <v/>
      </c>
      <c r="I12" s="1891" t="str">
        <f>IF(I9="","",INDEX(DIFFERENTIATION_UNMERGE_SYSTEM,MATCH(I9,DIFFERENTIATION_ID_DIFF,0)))</f>
        <v>без дифференциации</v>
      </c>
      <c r="J12" s="2254"/>
    </row>
    <row customHeight="1" ht="11.25">
      <c r="E13" s="2500" t="s">
        <v>301</v>
      </c>
      <c r="F13" s="2501"/>
      <c r="G13" s="2501"/>
      <c r="H13" s="1884"/>
      <c r="I13" s="1884"/>
      <c r="J13" s="2254"/>
    </row>
    <row customHeight="1" ht="22.5">
      <c r="E14" s="1885" t="s">
        <v>87</v>
      </c>
      <c r="F14" s="1888" t="s">
        <v>303</v>
      </c>
      <c r="G14" s="1888" t="s">
        <v>569</v>
      </c>
      <c r="H14" s="1888" t="s">
        <v>304</v>
      </c>
      <c r="I14" s="1888" t="s">
        <v>304</v>
      </c>
      <c r="J14" s="2254"/>
    </row>
    <row customHeight="1" ht="18.75">
      <c r="D15" s="1866"/>
      <c r="E15" s="1858" t="s">
        <v>108</v>
      </c>
      <c r="F15" s="930" t="s">
        <v>693</v>
      </c>
      <c r="G15" s="1885" t="s">
        <v>555</v>
      </c>
      <c r="H15" s="780"/>
      <c r="I15" s="780"/>
      <c r="J15" s="512" t="s">
        <v>694</v>
      </c>
      <c r="K15" s="766" t="s">
        <v>622</v>
      </c>
    </row>
    <row customHeight="1" ht="22.5">
      <c r="D16" s="1866"/>
      <c r="E16" s="1858" t="s">
        <v>109</v>
      </c>
      <c r="F16" s="1893" t="s">
        <v>695</v>
      </c>
      <c r="G16" s="1885" t="s">
        <v>555</v>
      </c>
      <c r="H16" s="781">
        <f>SUM(H17,H20:H27)</f>
        <v>0</v>
      </c>
      <c r="I16" s="781">
        <f>SUM(I17,I20:I27)</f>
        <v>0</v>
      </c>
      <c r="J16" s="512" t="s">
        <v>696</v>
      </c>
      <c r="K16" s="766" t="s">
        <v>622</v>
      </c>
    </row>
    <row customHeight="1" ht="33.75">
      <c r="D17" s="1866"/>
      <c r="E17" s="1892" t="s">
        <v>625</v>
      </c>
      <c r="F17" s="1895" t="s">
        <v>697</v>
      </c>
      <c r="G17" s="1882" t="s">
        <v>555</v>
      </c>
      <c r="H17" s="780"/>
      <c r="I17" s="780"/>
      <c r="J17" s="512" t="s">
        <v>698</v>
      </c>
      <c r="K17" s="766"/>
    </row>
    <row customHeight="1" ht="18.75">
      <c r="D18" s="1866"/>
      <c r="E18" s="1892" t="s">
        <v>628</v>
      </c>
      <c r="F18" s="1896" t="s">
        <v>699</v>
      </c>
      <c r="G18" s="1882" t="s">
        <v>555</v>
      </c>
      <c r="H18" s="780"/>
      <c r="I18" s="780"/>
      <c r="J18" s="512"/>
      <c r="K18" s="766"/>
    </row>
    <row customHeight="1" ht="22.5">
      <c r="D19" s="1866"/>
      <c r="E19" s="1892" t="s">
        <v>631</v>
      </c>
      <c r="F19" s="1896" t="s">
        <v>700</v>
      </c>
      <c r="G19" s="1882" t="s">
        <v>555</v>
      </c>
      <c r="H19" s="780"/>
      <c r="I19" s="780"/>
      <c r="J19" s="512"/>
      <c r="K19" s="766"/>
    </row>
    <row customHeight="1" ht="33.75">
      <c r="D20" s="1866"/>
      <c r="E20" s="1892" t="s">
        <v>308</v>
      </c>
      <c r="F20" s="1895" t="s">
        <v>701</v>
      </c>
      <c r="G20" s="1882" t="s">
        <v>555</v>
      </c>
      <c r="H20" s="780"/>
      <c r="I20" s="780"/>
      <c r="J20" s="512"/>
      <c r="K20" s="766"/>
    </row>
    <row customHeight="1" ht="33.75">
      <c r="D21" s="1866"/>
      <c r="E21" s="1892" t="s">
        <v>311</v>
      </c>
      <c r="F21" s="1895" t="s">
        <v>702</v>
      </c>
      <c r="G21" s="1882" t="s">
        <v>555</v>
      </c>
      <c r="H21" s="780"/>
      <c r="I21" s="780"/>
      <c r="J21" s="512"/>
      <c r="K21" s="766"/>
    </row>
    <row customHeight="1" ht="56.25">
      <c r="D22" s="1866"/>
      <c r="E22" s="1892" t="s">
        <v>645</v>
      </c>
      <c r="F22" s="1895" t="s">
        <v>703</v>
      </c>
      <c r="G22" s="1882" t="s">
        <v>555</v>
      </c>
      <c r="H22" s="780"/>
      <c r="I22" s="780"/>
      <c r="J22" s="512"/>
      <c r="K22" s="766"/>
    </row>
    <row customHeight="1" ht="33.75">
      <c r="D23" s="1866"/>
      <c r="E23" s="1892" t="s">
        <v>652</v>
      </c>
      <c r="F23" s="1895" t="s">
        <v>704</v>
      </c>
      <c r="G23" s="1882" t="s">
        <v>555</v>
      </c>
      <c r="H23" s="780"/>
      <c r="I23" s="780"/>
      <c r="J23" s="512"/>
      <c r="K23" s="766"/>
    </row>
    <row customHeight="1" ht="33.75">
      <c r="D24" s="1866"/>
      <c r="E24" s="1892" t="s">
        <v>654</v>
      </c>
      <c r="F24" s="1895" t="s">
        <v>705</v>
      </c>
      <c r="G24" s="1882" t="s">
        <v>555</v>
      </c>
      <c r="H24" s="780"/>
      <c r="I24" s="780"/>
      <c r="J24" s="512"/>
      <c r="K24" s="766"/>
    </row>
    <row customHeight="1" ht="22.5">
      <c r="D25" s="1866"/>
      <c r="E25" s="1892" t="s">
        <v>656</v>
      </c>
      <c r="F25" s="1895" t="s">
        <v>706</v>
      </c>
      <c r="G25" s="1882" t="s">
        <v>555</v>
      </c>
      <c r="H25" s="780"/>
      <c r="I25" s="780"/>
      <c r="J25" s="512"/>
      <c r="K25" s="766"/>
    </row>
    <row customHeight="1" ht="67.5">
      <c r="D26" s="1866"/>
      <c r="E26" s="1892" t="s">
        <v>658</v>
      </c>
      <c r="F26" s="1895" t="s">
        <v>707</v>
      </c>
      <c r="G26" s="1882" t="s">
        <v>555</v>
      </c>
      <c r="H26" s="780"/>
      <c r="I26" s="780"/>
      <c r="J26" s="512"/>
      <c r="K26" s="766"/>
    </row>
    <row s="13533" customFormat="1" customHeight="1" ht="22.5">
      <c r="A27" s="1211"/>
      <c r="C27" s="1864"/>
      <c r="D27" s="1866"/>
      <c r="E27" s="1857" t="s">
        <v>662</v>
      </c>
      <c r="F27" s="1856" t="s">
        <v>708</v>
      </c>
      <c r="G27" s="1883" t="s">
        <v>555</v>
      </c>
      <c r="H27" s="802">
        <f>SUM(H28:H29)</f>
        <v>0</v>
      </c>
      <c r="I27" s="802">
        <f>SUM(I28:I29)</f>
        <v>0</v>
      </c>
      <c r="J27" s="512" t="s">
        <v>660</v>
      </c>
      <c r="K27" s="766"/>
      <c r="L27" s="1864"/>
      <c r="M27" s="1864"/>
      <c r="R27" s="1864"/>
      <c r="U27" s="767"/>
      <c r="AA27" s="1860"/>
      <c r="AB27" s="1860"/>
      <c r="AC27" s="1860"/>
      <c r="AD27" s="1860"/>
      <c r="AE27" s="1860"/>
    </row>
    <row s="13659" customFormat="1" customHeight="1" ht="0.75">
      <c r="A28" s="1392"/>
      <c r="D28" s="771"/>
      <c r="E28" s="1025" t="str">
        <f>E27&amp;".0"</f>
        <v>2.9.0</v>
      </c>
      <c r="F28" s="1215"/>
      <c r="G28" s="774"/>
      <c r="H28" s="1216"/>
      <c r="I28" s="1216"/>
      <c r="J28" s="1217"/>
    </row>
    <row s="13533" customFormat="1" customHeight="1" ht="18.75">
      <c r="A29" s="1211"/>
      <c r="C29" s="1864"/>
      <c r="D29" s="1861"/>
      <c r="E29" s="793"/>
      <c r="F29" s="1894" t="s">
        <v>580</v>
      </c>
      <c r="G29" s="795"/>
      <c r="H29" s="796"/>
      <c r="I29" s="796"/>
      <c r="J29" s="524" t="s">
        <v>661</v>
      </c>
      <c r="K29" s="766"/>
      <c r="L29" s="1864"/>
      <c r="M29" s="1864"/>
      <c r="R29" s="1864"/>
      <c r="U29" s="767"/>
      <c r="AA29" s="1860"/>
      <c r="AB29" s="1860"/>
      <c r="AC29" s="1860"/>
      <c r="AD29" s="1860"/>
      <c r="AE29" s="1860"/>
    </row>
    <row s="13533" customFormat="1" customHeight="1" ht="22.5">
      <c r="A30" s="1211"/>
      <c r="C30" s="1864"/>
      <c r="D30" s="1866"/>
      <c r="E30" s="1892" t="s">
        <v>89</v>
      </c>
      <c r="F30" s="1889" t="s">
        <v>709</v>
      </c>
      <c r="G30" s="1882" t="s">
        <v>555</v>
      </c>
      <c r="H30" s="780"/>
      <c r="I30" s="780"/>
      <c r="J30" s="512"/>
      <c r="K30" s="766"/>
      <c r="L30" s="1864"/>
      <c r="M30" s="1864"/>
      <c r="R30" s="1864"/>
      <c r="U30" s="767"/>
      <c r="AA30" s="1860"/>
      <c r="AB30" s="1860"/>
      <c r="AC30" s="1860"/>
      <c r="AD30" s="1860"/>
      <c r="AE30" s="1860"/>
    </row>
    <row s="13533" customFormat="1" customHeight="1" ht="33.75">
      <c r="A31" s="1211"/>
      <c r="C31" s="1864"/>
      <c r="D31" s="798"/>
      <c r="E31" s="1892" t="s">
        <v>90</v>
      </c>
      <c r="F31" s="1889" t="s">
        <v>710</v>
      </c>
      <c r="G31" s="1882" t="s">
        <v>555</v>
      </c>
      <c r="H31" s="780"/>
      <c r="I31" s="780"/>
      <c r="J31" s="512" t="s">
        <v>711</v>
      </c>
      <c r="K31" s="766"/>
      <c r="L31" s="1864"/>
      <c r="M31" s="1864"/>
      <c r="R31" s="1864"/>
      <c r="U31" s="767"/>
      <c r="AA31" s="1860"/>
      <c r="AB31" s="1860"/>
      <c r="AC31" s="1860"/>
      <c r="AD31" s="1860"/>
      <c r="AE31" s="1860"/>
    </row>
    <row s="13533" customFormat="1" customHeight="1" ht="22.5">
      <c r="A32" s="1211"/>
      <c r="C32" s="1864"/>
      <c r="D32" s="1866"/>
      <c r="E32" s="1892" t="s">
        <v>670</v>
      </c>
      <c r="F32" s="913" t="s">
        <v>674</v>
      </c>
      <c r="G32" s="1882" t="s">
        <v>555</v>
      </c>
      <c r="H32" s="780"/>
      <c r="I32" s="780"/>
      <c r="J32" s="512" t="s">
        <v>712</v>
      </c>
      <c r="K32" s="766"/>
      <c r="L32" s="1864"/>
      <c r="M32" s="1864"/>
      <c r="R32" s="1864"/>
      <c r="U32" s="767"/>
      <c r="AA32" s="1860"/>
      <c r="AB32" s="1860"/>
      <c r="AC32" s="1860"/>
      <c r="AD32" s="1860"/>
      <c r="AE32" s="1860"/>
    </row>
    <row s="13533" customFormat="1" customHeight="1" ht="22.5">
      <c r="A33" s="1211"/>
      <c r="C33" s="1864"/>
      <c r="D33" s="1866"/>
      <c r="E33" s="1892" t="s">
        <v>713</v>
      </c>
      <c r="F33" s="913" t="s">
        <v>714</v>
      </c>
      <c r="G33" s="1882" t="s">
        <v>555</v>
      </c>
      <c r="H33" s="780"/>
      <c r="I33" s="780"/>
      <c r="J33" s="512" t="s">
        <v>715</v>
      </c>
      <c r="K33" s="766"/>
      <c r="L33" s="1864"/>
      <c r="M33" s="1864"/>
      <c r="R33" s="1864"/>
      <c r="U33" s="767"/>
      <c r="AA33" s="1860"/>
      <c r="AB33" s="1860"/>
      <c r="AC33" s="1860"/>
      <c r="AD33" s="1860"/>
      <c r="AE33" s="1860"/>
    </row>
    <row s="13533" customFormat="1" customHeight="1" ht="22.5">
      <c r="A34" s="1211"/>
      <c r="C34" s="1864"/>
      <c r="D34" s="1866"/>
      <c r="E34" s="1892" t="s">
        <v>716</v>
      </c>
      <c r="F34" s="913" t="s">
        <v>680</v>
      </c>
      <c r="G34" s="1882" t="s">
        <v>555</v>
      </c>
      <c r="H34" s="780"/>
      <c r="I34" s="780"/>
      <c r="J34" s="512" t="s">
        <v>717</v>
      </c>
      <c r="K34" s="766"/>
      <c r="L34" s="1864"/>
      <c r="M34" s="1864"/>
      <c r="R34" s="1864"/>
      <c r="U34" s="767"/>
      <c r="AA34" s="1860"/>
      <c r="AB34" s="1860"/>
      <c r="AC34" s="1860"/>
      <c r="AD34" s="1860"/>
      <c r="AE34" s="1860"/>
    </row>
    <row s="13533" customFormat="1" customHeight="1" ht="33.75">
      <c r="A35" s="1211"/>
      <c r="C35" s="1864" t="s">
        <v>591</v>
      </c>
      <c r="D35" s="1866"/>
      <c r="E35" s="1892" t="s">
        <v>110</v>
      </c>
      <c r="F35" s="1889" t="s">
        <v>682</v>
      </c>
      <c r="G35" s="1885" t="s">
        <v>307</v>
      </c>
      <c r="H35" s="624"/>
      <c r="I35" s="624"/>
      <c r="J35" s="512" t="s">
        <v>718</v>
      </c>
      <c r="K35" s="766"/>
      <c r="L35" s="1864"/>
      <c r="M35" s="1864"/>
      <c r="R35" s="1864"/>
      <c r="U35" s="767"/>
      <c r="AA35" s="1860"/>
      <c r="AB35" s="1860"/>
      <c r="AC35" s="1860"/>
      <c r="AD35" s="1860"/>
      <c r="AE35" s="1860"/>
    </row>
    <row s="13533" customFormat="1" customHeight="1" ht="22.5">
      <c r="A36" s="1211"/>
      <c r="C36" s="1864"/>
      <c r="D36" s="1866"/>
      <c r="E36" s="1892" t="s">
        <v>91</v>
      </c>
      <c r="F36" s="1889" t="s">
        <v>719</v>
      </c>
      <c r="G36" s="1882" t="s">
        <v>686</v>
      </c>
      <c r="H36" s="768"/>
      <c r="I36" s="768"/>
      <c r="J36" s="512" t="s">
        <v>687</v>
      </c>
      <c r="K36" s="766"/>
      <c r="L36" s="1864"/>
      <c r="M36" s="1864"/>
      <c r="R36" s="1864"/>
      <c r="U36" s="767"/>
      <c r="AA36" s="1860"/>
      <c r="AB36" s="1860"/>
      <c r="AC36" s="1860"/>
      <c r="AD36" s="1860"/>
      <c r="AE36" s="1860"/>
    </row>
    <row s="13533" customFormat="1" customHeight="1" ht="22.5">
      <c r="A37" s="1211"/>
      <c r="C37" s="1864"/>
      <c r="D37" s="1866"/>
      <c r="E37" s="1892" t="s">
        <v>92</v>
      </c>
      <c r="F37" s="1889" t="s">
        <v>720</v>
      </c>
      <c r="G37" s="1882" t="s">
        <v>689</v>
      </c>
      <c r="H37" s="768"/>
      <c r="I37" s="768"/>
      <c r="J37" s="512" t="s">
        <v>690</v>
      </c>
      <c r="K37" s="766"/>
      <c r="L37" s="1864"/>
      <c r="M37" s="1864"/>
      <c r="R37" s="1864"/>
      <c r="U37" s="767"/>
      <c r="AA37" s="1860"/>
      <c r="AB37" s="1860"/>
      <c r="AC37" s="1860"/>
      <c r="AD37" s="1860"/>
      <c r="AE37" s="1860"/>
    </row>
    <row customHeight="1" ht="11.25">
      <c r="D38" s="1866"/>
    </row>
    <row customHeight="1" ht="26.25">
      <c r="D39" s="1866"/>
      <c r="E39" s="1480" t="s">
        <v>721</v>
      </c>
      <c r="F39" s="2388" t="s">
        <v>722</v>
      </c>
      <c r="G39" s="2388"/>
      <c r="H39" s="2388"/>
      <c r="I39" s="2388"/>
      <c r="J39" s="2388"/>
    </row>
    <row s="13656" customFormat="1" customHeight="1" ht="37.5">
      <c r="A40" s="1211"/>
      <c r="B40" s="1864"/>
      <c r="C40" s="1864"/>
      <c r="D40" s="574"/>
      <c r="F40" s="2388" t="s">
        <v>723</v>
      </c>
      <c r="G40" s="2388"/>
      <c r="H40" s="2388"/>
      <c r="I40" s="2388"/>
      <c r="J40" s="2388"/>
      <c r="K40" s="1385"/>
      <c r="L40" s="1864"/>
      <c r="M40" s="1864"/>
      <c r="N40" s="1385"/>
      <c r="O40" s="1385"/>
      <c r="P40" s="1385"/>
      <c r="Q40" s="1385"/>
      <c r="R40" s="1864"/>
      <c r="S40" s="1385"/>
      <c r="T40" s="1385"/>
      <c r="U40" s="767"/>
      <c r="V40" s="1385"/>
      <c r="W40" s="1385"/>
      <c r="X40" s="1385"/>
      <c r="Y40" s="1385"/>
      <c r="Z40" s="1385"/>
      <c r="AA40" s="1860"/>
      <c r="AB40" s="789"/>
      <c r="AC40" s="789"/>
      <c r="AD40" s="789"/>
      <c r="AE40" s="789"/>
    </row>
    <row s="13656" customFormat="1" customHeight="1" ht="11.25">
      <c r="A41" s="1211"/>
      <c r="B41" s="1864"/>
      <c r="C41" s="1864"/>
      <c r="D41" s="574"/>
      <c r="K41" s="1385"/>
      <c r="L41" s="1864"/>
      <c r="M41" s="1864"/>
      <c r="N41" s="1385"/>
      <c r="O41" s="1385"/>
      <c r="P41" s="1385"/>
      <c r="Q41" s="1385"/>
      <c r="R41" s="1864"/>
      <c r="S41" s="1385"/>
      <c r="T41" s="1385"/>
      <c r="U41" s="767"/>
      <c r="V41" s="1385"/>
      <c r="W41" s="1385"/>
      <c r="X41" s="1385"/>
      <c r="Y41" s="1385"/>
      <c r="Z41" s="1385"/>
      <c r="AA41" s="1860"/>
      <c r="AB41" s="789"/>
      <c r="AC41" s="789"/>
      <c r="AD41" s="789"/>
      <c r="AE41" s="789"/>
    </row>
    <row s="13656" customFormat="1" customHeight="1" ht="11.25">
      <c r="A42" s="1211"/>
      <c r="B42" s="1864"/>
      <c r="C42" s="1864"/>
      <c r="D42" s="574"/>
      <c r="K42" s="1385"/>
      <c r="L42" s="1864"/>
      <c r="M42" s="1864"/>
      <c r="N42" s="1385"/>
      <c r="O42" s="1385"/>
      <c r="P42" s="1385"/>
      <c r="Q42" s="1385"/>
      <c r="R42" s="1864"/>
      <c r="S42" s="1385"/>
      <c r="T42" s="1385"/>
      <c r="U42" s="767"/>
      <c r="V42" s="1385"/>
      <c r="W42" s="1385"/>
      <c r="X42" s="1385"/>
      <c r="Y42" s="1385"/>
      <c r="Z42" s="1385"/>
      <c r="AA42" s="1860"/>
      <c r="AB42" s="789"/>
      <c r="AC42" s="789"/>
      <c r="AD42" s="789"/>
      <c r="AE42" s="789"/>
    </row>
    <row s="13656" customFormat="1" customHeight="1" ht="11.25">
      <c r="A43" s="1211"/>
      <c r="B43" s="1864"/>
      <c r="C43" s="1864"/>
      <c r="D43" s="574"/>
      <c r="H43" s="789"/>
      <c r="I43" s="789"/>
      <c r="K43" s="1385"/>
      <c r="L43" s="1864"/>
      <c r="M43" s="1864"/>
      <c r="N43" s="1385"/>
      <c r="O43" s="1385"/>
      <c r="P43" s="1385"/>
      <c r="Q43" s="1385"/>
      <c r="R43" s="1864"/>
      <c r="S43" s="1385"/>
      <c r="T43" s="1385"/>
      <c r="U43" s="767"/>
      <c r="V43" s="1385"/>
      <c r="W43" s="1385"/>
      <c r="X43" s="1385"/>
      <c r="Y43" s="1385"/>
      <c r="Z43" s="1385"/>
      <c r="AA43" s="1860"/>
      <c r="AB43" s="789"/>
      <c r="AC43" s="789"/>
      <c r="AD43" s="789"/>
      <c r="AE43" s="789"/>
    </row>
    <row s="13656" customFormat="1" customHeight="1" ht="11.25">
      <c r="A44" s="1211"/>
      <c r="B44" s="1864"/>
      <c r="C44" s="1864"/>
      <c r="D44" s="574"/>
      <c r="K44" s="1385"/>
      <c r="L44" s="1864"/>
      <c r="M44" s="1864"/>
      <c r="N44" s="1385"/>
      <c r="O44" s="1385"/>
      <c r="P44" s="1385"/>
      <c r="Q44" s="1385"/>
      <c r="R44" s="1864"/>
      <c r="S44" s="1385"/>
      <c r="T44" s="1385"/>
      <c r="U44" s="767"/>
      <c r="V44" s="1385"/>
      <c r="W44" s="1385"/>
      <c r="X44" s="1385"/>
      <c r="Y44" s="1385"/>
      <c r="Z44" s="1385"/>
      <c r="AA44" s="1860"/>
      <c r="AB44" s="789"/>
      <c r="AC44" s="789"/>
      <c r="AD44" s="789"/>
      <c r="AE44" s="789"/>
    </row>
    <row s="13656" customFormat="1" customHeight="1" ht="11.25">
      <c r="A45" s="1211"/>
      <c r="B45" s="1864"/>
      <c r="C45" s="1864"/>
      <c r="D45" s="574"/>
      <c r="K45" s="1385"/>
      <c r="L45" s="1864"/>
      <c r="M45" s="1864"/>
      <c r="N45" s="1385"/>
      <c r="O45" s="1385"/>
      <c r="P45" s="1385"/>
      <c r="Q45" s="1385"/>
      <c r="R45" s="1864"/>
      <c r="S45" s="1385"/>
      <c r="T45" s="1385"/>
      <c r="U45" s="767"/>
      <c r="V45" s="1385"/>
      <c r="W45" s="1385"/>
      <c r="X45" s="1385"/>
      <c r="Y45" s="1385"/>
      <c r="Z45" s="1385"/>
      <c r="AA45" s="1860"/>
      <c r="AB45" s="789"/>
      <c r="AC45" s="789"/>
      <c r="AD45" s="789"/>
      <c r="AE45" s="789"/>
    </row>
    <row s="13656" customFormat="1" customHeight="1" ht="11.25">
      <c r="A46" s="1211"/>
      <c r="B46" s="1864"/>
      <c r="C46" s="1864"/>
      <c r="D46" s="574"/>
      <c r="K46" s="1385"/>
      <c r="L46" s="1864"/>
      <c r="M46" s="1864"/>
      <c r="N46" s="1385"/>
      <c r="O46" s="1385"/>
      <c r="P46" s="1385"/>
      <c r="Q46" s="1385"/>
      <c r="R46" s="1864"/>
      <c r="S46" s="1385"/>
      <c r="T46" s="1385"/>
      <c r="U46" s="767"/>
      <c r="V46" s="1385"/>
      <c r="W46" s="1385"/>
      <c r="X46" s="1385"/>
      <c r="Y46" s="1385"/>
      <c r="Z46" s="1385"/>
      <c r="AA46" s="1860"/>
      <c r="AB46" s="789"/>
      <c r="AC46" s="789"/>
      <c r="AD46" s="789"/>
      <c r="AE46" s="789"/>
    </row>
    <row s="13656" customFormat="1" customHeight="1" ht="11.25">
      <c r="A47" s="1211"/>
      <c r="B47" s="1864"/>
      <c r="C47" s="1864"/>
      <c r="D47" s="574"/>
      <c r="K47" s="1385"/>
      <c r="L47" s="1864"/>
      <c r="M47" s="1864"/>
      <c r="N47" s="1385"/>
      <c r="O47" s="1385"/>
      <c r="P47" s="1385"/>
      <c r="Q47" s="1385"/>
      <c r="R47" s="1864"/>
      <c r="S47" s="1385"/>
      <c r="T47" s="1385"/>
      <c r="U47" s="767"/>
      <c r="V47" s="1385"/>
      <c r="W47" s="1385"/>
      <c r="X47" s="1385"/>
      <c r="Y47" s="1385"/>
      <c r="Z47" s="1385"/>
      <c r="AA47" s="1860"/>
      <c r="AB47" s="789"/>
      <c r="AC47" s="789"/>
      <c r="AD47" s="789"/>
      <c r="AE47" s="789"/>
    </row>
    <row s="13656" customFormat="1" customHeight="1" ht="11.25">
      <c r="A48" s="1211"/>
      <c r="B48" s="1864"/>
      <c r="C48" s="1864"/>
      <c r="D48" s="574"/>
      <c r="K48" s="1385"/>
      <c r="L48" s="1864"/>
      <c r="M48" s="1864"/>
      <c r="N48" s="1385"/>
      <c r="O48" s="1385"/>
      <c r="P48" s="1385"/>
      <c r="Q48" s="1385"/>
      <c r="R48" s="1864"/>
      <c r="S48" s="1385"/>
      <c r="T48" s="1385"/>
      <c r="U48" s="767"/>
      <c r="V48" s="1385"/>
      <c r="W48" s="1385"/>
      <c r="X48" s="1385"/>
      <c r="Y48" s="1385"/>
      <c r="Z48" s="1385"/>
      <c r="AA48" s="1860"/>
      <c r="AB48" s="789"/>
      <c r="AC48" s="789"/>
      <c r="AD48" s="789"/>
      <c r="AE48" s="789"/>
    </row>
    <row s="13656" customFormat="1" customHeight="1" ht="11.25">
      <c r="A49" s="1211"/>
      <c r="B49" s="1864"/>
      <c r="C49" s="1864"/>
      <c r="D49" s="574"/>
      <c r="K49" s="1385"/>
      <c r="L49" s="1864"/>
      <c r="M49" s="1864"/>
      <c r="N49" s="1385"/>
      <c r="O49" s="1385"/>
      <c r="P49" s="1385"/>
      <c r="Q49" s="1385"/>
      <c r="R49" s="1864"/>
      <c r="S49" s="1385"/>
      <c r="T49" s="1385"/>
      <c r="U49" s="767"/>
      <c r="V49" s="1385"/>
      <c r="W49" s="1385"/>
      <c r="X49" s="1385"/>
      <c r="Y49" s="1385"/>
      <c r="Z49" s="1385"/>
      <c r="AA49" s="1860"/>
      <c r="AB49" s="789"/>
      <c r="AC49" s="789"/>
      <c r="AD49" s="789"/>
      <c r="AE49" s="789"/>
    </row>
    <row s="13656" customFormat="1" customHeight="1" ht="11.25">
      <c r="A50" s="1211"/>
      <c r="B50" s="1864"/>
      <c r="C50" s="1864"/>
      <c r="D50" s="574"/>
      <c r="K50" s="1385"/>
      <c r="L50" s="1864"/>
      <c r="M50" s="1864"/>
      <c r="N50" s="1385"/>
      <c r="O50" s="1385"/>
      <c r="P50" s="1385"/>
      <c r="Q50" s="1385"/>
      <c r="R50" s="1864"/>
      <c r="S50" s="1385"/>
      <c r="T50" s="1385"/>
      <c r="U50" s="767"/>
      <c r="V50" s="1385"/>
      <c r="W50" s="1385"/>
      <c r="X50" s="1385"/>
      <c r="Y50" s="1385"/>
      <c r="Z50" s="1385"/>
      <c r="AA50" s="1860"/>
      <c r="AB50" s="789"/>
      <c r="AC50" s="789"/>
      <c r="AD50" s="789"/>
      <c r="AE50" s="789"/>
    </row>
    <row s="13656" customFormat="1" customHeight="1" ht="11.25">
      <c r="A51" s="1211"/>
      <c r="B51" s="1864"/>
      <c r="C51" s="1864"/>
      <c r="D51" s="574"/>
      <c r="K51" s="1385"/>
      <c r="L51" s="1864"/>
      <c r="M51" s="1864"/>
      <c r="N51" s="1385"/>
      <c r="O51" s="1385"/>
      <c r="P51" s="1385"/>
      <c r="Q51" s="1385"/>
      <c r="R51" s="1864"/>
      <c r="S51" s="1385"/>
      <c r="T51" s="1385"/>
      <c r="U51" s="767"/>
      <c r="V51" s="1385"/>
      <c r="W51" s="1385"/>
      <c r="X51" s="1385"/>
      <c r="Y51" s="1385"/>
      <c r="Z51" s="1385"/>
      <c r="AA51" s="1860"/>
      <c r="AB51" s="789"/>
      <c r="AC51" s="789"/>
      <c r="AD51" s="789"/>
      <c r="AE51" s="789"/>
    </row>
    <row s="13656" customFormat="1" customHeight="1" ht="11.25">
      <c r="A52" s="1211"/>
      <c r="B52" s="1864"/>
      <c r="C52" s="1864"/>
      <c r="D52" s="574"/>
      <c r="K52" s="1385"/>
      <c r="L52" s="1864"/>
      <c r="M52" s="1864"/>
      <c r="N52" s="1385"/>
      <c r="O52" s="1385"/>
      <c r="P52" s="1385"/>
      <c r="Q52" s="1385"/>
      <c r="R52" s="1864"/>
      <c r="S52" s="1385"/>
      <c r="T52" s="1385"/>
      <c r="U52" s="767"/>
      <c r="V52" s="1385"/>
      <c r="W52" s="1385"/>
      <c r="X52" s="1385"/>
      <c r="Y52" s="1385"/>
      <c r="Z52" s="1385"/>
      <c r="AA52" s="1860"/>
      <c r="AB52" s="789"/>
      <c r="AC52" s="789"/>
      <c r="AD52" s="789"/>
      <c r="AE52" s="789"/>
    </row>
    <row s="13656" customFormat="1" customHeight="1" ht="11.25">
      <c r="A53" s="1211"/>
      <c r="B53" s="1864"/>
      <c r="C53" s="1864"/>
      <c r="D53" s="574"/>
      <c r="K53" s="1385"/>
      <c r="L53" s="1864"/>
      <c r="M53" s="1864"/>
      <c r="N53" s="1385"/>
      <c r="O53" s="1385"/>
      <c r="P53" s="1385"/>
      <c r="Q53" s="1385"/>
      <c r="R53" s="1864"/>
      <c r="S53" s="1385"/>
      <c r="T53" s="1385"/>
      <c r="U53" s="767"/>
      <c r="V53" s="1385"/>
      <c r="W53" s="1385"/>
      <c r="X53" s="1385"/>
      <c r="Y53" s="1385"/>
      <c r="Z53" s="1385"/>
      <c r="AA53" s="1860"/>
      <c r="AB53" s="789"/>
      <c r="AC53" s="789"/>
      <c r="AD53" s="789"/>
      <c r="AE53" s="789"/>
    </row>
    <row s="13656" customFormat="1" customHeight="1" ht="11.25">
      <c r="A54" s="1211"/>
      <c r="B54" s="1864"/>
      <c r="C54" s="1864"/>
      <c r="D54" s="574"/>
      <c r="K54" s="1385"/>
      <c r="L54" s="1864"/>
      <c r="M54" s="1864"/>
      <c r="N54" s="1385"/>
      <c r="O54" s="1385"/>
      <c r="P54" s="1385"/>
      <c r="Q54" s="1385"/>
      <c r="R54" s="1864"/>
      <c r="S54" s="1385"/>
      <c r="T54" s="1385"/>
      <c r="U54" s="767"/>
      <c r="V54" s="1385"/>
      <c r="W54" s="1385"/>
      <c r="X54" s="1385"/>
      <c r="Y54" s="1385"/>
      <c r="Z54" s="1385"/>
      <c r="AA54" s="1860"/>
      <c r="AB54" s="789"/>
      <c r="AC54" s="789"/>
      <c r="AD54" s="789"/>
      <c r="AE54" s="789"/>
    </row>
    <row s="13656" customFormat="1" customHeight="1" ht="11.25">
      <c r="A55" s="1211"/>
      <c r="B55" s="1864"/>
      <c r="C55" s="1864"/>
      <c r="D55" s="574"/>
      <c r="K55" s="1385"/>
      <c r="L55" s="1864"/>
      <c r="M55" s="1864"/>
      <c r="N55" s="1385"/>
      <c r="O55" s="1385"/>
      <c r="P55" s="1385"/>
      <c r="Q55" s="1385"/>
      <c r="R55" s="1864"/>
      <c r="S55" s="1385"/>
      <c r="T55" s="1385"/>
      <c r="U55" s="767"/>
      <c r="V55" s="1385"/>
      <c r="W55" s="1385"/>
      <c r="X55" s="1385"/>
      <c r="Y55" s="1385"/>
      <c r="Z55" s="1385"/>
      <c r="AA55" s="1860"/>
      <c r="AB55" s="789"/>
      <c r="AC55" s="789"/>
      <c r="AD55" s="789"/>
      <c r="AE55" s="789"/>
    </row>
    <row s="13656" customFormat="1" customHeight="1" ht="11.25">
      <c r="A56" s="1211"/>
      <c r="B56" s="1864"/>
      <c r="C56" s="1864"/>
      <c r="D56" s="574"/>
      <c r="K56" s="1385"/>
      <c r="L56" s="1864"/>
      <c r="M56" s="1864"/>
      <c r="N56" s="1385"/>
      <c r="O56" s="1385"/>
      <c r="P56" s="1385"/>
      <c r="Q56" s="1385"/>
      <c r="R56" s="1864"/>
      <c r="S56" s="1385"/>
      <c r="T56" s="1385"/>
      <c r="U56" s="767"/>
      <c r="V56" s="1385"/>
      <c r="W56" s="1385"/>
      <c r="X56" s="1385"/>
      <c r="Y56" s="1385"/>
      <c r="Z56" s="1385"/>
      <c r="AA56" s="1860"/>
      <c r="AB56" s="789"/>
      <c r="AC56" s="789"/>
      <c r="AD56" s="789"/>
      <c r="AE56" s="789"/>
    </row>
    <row s="13656" customFormat="1" customHeight="1" ht="11.25">
      <c r="A57" s="1211"/>
      <c r="B57" s="1864"/>
      <c r="C57" s="1864"/>
      <c r="D57" s="574"/>
      <c r="K57" s="1385"/>
      <c r="L57" s="1864"/>
      <c r="M57" s="1864"/>
      <c r="N57" s="1385"/>
      <c r="O57" s="1385"/>
      <c r="P57" s="1385"/>
      <c r="Q57" s="1385"/>
      <c r="R57" s="1864"/>
      <c r="S57" s="1385"/>
      <c r="T57" s="1385"/>
      <c r="U57" s="767"/>
      <c r="V57" s="1385"/>
      <c r="W57" s="1385"/>
      <c r="X57" s="1385"/>
      <c r="Y57" s="1385"/>
      <c r="Z57" s="1385"/>
      <c r="AA57" s="1860"/>
      <c r="AB57" s="789"/>
      <c r="AC57" s="789"/>
      <c r="AD57" s="789"/>
      <c r="AE57" s="789"/>
    </row>
    <row s="13656" customFormat="1" customHeight="1" ht="11.25">
      <c r="A58" s="1211"/>
      <c r="B58" s="1864"/>
      <c r="C58" s="1864"/>
      <c r="D58" s="574"/>
      <c r="K58" s="1385"/>
      <c r="L58" s="1864"/>
      <c r="M58" s="1864"/>
      <c r="N58" s="1385"/>
      <c r="O58" s="1385"/>
      <c r="P58" s="1385"/>
      <c r="Q58" s="1385"/>
      <c r="R58" s="1864"/>
      <c r="S58" s="1385"/>
      <c r="T58" s="1385"/>
      <c r="U58" s="767"/>
      <c r="V58" s="1385"/>
      <c r="W58" s="1385"/>
      <c r="X58" s="1385"/>
      <c r="Y58" s="1385"/>
      <c r="Z58" s="1385"/>
      <c r="AA58" s="1860"/>
      <c r="AB58" s="789"/>
      <c r="AC58" s="789"/>
      <c r="AD58" s="789"/>
      <c r="AE58" s="789"/>
    </row>
    <row s="13656" customFormat="1" customHeight="1" ht="11.25">
      <c r="A59" s="1211"/>
      <c r="B59" s="1864"/>
      <c r="C59" s="1864"/>
      <c r="D59" s="574"/>
      <c r="K59" s="1385"/>
      <c r="L59" s="1864"/>
      <c r="M59" s="1864"/>
      <c r="N59" s="1385"/>
      <c r="O59" s="1385"/>
      <c r="P59" s="1385"/>
      <c r="Q59" s="1385"/>
      <c r="R59" s="1864"/>
      <c r="S59" s="1385"/>
      <c r="T59" s="1385"/>
      <c r="U59" s="767"/>
      <c r="V59" s="1385"/>
      <c r="W59" s="1385"/>
      <c r="X59" s="1385"/>
      <c r="Y59" s="1385"/>
      <c r="Z59" s="1385"/>
      <c r="AA59" s="1860"/>
      <c r="AB59" s="789"/>
      <c r="AC59" s="789"/>
      <c r="AD59" s="789"/>
      <c r="AE59" s="789"/>
    </row>
    <row s="13656" customFormat="1" customHeight="1" ht="11.25">
      <c r="A60" s="1211"/>
      <c r="B60" s="1864"/>
      <c r="C60" s="1864"/>
      <c r="D60" s="574"/>
      <c r="K60" s="1385"/>
      <c r="L60" s="1864"/>
      <c r="M60" s="1864"/>
      <c r="N60" s="1385"/>
      <c r="O60" s="1385"/>
      <c r="P60" s="1385"/>
      <c r="Q60" s="1385"/>
      <c r="R60" s="1864"/>
      <c r="S60" s="1385"/>
      <c r="T60" s="1385"/>
      <c r="U60" s="767"/>
      <c r="V60" s="1385"/>
      <c r="W60" s="1385"/>
      <c r="X60" s="1385"/>
      <c r="Y60" s="1385"/>
      <c r="Z60" s="1385"/>
      <c r="AA60" s="1860"/>
      <c r="AB60" s="789"/>
      <c r="AC60" s="789"/>
      <c r="AD60" s="789"/>
      <c r="AE60" s="789"/>
    </row>
    <row s="13656" customFormat="1" customHeight="1" ht="11.25">
      <c r="A61" s="1211"/>
      <c r="B61" s="1864"/>
      <c r="C61" s="1864"/>
      <c r="D61" s="574"/>
      <c r="K61" s="1385"/>
      <c r="L61" s="1864"/>
      <c r="M61" s="1864"/>
      <c r="N61" s="1385"/>
      <c r="O61" s="1385"/>
      <c r="P61" s="1385"/>
      <c r="Q61" s="1385"/>
      <c r="R61" s="1864"/>
      <c r="S61" s="1385"/>
      <c r="T61" s="1385"/>
      <c r="U61" s="767"/>
      <c r="V61" s="1385"/>
      <c r="W61" s="1385"/>
      <c r="X61" s="1385"/>
      <c r="Y61" s="1385"/>
      <c r="Z61" s="1385"/>
      <c r="AA61" s="1860"/>
      <c r="AB61" s="789"/>
      <c r="AC61" s="789"/>
      <c r="AD61" s="789"/>
      <c r="AE61" s="789"/>
    </row>
    <row s="13656" customFormat="1" customHeight="1" ht="11.25">
      <c r="A62" s="1211"/>
      <c r="B62" s="1864"/>
      <c r="C62" s="1864"/>
      <c r="D62" s="574"/>
      <c r="K62" s="1385"/>
      <c r="L62" s="1864"/>
      <c r="M62" s="1864"/>
      <c r="N62" s="1385"/>
      <c r="O62" s="1385"/>
      <c r="P62" s="1385"/>
      <c r="Q62" s="1385"/>
      <c r="R62" s="1864"/>
      <c r="S62" s="1385"/>
      <c r="T62" s="1385"/>
      <c r="U62" s="767"/>
      <c r="V62" s="1385"/>
      <c r="W62" s="1385"/>
      <c r="X62" s="1385"/>
      <c r="Y62" s="1385"/>
      <c r="Z62" s="1385"/>
      <c r="AA62" s="1860"/>
      <c r="AB62" s="789"/>
      <c r="AC62" s="789"/>
      <c r="AD62" s="789"/>
      <c r="AE62" s="789"/>
    </row>
    <row s="13656" customFormat="1" customHeight="1" ht="11.25">
      <c r="A63" s="1211"/>
      <c r="B63" s="1864"/>
      <c r="C63" s="1864"/>
      <c r="D63" s="574"/>
      <c r="K63" s="1385"/>
      <c r="L63" s="1864"/>
      <c r="M63" s="1864"/>
      <c r="N63" s="1385"/>
      <c r="O63" s="1385"/>
      <c r="P63" s="1385"/>
      <c r="Q63" s="1385"/>
      <c r="R63" s="1864"/>
      <c r="S63" s="1385"/>
      <c r="T63" s="1385"/>
      <c r="U63" s="767"/>
      <c r="V63" s="1385"/>
      <c r="W63" s="1385"/>
      <c r="X63" s="1385"/>
      <c r="Y63" s="1385"/>
      <c r="Z63" s="1385"/>
      <c r="AA63" s="1860"/>
      <c r="AB63" s="789"/>
      <c r="AC63" s="789"/>
      <c r="AD63" s="789"/>
      <c r="AE63" s="789"/>
    </row>
    <row s="13656" customFormat="1" customHeight="1" ht="11.25">
      <c r="A64" s="1211"/>
      <c r="B64" s="1864"/>
      <c r="C64" s="1864"/>
      <c r="D64" s="574"/>
      <c r="K64" s="1385"/>
      <c r="L64" s="1864"/>
      <c r="M64" s="1864"/>
      <c r="N64" s="1385"/>
      <c r="O64" s="1385"/>
      <c r="P64" s="1385"/>
      <c r="Q64" s="1385"/>
      <c r="R64" s="1864"/>
      <c r="S64" s="1385"/>
      <c r="T64" s="1385"/>
      <c r="U64" s="767"/>
      <c r="V64" s="1385"/>
      <c r="W64" s="1385"/>
      <c r="X64" s="1385"/>
      <c r="Y64" s="1385"/>
      <c r="Z64" s="1385"/>
      <c r="AA64" s="1860"/>
      <c r="AB64" s="789"/>
      <c r="AC64" s="789"/>
      <c r="AD64" s="789"/>
      <c r="AE64" s="789"/>
    </row>
    <row s="13656" customFormat="1" customHeight="1" ht="11.25">
      <c r="A65" s="1211"/>
      <c r="B65" s="1864"/>
      <c r="C65" s="1864"/>
      <c r="D65" s="574"/>
      <c r="K65" s="1385"/>
      <c r="L65" s="1864"/>
      <c r="M65" s="1864"/>
      <c r="N65" s="1385"/>
      <c r="O65" s="1385"/>
      <c r="P65" s="1385"/>
      <c r="Q65" s="1385"/>
      <c r="R65" s="1864"/>
      <c r="S65" s="1385"/>
      <c r="T65" s="1385"/>
      <c r="U65" s="767"/>
      <c r="V65" s="1385"/>
      <c r="W65" s="1385"/>
      <c r="X65" s="1385"/>
      <c r="Y65" s="1385"/>
      <c r="Z65" s="1385"/>
      <c r="AA65" s="1860"/>
      <c r="AB65" s="789"/>
      <c r="AC65" s="789"/>
      <c r="AD65" s="789"/>
      <c r="AE65" s="789"/>
    </row>
    <row s="13656" customFormat="1" customHeight="1" ht="11.25">
      <c r="A66" s="1211"/>
      <c r="B66" s="1864"/>
      <c r="C66" s="1864"/>
      <c r="D66" s="574"/>
      <c r="K66" s="1385"/>
      <c r="L66" s="1864"/>
      <c r="M66" s="1864"/>
      <c r="N66" s="1385"/>
      <c r="O66" s="1385"/>
      <c r="P66" s="1385"/>
      <c r="Q66" s="1385"/>
      <c r="R66" s="1864"/>
      <c r="S66" s="1385"/>
      <c r="T66" s="1385"/>
      <c r="U66" s="767"/>
      <c r="V66" s="1385"/>
      <c r="W66" s="1385"/>
      <c r="X66" s="1385"/>
      <c r="Y66" s="1385"/>
      <c r="Z66" s="1385"/>
      <c r="AA66" s="1860"/>
      <c r="AB66" s="789"/>
      <c r="AC66" s="789"/>
      <c r="AD66" s="789"/>
      <c r="AE66" s="789"/>
    </row>
    <row s="13656" customFormat="1" customHeight="1" ht="11.25">
      <c r="A67" s="1211"/>
      <c r="B67" s="1864"/>
      <c r="C67" s="1864"/>
      <c r="D67" s="574"/>
      <c r="K67" s="1385"/>
      <c r="L67" s="1864"/>
      <c r="M67" s="1864"/>
      <c r="N67" s="1385"/>
      <c r="O67" s="1385"/>
      <c r="P67" s="1385"/>
      <c r="Q67" s="1385"/>
      <c r="R67" s="1864"/>
      <c r="S67" s="1385"/>
      <c r="T67" s="1385"/>
      <c r="U67" s="767"/>
      <c r="V67" s="1385"/>
      <c r="W67" s="1385"/>
      <c r="X67" s="1385"/>
      <c r="Y67" s="1385"/>
      <c r="Z67" s="1385"/>
      <c r="AA67" s="1860"/>
      <c r="AB67" s="789"/>
      <c r="AC67" s="789"/>
      <c r="AD67" s="789"/>
      <c r="AE67" s="789"/>
    </row>
    <row s="13656" customFormat="1" customHeight="1" ht="11.25">
      <c r="A68" s="1211"/>
      <c r="B68" s="1864"/>
      <c r="C68" s="1864"/>
      <c r="D68" s="574"/>
      <c r="K68" s="1385"/>
      <c r="L68" s="1864"/>
      <c r="M68" s="1864"/>
      <c r="N68" s="1385"/>
      <c r="O68" s="1385"/>
      <c r="P68" s="1385"/>
      <c r="Q68" s="1385"/>
      <c r="R68" s="1864"/>
      <c r="S68" s="1385"/>
      <c r="T68" s="1385"/>
      <c r="U68" s="767"/>
      <c r="V68" s="1385"/>
      <c r="W68" s="1385"/>
      <c r="X68" s="1385"/>
      <c r="Y68" s="1385"/>
      <c r="Z68" s="1385"/>
      <c r="AA68" s="1860"/>
      <c r="AB68" s="789"/>
      <c r="AC68" s="789"/>
      <c r="AD68" s="789"/>
      <c r="AE68" s="789"/>
    </row>
    <row s="13656" customFormat="1" customHeight="1" ht="11.25">
      <c r="A69" s="1211"/>
      <c r="B69" s="1864"/>
      <c r="C69" s="1864"/>
      <c r="D69" s="574"/>
      <c r="K69" s="1385"/>
      <c r="L69" s="1864"/>
      <c r="M69" s="1864"/>
      <c r="N69" s="1385"/>
      <c r="O69" s="1385"/>
      <c r="P69" s="1385"/>
      <c r="Q69" s="1385"/>
      <c r="R69" s="1864"/>
      <c r="S69" s="1385"/>
      <c r="T69" s="1385"/>
      <c r="U69" s="767"/>
      <c r="V69" s="1385"/>
      <c r="W69" s="1385"/>
      <c r="X69" s="1385"/>
      <c r="Y69" s="1385"/>
      <c r="Z69" s="1385"/>
      <c r="AA69" s="1860"/>
      <c r="AB69" s="789"/>
      <c r="AC69" s="789"/>
      <c r="AD69" s="789"/>
      <c r="AE69" s="789"/>
    </row>
    <row s="13656" customFormat="1" customHeight="1" ht="11.25">
      <c r="A70" s="1211"/>
      <c r="B70" s="1864"/>
      <c r="C70" s="1864"/>
      <c r="D70" s="574"/>
      <c r="K70" s="1385"/>
      <c r="L70" s="1864"/>
      <c r="M70" s="1864"/>
      <c r="N70" s="1385"/>
      <c r="O70" s="1385"/>
      <c r="P70" s="1385"/>
      <c r="Q70" s="1385"/>
      <c r="R70" s="1864"/>
      <c r="S70" s="1385"/>
      <c r="T70" s="1385"/>
      <c r="U70" s="767"/>
      <c r="V70" s="1385"/>
      <c r="W70" s="1385"/>
      <c r="X70" s="1385"/>
      <c r="Y70" s="1385"/>
      <c r="Z70" s="1385"/>
      <c r="AA70" s="1860"/>
      <c r="AB70" s="789"/>
      <c r="AC70" s="789"/>
      <c r="AD70" s="789"/>
      <c r="AE70" s="789"/>
    </row>
    <row s="13656" customFormat="1" customHeight="1" ht="11.25">
      <c r="A71" s="1211"/>
      <c r="B71" s="1864"/>
      <c r="C71" s="1864"/>
      <c r="D71" s="574"/>
      <c r="K71" s="1385"/>
      <c r="L71" s="1864"/>
      <c r="M71" s="1864"/>
      <c r="N71" s="1385"/>
      <c r="O71" s="1385"/>
      <c r="P71" s="1385"/>
      <c r="Q71" s="1385"/>
      <c r="R71" s="1864"/>
      <c r="S71" s="1385"/>
      <c r="T71" s="1385"/>
      <c r="U71" s="767"/>
      <c r="V71" s="1385"/>
      <c r="W71" s="1385"/>
      <c r="X71" s="1385"/>
      <c r="Y71" s="1385"/>
      <c r="Z71" s="1385"/>
      <c r="AA71" s="1860"/>
      <c r="AB71" s="789"/>
      <c r="AC71" s="789"/>
      <c r="AD71" s="789"/>
      <c r="AE71" s="789"/>
    </row>
    <row s="13656" customFormat="1" customHeight="1" ht="11.25">
      <c r="A72" s="1211"/>
      <c r="B72" s="1864"/>
      <c r="C72" s="1864"/>
      <c r="D72" s="574"/>
      <c r="K72" s="1385"/>
      <c r="L72" s="1864"/>
      <c r="M72" s="1864"/>
      <c r="N72" s="1385"/>
      <c r="O72" s="1385"/>
      <c r="P72" s="1385"/>
      <c r="Q72" s="1385"/>
      <c r="R72" s="1864"/>
      <c r="S72" s="1385"/>
      <c r="T72" s="1385"/>
      <c r="U72" s="767"/>
      <c r="V72" s="1385"/>
      <c r="W72" s="1385"/>
      <c r="X72" s="1385"/>
      <c r="Y72" s="1385"/>
      <c r="Z72" s="1385"/>
      <c r="AA72" s="1860"/>
      <c r="AB72" s="789"/>
      <c r="AC72" s="789"/>
      <c r="AD72" s="789"/>
      <c r="AE72" s="789"/>
    </row>
    <row s="13656" customFormat="1" customHeight="1" ht="11.25">
      <c r="A73" s="1211"/>
      <c r="B73" s="1864"/>
      <c r="C73" s="1864"/>
      <c r="D73" s="574"/>
      <c r="K73" s="1385"/>
      <c r="L73" s="1864"/>
      <c r="M73" s="1864"/>
      <c r="N73" s="1385"/>
      <c r="O73" s="1385"/>
      <c r="P73" s="1385"/>
      <c r="Q73" s="1385"/>
      <c r="R73" s="1864"/>
      <c r="S73" s="1385"/>
      <c r="T73" s="1385"/>
      <c r="U73" s="767"/>
      <c r="V73" s="1385"/>
      <c r="W73" s="1385"/>
      <c r="X73" s="1385"/>
      <c r="Y73" s="1385"/>
      <c r="Z73" s="1385"/>
      <c r="AA73" s="1860"/>
      <c r="AB73" s="789"/>
      <c r="AC73" s="789"/>
      <c r="AD73" s="789"/>
      <c r="AE73" s="789"/>
    </row>
    <row s="13656" customFormat="1" customHeight="1" ht="11.25">
      <c r="A74" s="1211"/>
      <c r="B74" s="1864"/>
      <c r="C74" s="1864"/>
      <c r="D74" s="574"/>
      <c r="K74" s="1385"/>
      <c r="L74" s="1864"/>
      <c r="M74" s="1864"/>
      <c r="N74" s="1385"/>
      <c r="O74" s="1385"/>
      <c r="P74" s="1385"/>
      <c r="Q74" s="1385"/>
      <c r="R74" s="1864"/>
      <c r="S74" s="1385"/>
      <c r="T74" s="1385"/>
      <c r="U74" s="767"/>
      <c r="V74" s="1385"/>
      <c r="W74" s="1385"/>
      <c r="X74" s="1385"/>
      <c r="Y74" s="1385"/>
      <c r="Z74" s="1385"/>
      <c r="AA74" s="1860"/>
      <c r="AB74" s="789"/>
      <c r="AC74" s="789"/>
      <c r="AD74" s="789"/>
      <c r="AE74" s="789"/>
    </row>
    <row s="13656" customFormat="1" customHeight="1" ht="11.25">
      <c r="A75" s="1211"/>
      <c r="B75" s="1864"/>
      <c r="C75" s="1864"/>
      <c r="D75" s="574"/>
      <c r="K75" s="1385"/>
      <c r="L75" s="1864"/>
      <c r="M75" s="1864"/>
      <c r="N75" s="1385"/>
      <c r="O75" s="1385"/>
      <c r="P75" s="1385"/>
      <c r="Q75" s="1385"/>
      <c r="R75" s="1864"/>
      <c r="S75" s="1385"/>
      <c r="T75" s="1385"/>
      <c r="U75" s="767"/>
      <c r="V75" s="1385"/>
      <c r="W75" s="1385"/>
      <c r="X75" s="1385"/>
      <c r="Y75" s="1385"/>
      <c r="Z75" s="1385"/>
      <c r="AA75" s="1860"/>
      <c r="AB75" s="789"/>
      <c r="AC75" s="789"/>
      <c r="AD75" s="789"/>
      <c r="AE75" s="789"/>
    </row>
    <row s="13656" customFormat="1" customHeight="1" ht="11.25">
      <c r="A76" s="1211"/>
      <c r="B76" s="1864"/>
      <c r="C76" s="1864"/>
      <c r="D76" s="574"/>
      <c r="K76" s="1385"/>
      <c r="L76" s="1864"/>
      <c r="M76" s="1864"/>
      <c r="N76" s="1385"/>
      <c r="O76" s="1385"/>
      <c r="P76" s="1385"/>
      <c r="Q76" s="1385"/>
      <c r="R76" s="1864"/>
      <c r="S76" s="1385"/>
      <c r="T76" s="1385"/>
      <c r="U76" s="767"/>
      <c r="V76" s="1385"/>
      <c r="W76" s="1385"/>
      <c r="X76" s="1385"/>
      <c r="Y76" s="1385"/>
      <c r="Z76" s="1385"/>
      <c r="AA76" s="1860"/>
      <c r="AB76" s="789"/>
      <c r="AC76" s="789"/>
      <c r="AD76" s="789"/>
      <c r="AE76" s="789"/>
    </row>
    <row s="13656" customFormat="1" customHeight="1" ht="11.25">
      <c r="A77" s="1211"/>
      <c r="B77" s="1864"/>
      <c r="C77" s="1864"/>
      <c r="D77" s="574"/>
      <c r="K77" s="1385"/>
      <c r="L77" s="1864"/>
      <c r="M77" s="1864"/>
      <c r="N77" s="1385"/>
      <c r="O77" s="1385"/>
      <c r="P77" s="1385"/>
      <c r="Q77" s="1385"/>
      <c r="R77" s="1864"/>
      <c r="S77" s="1385"/>
      <c r="T77" s="1385"/>
      <c r="U77" s="767"/>
      <c r="V77" s="1385"/>
      <c r="W77" s="1385"/>
      <c r="X77" s="1385"/>
      <c r="Y77" s="1385"/>
      <c r="Z77" s="1385"/>
      <c r="AA77" s="1860"/>
      <c r="AB77" s="789"/>
      <c r="AC77" s="789"/>
      <c r="AD77" s="789"/>
      <c r="AE77" s="789"/>
    </row>
    <row s="13656" customFormat="1" customHeight="1" ht="11.25">
      <c r="A78" s="1211"/>
      <c r="B78" s="1864"/>
      <c r="C78" s="1864"/>
      <c r="D78" s="574"/>
      <c r="K78" s="1385"/>
      <c r="L78" s="1864"/>
      <c r="M78" s="1864"/>
      <c r="N78" s="1385"/>
      <c r="O78" s="1385"/>
      <c r="P78" s="1385"/>
      <c r="Q78" s="1385"/>
      <c r="R78" s="1864"/>
      <c r="S78" s="1385"/>
      <c r="T78" s="1385"/>
      <c r="U78" s="767"/>
      <c r="V78" s="1385"/>
      <c r="W78" s="1385"/>
      <c r="X78" s="1385"/>
      <c r="Y78" s="1385"/>
      <c r="Z78" s="1385"/>
      <c r="AA78" s="1860"/>
      <c r="AB78" s="789"/>
      <c r="AC78" s="789"/>
      <c r="AD78" s="789"/>
      <c r="AE78" s="789"/>
    </row>
    <row s="13656" customFormat="1" customHeight="1" ht="11.25">
      <c r="A79" s="1211"/>
      <c r="B79" s="1864"/>
      <c r="C79" s="1864"/>
      <c r="D79" s="574"/>
      <c r="K79" s="1385"/>
      <c r="L79" s="1864"/>
      <c r="M79" s="1864"/>
      <c r="N79" s="1385"/>
      <c r="O79" s="1385"/>
      <c r="P79" s="1385"/>
      <c r="Q79" s="1385"/>
      <c r="R79" s="1864"/>
      <c r="S79" s="1385"/>
      <c r="T79" s="1385"/>
      <c r="U79" s="767"/>
      <c r="V79" s="1385"/>
      <c r="W79" s="1385"/>
      <c r="X79" s="1385"/>
      <c r="Y79" s="1385"/>
      <c r="Z79" s="1385"/>
      <c r="AA79" s="1860"/>
      <c r="AB79" s="789"/>
      <c r="AC79" s="789"/>
      <c r="AD79" s="789"/>
      <c r="AE79" s="789"/>
    </row>
    <row s="13656" customFormat="1" customHeight="1" ht="11.25">
      <c r="A80" s="1211"/>
      <c r="B80" s="1864"/>
      <c r="C80" s="1864"/>
      <c r="D80" s="574"/>
      <c r="K80" s="1385"/>
      <c r="L80" s="1864"/>
      <c r="M80" s="1864"/>
      <c r="N80" s="1385"/>
      <c r="O80" s="1385"/>
      <c r="P80" s="1385"/>
      <c r="Q80" s="1385"/>
      <c r="R80" s="1864"/>
      <c r="S80" s="1385"/>
      <c r="T80" s="1385"/>
      <c r="U80" s="767"/>
      <c r="V80" s="1385"/>
      <c r="W80" s="1385"/>
      <c r="X80" s="1385"/>
      <c r="Y80" s="1385"/>
      <c r="Z80" s="1385"/>
      <c r="AA80" s="1860"/>
      <c r="AB80" s="789"/>
      <c r="AC80" s="789"/>
      <c r="AD80" s="789"/>
      <c r="AE80" s="789"/>
    </row>
    <row s="13656" customFormat="1" customHeight="1" ht="11.25">
      <c r="A81" s="1211"/>
      <c r="B81" s="1864"/>
      <c r="C81" s="1864"/>
      <c r="D81" s="574"/>
      <c r="K81" s="1385"/>
      <c r="L81" s="1864"/>
      <c r="M81" s="1864"/>
      <c r="N81" s="1385"/>
      <c r="O81" s="1385"/>
      <c r="P81" s="1385"/>
      <c r="Q81" s="1385"/>
      <c r="R81" s="1864"/>
      <c r="S81" s="1385"/>
      <c r="T81" s="1385"/>
      <c r="U81" s="767"/>
      <c r="V81" s="1385"/>
      <c r="W81" s="1385"/>
      <c r="X81" s="1385"/>
      <c r="Y81" s="1385"/>
      <c r="Z81" s="1385"/>
      <c r="AA81" s="1860"/>
      <c r="AB81" s="789"/>
      <c r="AC81" s="789"/>
      <c r="AD81" s="789"/>
      <c r="AE81" s="789"/>
    </row>
    <row s="13656" customFormat="1" customHeight="1" ht="11.25">
      <c r="A82" s="1211"/>
      <c r="B82" s="1864"/>
      <c r="C82" s="1864"/>
      <c r="D82" s="574"/>
      <c r="K82" s="1385"/>
      <c r="L82" s="1864"/>
      <c r="M82" s="1864"/>
      <c r="N82" s="1385"/>
      <c r="O82" s="1385"/>
      <c r="P82" s="1385"/>
      <c r="Q82" s="1385"/>
      <c r="R82" s="1864"/>
      <c r="S82" s="1385"/>
      <c r="T82" s="1385"/>
      <c r="U82" s="767"/>
      <c r="V82" s="1385"/>
      <c r="W82" s="1385"/>
      <c r="X82" s="1385"/>
      <c r="Y82" s="1385"/>
      <c r="Z82" s="1385"/>
      <c r="AA82" s="1860"/>
      <c r="AB82" s="789"/>
      <c r="AC82" s="789"/>
      <c r="AD82" s="789"/>
      <c r="AE82" s="789"/>
    </row>
    <row s="13656" customFormat="1" customHeight="1" ht="11.25">
      <c r="A83" s="1211"/>
      <c r="B83" s="1864"/>
      <c r="C83" s="1864"/>
      <c r="D83" s="574"/>
      <c r="K83" s="1385"/>
      <c r="L83" s="1864"/>
      <c r="M83" s="1864"/>
      <c r="N83" s="1385"/>
      <c r="O83" s="1385"/>
      <c r="P83" s="1385"/>
      <c r="Q83" s="1385"/>
      <c r="R83" s="1864"/>
      <c r="S83" s="1385"/>
      <c r="T83" s="1385"/>
      <c r="U83" s="767"/>
      <c r="V83" s="1385"/>
      <c r="W83" s="1385"/>
      <c r="X83" s="1385"/>
      <c r="Y83" s="1385"/>
      <c r="Z83" s="1385"/>
      <c r="AA83" s="1860"/>
      <c r="AB83" s="789"/>
      <c r="AC83" s="789"/>
      <c r="AD83" s="789"/>
      <c r="AE83" s="789"/>
    </row>
    <row s="13656" customFormat="1" customHeight="1" ht="11.25">
      <c r="A84" s="1211"/>
      <c r="B84" s="1864"/>
      <c r="C84" s="1864"/>
      <c r="D84" s="574"/>
      <c r="K84" s="1385"/>
      <c r="L84" s="1864"/>
      <c r="M84" s="1864"/>
      <c r="N84" s="1385"/>
      <c r="O84" s="1385"/>
      <c r="P84" s="1385"/>
      <c r="Q84" s="1385"/>
      <c r="R84" s="1864"/>
      <c r="S84" s="1385"/>
      <c r="T84" s="1385"/>
      <c r="U84" s="767"/>
      <c r="V84" s="1385"/>
      <c r="W84" s="1385"/>
      <c r="X84" s="1385"/>
      <c r="Y84" s="1385"/>
      <c r="Z84" s="1385"/>
      <c r="AA84" s="1860"/>
      <c r="AB84" s="789"/>
      <c r="AC84" s="789"/>
      <c r="AD84" s="789"/>
      <c r="AE84" s="789"/>
    </row>
    <row s="13656" customFormat="1" customHeight="1" ht="11.25">
      <c r="A85" s="1211"/>
      <c r="B85" s="1864"/>
      <c r="C85" s="1864"/>
      <c r="D85" s="574"/>
      <c r="K85" s="1385"/>
      <c r="L85" s="1864"/>
      <c r="M85" s="1864"/>
      <c r="N85" s="1385"/>
      <c r="O85" s="1385"/>
      <c r="P85" s="1385"/>
      <c r="Q85" s="1385"/>
      <c r="R85" s="1864"/>
      <c r="S85" s="1385"/>
      <c r="T85" s="1385"/>
      <c r="U85" s="767"/>
      <c r="V85" s="1385"/>
      <c r="W85" s="1385"/>
      <c r="X85" s="1385"/>
      <c r="Y85" s="1385"/>
      <c r="Z85" s="1385"/>
      <c r="AA85" s="1860"/>
      <c r="AB85" s="789"/>
      <c r="AC85" s="789"/>
      <c r="AD85" s="789"/>
      <c r="AE85" s="789"/>
    </row>
    <row s="13656" customFormat="1" customHeight="1" ht="11.25">
      <c r="A86" s="1211"/>
      <c r="B86" s="1864"/>
      <c r="C86" s="1864"/>
      <c r="D86" s="574"/>
      <c r="K86" s="1385"/>
      <c r="L86" s="1864"/>
      <c r="M86" s="1864"/>
      <c r="N86" s="1385"/>
      <c r="O86" s="1385"/>
      <c r="P86" s="1385"/>
      <c r="Q86" s="1385"/>
      <c r="R86" s="1864"/>
      <c r="S86" s="1385"/>
      <c r="T86" s="1385"/>
      <c r="U86" s="767"/>
      <c r="V86" s="1385"/>
      <c r="W86" s="1385"/>
      <c r="X86" s="1385"/>
      <c r="Y86" s="1385"/>
      <c r="Z86" s="1385"/>
      <c r="AA86" s="1860"/>
      <c r="AB86" s="789"/>
      <c r="AC86" s="789"/>
      <c r="AD86" s="789"/>
      <c r="AE86" s="789"/>
    </row>
    <row s="13656" customFormat="1" customHeight="1" ht="11.25">
      <c r="A87" s="1211"/>
      <c r="B87" s="1864"/>
      <c r="C87" s="1864"/>
      <c r="D87" s="574"/>
      <c r="K87" s="1385"/>
      <c r="L87" s="1864"/>
      <c r="M87" s="1864"/>
      <c r="N87" s="1385"/>
      <c r="O87" s="1385"/>
      <c r="P87" s="1385"/>
      <c r="Q87" s="1385"/>
      <c r="R87" s="1864"/>
      <c r="S87" s="1385"/>
      <c r="T87" s="1385"/>
      <c r="U87" s="767"/>
      <c r="V87" s="1385"/>
      <c r="W87" s="1385"/>
      <c r="X87" s="1385"/>
      <c r="Y87" s="1385"/>
      <c r="Z87" s="1385"/>
      <c r="AA87" s="1860"/>
      <c r="AB87" s="789"/>
      <c r="AC87" s="789"/>
      <c r="AD87" s="789"/>
      <c r="AE87" s="789"/>
    </row>
    <row s="13656" customFormat="1" customHeight="1" ht="11.25">
      <c r="A88" s="1211"/>
      <c r="B88" s="1864"/>
      <c r="C88" s="1864"/>
      <c r="D88" s="574"/>
      <c r="K88" s="1385"/>
      <c r="L88" s="1864"/>
      <c r="M88" s="1864"/>
      <c r="N88" s="1385"/>
      <c r="O88" s="1385"/>
      <c r="P88" s="1385"/>
      <c r="Q88" s="1385"/>
      <c r="R88" s="1864"/>
      <c r="S88" s="1385"/>
      <c r="T88" s="1385"/>
      <c r="U88" s="767"/>
      <c r="V88" s="1385"/>
      <c r="W88" s="1385"/>
      <c r="X88" s="1385"/>
      <c r="Y88" s="1385"/>
      <c r="Z88" s="1385"/>
      <c r="AA88" s="1860"/>
      <c r="AB88" s="789"/>
      <c r="AC88" s="789"/>
      <c r="AD88" s="789"/>
      <c r="AE88" s="789"/>
    </row>
    <row s="13656" customFormat="1" customHeight="1" ht="11.25">
      <c r="A89" s="1211"/>
      <c r="B89" s="1864"/>
      <c r="C89" s="1864"/>
      <c r="D89" s="574"/>
      <c r="K89" s="1385"/>
      <c r="L89" s="1864"/>
      <c r="M89" s="1864"/>
      <c r="N89" s="1385"/>
      <c r="O89" s="1385"/>
      <c r="P89" s="1385"/>
      <c r="Q89" s="1385"/>
      <c r="R89" s="1864"/>
      <c r="S89" s="1385"/>
      <c r="T89" s="1385"/>
      <c r="U89" s="767"/>
      <c r="V89" s="1385"/>
      <c r="W89" s="1385"/>
      <c r="X89" s="1385"/>
      <c r="Y89" s="1385"/>
      <c r="Z89" s="1385"/>
      <c r="AA89" s="1860"/>
      <c r="AB89" s="789"/>
      <c r="AC89" s="789"/>
      <c r="AD89" s="789"/>
      <c r="AE89" s="789"/>
    </row>
    <row s="13656" customFormat="1" customHeight="1" ht="11.25">
      <c r="A90" s="1211"/>
      <c r="B90" s="1864"/>
      <c r="C90" s="1864"/>
      <c r="D90" s="574"/>
      <c r="K90" s="1385"/>
      <c r="L90" s="1864"/>
      <c r="M90" s="1864"/>
      <c r="N90" s="1385"/>
      <c r="O90" s="1385"/>
      <c r="P90" s="1385"/>
      <c r="Q90" s="1385"/>
      <c r="R90" s="1864"/>
      <c r="S90" s="1385"/>
      <c r="T90" s="1385"/>
      <c r="U90" s="767"/>
      <c r="V90" s="1385"/>
      <c r="W90" s="1385"/>
      <c r="X90" s="1385"/>
      <c r="Y90" s="1385"/>
      <c r="Z90" s="1385"/>
      <c r="AA90" s="1860"/>
      <c r="AB90" s="789"/>
      <c r="AC90" s="789"/>
      <c r="AD90" s="789"/>
      <c r="AE90" s="789"/>
    </row>
    <row s="13656" customFormat="1" customHeight="1" ht="11.25">
      <c r="A91" s="1211"/>
      <c r="B91" s="1864"/>
      <c r="C91" s="1864"/>
      <c r="D91" s="574"/>
      <c r="K91" s="1385"/>
      <c r="L91" s="1864"/>
      <c r="M91" s="1864"/>
      <c r="N91" s="1385"/>
      <c r="O91" s="1385"/>
      <c r="P91" s="1385"/>
      <c r="Q91" s="1385"/>
      <c r="R91" s="1864"/>
      <c r="S91" s="1385"/>
      <c r="T91" s="1385"/>
      <c r="U91" s="767"/>
      <c r="V91" s="1385"/>
      <c r="W91" s="1385"/>
      <c r="X91" s="1385"/>
      <c r="Y91" s="1385"/>
      <c r="Z91" s="1385"/>
      <c r="AA91" s="1860"/>
      <c r="AB91" s="789"/>
      <c r="AC91" s="789"/>
      <c r="AD91" s="789"/>
      <c r="AE91" s="789"/>
    </row>
    <row s="13656" customFormat="1" customHeight="1" ht="11.25">
      <c r="A92" s="1211"/>
      <c r="B92" s="1864"/>
      <c r="C92" s="1864"/>
      <c r="D92" s="574"/>
      <c r="K92" s="1385"/>
      <c r="L92" s="1864"/>
      <c r="M92" s="1864"/>
      <c r="N92" s="1385"/>
      <c r="O92" s="1385"/>
      <c r="P92" s="1385"/>
      <c r="Q92" s="1385"/>
      <c r="R92" s="1864"/>
      <c r="S92" s="1385"/>
      <c r="T92" s="1385"/>
      <c r="U92" s="767"/>
      <c r="V92" s="1385"/>
      <c r="W92" s="1385"/>
      <c r="X92" s="1385"/>
      <c r="Y92" s="1385"/>
      <c r="Z92" s="1385"/>
      <c r="AA92" s="1860"/>
      <c r="AB92" s="789"/>
      <c r="AC92" s="789"/>
      <c r="AD92" s="789"/>
      <c r="AE92" s="789"/>
    </row>
    <row s="13656" customFormat="1" customHeight="1" ht="11.25">
      <c r="A93" s="1211"/>
      <c r="B93" s="1864"/>
      <c r="C93" s="1864"/>
      <c r="D93" s="574"/>
      <c r="K93" s="1385"/>
      <c r="L93" s="1864"/>
      <c r="M93" s="1864"/>
      <c r="N93" s="1385"/>
      <c r="O93" s="1385"/>
      <c r="P93" s="1385"/>
      <c r="Q93" s="1385"/>
      <c r="R93" s="1864"/>
      <c r="S93" s="1385"/>
      <c r="T93" s="1385"/>
      <c r="U93" s="767"/>
      <c r="V93" s="1385"/>
      <c r="W93" s="1385"/>
      <c r="X93" s="1385"/>
      <c r="Y93" s="1385"/>
      <c r="Z93" s="1385"/>
      <c r="AA93" s="1860"/>
      <c r="AB93" s="789"/>
      <c r="AC93" s="789"/>
      <c r="AD93" s="789"/>
      <c r="AE93" s="789"/>
    </row>
    <row s="13656" customFormat="1" customHeight="1" ht="11.25">
      <c r="A94" s="1211"/>
      <c r="B94" s="1864"/>
      <c r="C94" s="1864"/>
      <c r="D94" s="574"/>
      <c r="K94" s="1385"/>
      <c r="L94" s="1864"/>
      <c r="M94" s="1864"/>
      <c r="N94" s="1385"/>
      <c r="O94" s="1385"/>
      <c r="P94" s="1385"/>
      <c r="Q94" s="1385"/>
      <c r="R94" s="1864"/>
      <c r="S94" s="1385"/>
      <c r="T94" s="1385"/>
      <c r="U94" s="767"/>
      <c r="V94" s="1385"/>
      <c r="W94" s="1385"/>
      <c r="X94" s="1385"/>
      <c r="Y94" s="1385"/>
      <c r="Z94" s="1385"/>
      <c r="AA94" s="1860"/>
      <c r="AB94" s="789"/>
      <c r="AC94" s="789"/>
      <c r="AD94" s="789"/>
      <c r="AE94" s="789"/>
    </row>
    <row s="13656" customFormat="1" customHeight="1" ht="11.25">
      <c r="A95" s="1211"/>
      <c r="B95" s="1864"/>
      <c r="C95" s="1864"/>
      <c r="D95" s="574"/>
      <c r="K95" s="1385"/>
      <c r="L95" s="1864"/>
      <c r="M95" s="1864"/>
      <c r="N95" s="1385"/>
      <c r="O95" s="1385"/>
      <c r="P95" s="1385"/>
      <c r="Q95" s="1385"/>
      <c r="R95" s="1864"/>
      <c r="S95" s="1385"/>
      <c r="T95" s="1385"/>
      <c r="U95" s="767"/>
      <c r="V95" s="1385"/>
      <c r="W95" s="1385"/>
      <c r="X95" s="1385"/>
      <c r="Y95" s="1385"/>
      <c r="Z95" s="1385"/>
      <c r="AA95" s="1860"/>
      <c r="AB95" s="789"/>
      <c r="AC95" s="789"/>
      <c r="AD95" s="789"/>
      <c r="AE95" s="789"/>
    </row>
    <row s="13656" customFormat="1" customHeight="1" ht="11.25">
      <c r="A96" s="1211"/>
      <c r="B96" s="1864"/>
      <c r="C96" s="1864"/>
      <c r="D96" s="574"/>
      <c r="K96" s="1385"/>
      <c r="L96" s="1864"/>
      <c r="M96" s="1864"/>
      <c r="N96" s="1385"/>
      <c r="O96" s="1385"/>
      <c r="P96" s="1385"/>
      <c r="Q96" s="1385"/>
      <c r="R96" s="1864"/>
      <c r="S96" s="1385"/>
      <c r="T96" s="1385"/>
      <c r="U96" s="767"/>
      <c r="V96" s="1385"/>
      <c r="W96" s="1385"/>
      <c r="X96" s="1385"/>
      <c r="Y96" s="1385"/>
      <c r="Z96" s="1385"/>
      <c r="AA96" s="1860"/>
      <c r="AB96" s="789"/>
      <c r="AC96" s="789"/>
      <c r="AD96" s="789"/>
      <c r="AE96" s="789"/>
    </row>
    <row s="13656" customFormat="1" customHeight="1" ht="11.25">
      <c r="A97" s="1211"/>
      <c r="B97" s="1864"/>
      <c r="C97" s="1864"/>
      <c r="D97" s="574"/>
      <c r="K97" s="1385"/>
      <c r="L97" s="1864"/>
      <c r="M97" s="1864"/>
      <c r="N97" s="1385"/>
      <c r="O97" s="1385"/>
      <c r="P97" s="1385"/>
      <c r="Q97" s="1385"/>
      <c r="R97" s="1864"/>
      <c r="S97" s="1385"/>
      <c r="T97" s="1385"/>
      <c r="U97" s="767"/>
      <c r="V97" s="1385"/>
      <c r="W97" s="1385"/>
      <c r="X97" s="1385"/>
      <c r="Y97" s="1385"/>
      <c r="Z97" s="1385"/>
      <c r="AA97" s="1860"/>
      <c r="AB97" s="789"/>
      <c r="AC97" s="789"/>
      <c r="AD97" s="789"/>
      <c r="AE97" s="789"/>
    </row>
    <row s="13656" customFormat="1" customHeight="1" ht="11.25">
      <c r="A98" s="1211"/>
      <c r="B98" s="1864"/>
      <c r="C98" s="1864"/>
      <c r="D98" s="574"/>
      <c r="K98" s="1385"/>
      <c r="L98" s="1864"/>
      <c r="M98" s="1864"/>
      <c r="N98" s="1385"/>
      <c r="O98" s="1385"/>
      <c r="P98" s="1385"/>
      <c r="Q98" s="1385"/>
      <c r="R98" s="1864"/>
      <c r="S98" s="1385"/>
      <c r="T98" s="1385"/>
      <c r="U98" s="767"/>
      <c r="V98" s="1385"/>
      <c r="W98" s="1385"/>
      <c r="X98" s="1385"/>
      <c r="Y98" s="1385"/>
      <c r="Z98" s="1385"/>
      <c r="AA98" s="1860"/>
      <c r="AB98" s="789"/>
      <c r="AC98" s="789"/>
      <c r="AD98" s="789"/>
      <c r="AE98" s="789"/>
    </row>
    <row s="13656" customFormat="1" customHeight="1" ht="11.25">
      <c r="A99" s="1211"/>
      <c r="B99" s="1864"/>
      <c r="C99" s="1864"/>
      <c r="D99" s="574"/>
      <c r="K99" s="1385"/>
      <c r="L99" s="1864"/>
      <c r="M99" s="1864"/>
      <c r="N99" s="1385"/>
      <c r="O99" s="1385"/>
      <c r="P99" s="1385"/>
      <c r="Q99" s="1385"/>
      <c r="R99" s="1864"/>
      <c r="S99" s="1385"/>
      <c r="T99" s="1385"/>
      <c r="U99" s="767"/>
      <c r="V99" s="1385"/>
      <c r="W99" s="1385"/>
      <c r="X99" s="1385"/>
      <c r="Y99" s="1385"/>
      <c r="Z99" s="1385"/>
      <c r="AA99" s="1860"/>
      <c r="AB99" s="789"/>
      <c r="AC99" s="789"/>
      <c r="AD99" s="789"/>
      <c r="AE99" s="789"/>
    </row>
    <row s="13656" customFormat="1" customHeight="1" ht="11.25">
      <c r="A100" s="1211"/>
      <c r="B100" s="1864"/>
      <c r="C100" s="1864"/>
      <c r="D100" s="574"/>
      <c r="K100" s="1385"/>
      <c r="L100" s="1864"/>
      <c r="M100" s="1864"/>
      <c r="N100" s="1385"/>
      <c r="O100" s="1385"/>
      <c r="P100" s="1385"/>
      <c r="Q100" s="1385"/>
      <c r="R100" s="1864"/>
      <c r="S100" s="1385"/>
      <c r="T100" s="1385"/>
      <c r="U100" s="767"/>
      <c r="V100" s="1385"/>
      <c r="W100" s="1385"/>
      <c r="X100" s="1385"/>
      <c r="Y100" s="1385"/>
      <c r="Z100" s="1385"/>
      <c r="AA100" s="1860"/>
      <c r="AB100" s="789"/>
      <c r="AC100" s="789"/>
      <c r="AD100" s="789"/>
      <c r="AE100" s="789"/>
    </row>
    <row s="13656" customFormat="1" customHeight="1" ht="11.25">
      <c r="A101" s="1211"/>
      <c r="B101" s="1864"/>
      <c r="C101" s="1864"/>
      <c r="D101" s="574"/>
      <c r="K101" s="1385"/>
      <c r="L101" s="1864"/>
      <c r="M101" s="1864"/>
      <c r="N101" s="1385"/>
      <c r="O101" s="1385"/>
      <c r="P101" s="1385"/>
      <c r="Q101" s="1385"/>
      <c r="R101" s="1864"/>
      <c r="S101" s="1385"/>
      <c r="T101" s="1385"/>
      <c r="U101" s="767"/>
      <c r="V101" s="1385"/>
      <c r="W101" s="1385"/>
      <c r="X101" s="1385"/>
      <c r="Y101" s="1385"/>
      <c r="Z101" s="1385"/>
      <c r="AA101" s="1860"/>
      <c r="AB101" s="789"/>
      <c r="AC101" s="789"/>
      <c r="AD101" s="789"/>
      <c r="AE101" s="789"/>
    </row>
    <row s="13656" customFormat="1" customHeight="1" ht="11.25">
      <c r="A102" s="1211"/>
      <c r="B102" s="1864"/>
      <c r="C102" s="1864"/>
      <c r="D102" s="574"/>
      <c r="K102" s="1385"/>
      <c r="L102" s="1864"/>
      <c r="M102" s="1864"/>
      <c r="N102" s="1385"/>
      <c r="O102" s="1385"/>
      <c r="P102" s="1385"/>
      <c r="Q102" s="1385"/>
      <c r="R102" s="1864"/>
      <c r="S102" s="1385"/>
      <c r="T102" s="1385"/>
      <c r="U102" s="767"/>
      <c r="V102" s="1385"/>
      <c r="W102" s="1385"/>
      <c r="X102" s="1385"/>
      <c r="Y102" s="1385"/>
      <c r="Z102" s="1385"/>
      <c r="AA102" s="1860"/>
      <c r="AB102" s="789"/>
      <c r="AC102" s="789"/>
      <c r="AD102" s="789"/>
      <c r="AE102" s="789"/>
    </row>
    <row s="13656" customFormat="1" customHeight="1" ht="11.25">
      <c r="A103" s="1211"/>
      <c r="B103" s="1864"/>
      <c r="C103" s="1864"/>
      <c r="D103" s="574"/>
      <c r="K103" s="1385"/>
      <c r="L103" s="1864"/>
      <c r="M103" s="1864"/>
      <c r="N103" s="1385"/>
      <c r="O103" s="1385"/>
      <c r="P103" s="1385"/>
      <c r="Q103" s="1385"/>
      <c r="R103" s="1864"/>
      <c r="S103" s="1385"/>
      <c r="T103" s="1385"/>
      <c r="U103" s="767"/>
      <c r="V103" s="1385"/>
      <c r="W103" s="1385"/>
      <c r="X103" s="1385"/>
      <c r="Y103" s="1385"/>
      <c r="Z103" s="1385"/>
      <c r="AA103" s="1860"/>
      <c r="AB103" s="789"/>
      <c r="AC103" s="789"/>
      <c r="AD103" s="789"/>
      <c r="AE103" s="789"/>
    </row>
    <row s="13656" customFormat="1" customHeight="1" ht="11.25">
      <c r="A104" s="1211"/>
      <c r="B104" s="1864"/>
      <c r="C104" s="1864"/>
      <c r="D104" s="574"/>
      <c r="K104" s="1385"/>
      <c r="L104" s="1864"/>
      <c r="M104" s="1864"/>
      <c r="N104" s="1385"/>
      <c r="O104" s="1385"/>
      <c r="P104" s="1385"/>
      <c r="Q104" s="1385"/>
      <c r="R104" s="1864"/>
      <c r="S104" s="1385"/>
      <c r="T104" s="1385"/>
      <c r="U104" s="767"/>
      <c r="V104" s="1385"/>
      <c r="W104" s="1385"/>
      <c r="X104" s="1385"/>
      <c r="Y104" s="1385"/>
      <c r="Z104" s="1385"/>
      <c r="AA104" s="1860"/>
      <c r="AB104" s="789"/>
      <c r="AC104" s="789"/>
      <c r="AD104" s="789"/>
      <c r="AE104" s="789"/>
    </row>
    <row s="13656" customFormat="1" customHeight="1" ht="11.25">
      <c r="A105" s="1211"/>
      <c r="B105" s="1864"/>
      <c r="C105" s="1864"/>
      <c r="D105" s="574"/>
      <c r="K105" s="1385"/>
      <c r="L105" s="1864"/>
      <c r="M105" s="1864"/>
      <c r="N105" s="1385"/>
      <c r="O105" s="1385"/>
      <c r="P105" s="1385"/>
      <c r="Q105" s="1385"/>
      <c r="R105" s="1864"/>
      <c r="S105" s="1385"/>
      <c r="T105" s="1385"/>
      <c r="U105" s="767"/>
      <c r="V105" s="1385"/>
      <c r="W105" s="1385"/>
      <c r="X105" s="1385"/>
      <c r="Y105" s="1385"/>
      <c r="Z105" s="1385"/>
      <c r="AA105" s="1860"/>
      <c r="AB105" s="789"/>
      <c r="AC105" s="789"/>
      <c r="AD105" s="789"/>
      <c r="AE105" s="789"/>
    </row>
    <row s="13656" customFormat="1" customHeight="1" ht="11.25">
      <c r="A106" s="1211"/>
      <c r="B106" s="1864"/>
      <c r="C106" s="1864"/>
      <c r="D106" s="574"/>
      <c r="K106" s="1385"/>
      <c r="L106" s="1864"/>
      <c r="M106" s="1864"/>
      <c r="N106" s="1385"/>
      <c r="O106" s="1385"/>
      <c r="P106" s="1385"/>
      <c r="Q106" s="1385"/>
      <c r="R106" s="1864"/>
      <c r="S106" s="1385"/>
      <c r="T106" s="1385"/>
      <c r="U106" s="767"/>
      <c r="V106" s="1385"/>
      <c r="W106" s="1385"/>
      <c r="X106" s="1385"/>
      <c r="Y106" s="1385"/>
      <c r="Z106" s="1385"/>
      <c r="AA106" s="1860"/>
      <c r="AB106" s="789"/>
      <c r="AC106" s="789"/>
      <c r="AD106" s="789"/>
      <c r="AE106" s="789"/>
    </row>
    <row s="13656" customFormat="1" customHeight="1" ht="11.25">
      <c r="A107" s="1211"/>
      <c r="B107" s="1864"/>
      <c r="C107" s="1864"/>
      <c r="D107" s="574"/>
      <c r="K107" s="1385"/>
      <c r="L107" s="1864"/>
      <c r="M107" s="1864"/>
      <c r="N107" s="1385"/>
      <c r="O107" s="1385"/>
      <c r="P107" s="1385"/>
      <c r="Q107" s="1385"/>
      <c r="R107" s="1864"/>
      <c r="S107" s="1385"/>
      <c r="T107" s="1385"/>
      <c r="U107" s="767"/>
      <c r="V107" s="1385"/>
      <c r="W107" s="1385"/>
      <c r="X107" s="1385"/>
      <c r="Y107" s="1385"/>
      <c r="Z107" s="1385"/>
      <c r="AA107" s="1860"/>
      <c r="AB107" s="789"/>
      <c r="AC107" s="789"/>
      <c r="AD107" s="789"/>
      <c r="AE107" s="789"/>
    </row>
    <row s="13656" customFormat="1" customHeight="1" ht="11.25">
      <c r="A108" s="1211"/>
      <c r="B108" s="1864"/>
      <c r="C108" s="1864"/>
      <c r="D108" s="574"/>
      <c r="K108" s="1385"/>
      <c r="L108" s="1864"/>
      <c r="M108" s="1864"/>
      <c r="N108" s="1385"/>
      <c r="O108" s="1385"/>
      <c r="P108" s="1385"/>
      <c r="Q108" s="1385"/>
      <c r="R108" s="1864"/>
      <c r="S108" s="1385"/>
      <c r="T108" s="1385"/>
      <c r="U108" s="767"/>
      <c r="V108" s="1385"/>
      <c r="W108" s="1385"/>
      <c r="X108" s="1385"/>
      <c r="Y108" s="1385"/>
      <c r="Z108" s="1385"/>
      <c r="AA108" s="1860"/>
      <c r="AB108" s="789"/>
      <c r="AC108" s="789"/>
      <c r="AD108" s="789"/>
      <c r="AE108" s="789"/>
    </row>
    <row s="13656" customFormat="1" customHeight="1" ht="11.25">
      <c r="A109" s="1211"/>
      <c r="B109" s="1864"/>
      <c r="C109" s="1864"/>
      <c r="D109" s="574"/>
      <c r="K109" s="1385"/>
      <c r="L109" s="1864"/>
      <c r="M109" s="1864"/>
      <c r="N109" s="1385"/>
      <c r="O109" s="1385"/>
      <c r="P109" s="1385"/>
      <c r="Q109" s="1385"/>
      <c r="R109" s="1864"/>
      <c r="S109" s="1385"/>
      <c r="T109" s="1385"/>
      <c r="U109" s="767"/>
      <c r="V109" s="1385"/>
      <c r="W109" s="1385"/>
      <c r="X109" s="1385"/>
      <c r="Y109" s="1385"/>
      <c r="Z109" s="1385"/>
      <c r="AA109" s="1860"/>
      <c r="AB109" s="789"/>
      <c r="AC109" s="789"/>
      <c r="AD109" s="789"/>
      <c r="AE109" s="789"/>
    </row>
    <row s="13656" customFormat="1" customHeight="1" ht="11.25">
      <c r="A110" s="1211"/>
      <c r="B110" s="1864"/>
      <c r="C110" s="1864"/>
      <c r="D110" s="574"/>
      <c r="K110" s="1385"/>
      <c r="L110" s="1864"/>
      <c r="M110" s="1864"/>
      <c r="N110" s="1385"/>
      <c r="O110" s="1385"/>
      <c r="P110" s="1385"/>
      <c r="Q110" s="1385"/>
      <c r="R110" s="1864"/>
      <c r="S110" s="1385"/>
      <c r="T110" s="1385"/>
      <c r="U110" s="767"/>
      <c r="V110" s="1385"/>
      <c r="W110" s="1385"/>
      <c r="X110" s="1385"/>
      <c r="Y110" s="1385"/>
      <c r="Z110" s="1385"/>
      <c r="AA110" s="1860"/>
      <c r="AB110" s="789"/>
      <c r="AC110" s="789"/>
      <c r="AD110" s="789"/>
      <c r="AE110" s="789"/>
    </row>
    <row s="13656" customFormat="1" customHeight="1" ht="11.25">
      <c r="A111" s="1211"/>
      <c r="B111" s="1864"/>
      <c r="C111" s="1864"/>
      <c r="D111" s="574"/>
      <c r="K111" s="1385"/>
      <c r="L111" s="1864"/>
      <c r="M111" s="1864"/>
      <c r="N111" s="1385"/>
      <c r="O111" s="1385"/>
      <c r="P111" s="1385"/>
      <c r="Q111" s="1385"/>
      <c r="R111" s="1864"/>
      <c r="S111" s="1385"/>
      <c r="T111" s="1385"/>
      <c r="U111" s="767"/>
      <c r="V111" s="1385"/>
      <c r="W111" s="1385"/>
      <c r="X111" s="1385"/>
      <c r="Y111" s="1385"/>
      <c r="Z111" s="1385"/>
      <c r="AA111" s="1860"/>
      <c r="AB111" s="789"/>
      <c r="AC111" s="789"/>
      <c r="AD111" s="789"/>
      <c r="AE111" s="789"/>
    </row>
    <row s="13656" customFormat="1" customHeight="1" ht="11.25">
      <c r="A112" s="1211"/>
      <c r="B112" s="1864"/>
      <c r="C112" s="1864"/>
      <c r="D112" s="574"/>
      <c r="K112" s="1385"/>
      <c r="L112" s="1864"/>
      <c r="M112" s="1864"/>
      <c r="N112" s="1385"/>
      <c r="O112" s="1385"/>
      <c r="P112" s="1385"/>
      <c r="Q112" s="1385"/>
      <c r="R112" s="1864"/>
      <c r="S112" s="1385"/>
      <c r="T112" s="1385"/>
      <c r="U112" s="767"/>
      <c r="V112" s="1385"/>
      <c r="W112" s="1385"/>
      <c r="X112" s="1385"/>
      <c r="Y112" s="1385"/>
      <c r="Z112" s="1385"/>
      <c r="AA112" s="1860"/>
      <c r="AB112" s="789"/>
      <c r="AC112" s="789"/>
      <c r="AD112" s="789"/>
      <c r="AE112" s="789"/>
    </row>
    <row s="13656" customFormat="1" customHeight="1" ht="11.25">
      <c r="A113" s="1211"/>
      <c r="B113" s="1864"/>
      <c r="C113" s="1864"/>
      <c r="D113" s="574"/>
      <c r="K113" s="1385"/>
      <c r="L113" s="1864"/>
      <c r="M113" s="1864"/>
      <c r="N113" s="1385"/>
      <c r="O113" s="1385"/>
      <c r="P113" s="1385"/>
      <c r="Q113" s="1385"/>
      <c r="R113" s="1864"/>
      <c r="S113" s="1385"/>
      <c r="T113" s="1385"/>
      <c r="U113" s="767"/>
      <c r="V113" s="1385"/>
      <c r="W113" s="1385"/>
      <c r="X113" s="1385"/>
      <c r="Y113" s="1385"/>
      <c r="Z113" s="1385"/>
      <c r="AA113" s="1860"/>
      <c r="AB113" s="789"/>
      <c r="AC113" s="789"/>
      <c r="AD113" s="789"/>
      <c r="AE113" s="789"/>
    </row>
    <row s="13656" customFormat="1" customHeight="1" ht="11.25">
      <c r="A114" s="1211"/>
      <c r="B114" s="1864"/>
      <c r="C114" s="1864"/>
      <c r="D114" s="574"/>
      <c r="K114" s="1385"/>
      <c r="L114" s="1864"/>
      <c r="M114" s="1864"/>
      <c r="N114" s="1385"/>
      <c r="O114" s="1385"/>
      <c r="P114" s="1385"/>
      <c r="Q114" s="1385"/>
      <c r="R114" s="1864"/>
      <c r="S114" s="1385"/>
      <c r="T114" s="1385"/>
      <c r="U114" s="767"/>
      <c r="V114" s="1385"/>
      <c r="W114" s="1385"/>
      <c r="X114" s="1385"/>
      <c r="Y114" s="1385"/>
      <c r="Z114" s="1385"/>
      <c r="AA114" s="1860"/>
      <c r="AB114" s="789"/>
      <c r="AC114" s="789"/>
      <c r="AD114" s="789"/>
      <c r="AE114" s="789"/>
    </row>
    <row s="13656" customFormat="1" customHeight="1" ht="11.25">
      <c r="A115" s="1211"/>
      <c r="B115" s="1864"/>
      <c r="C115" s="1864"/>
      <c r="D115" s="574"/>
      <c r="K115" s="1385"/>
      <c r="L115" s="1864"/>
      <c r="M115" s="1864"/>
      <c r="N115" s="1385"/>
      <c r="O115" s="1385"/>
      <c r="P115" s="1385"/>
      <c r="Q115" s="1385"/>
      <c r="R115" s="1864"/>
      <c r="S115" s="1385"/>
      <c r="T115" s="1385"/>
      <c r="U115" s="767"/>
      <c r="V115" s="1385"/>
      <c r="W115" s="1385"/>
      <c r="X115" s="1385"/>
      <c r="Y115" s="1385"/>
      <c r="Z115" s="1385"/>
      <c r="AA115" s="1860"/>
      <c r="AB115" s="789"/>
      <c r="AC115" s="789"/>
      <c r="AD115" s="789"/>
      <c r="AE115" s="789"/>
    </row>
    <row s="13656" customFormat="1" customHeight="1" ht="11.25">
      <c r="A116" s="1211"/>
      <c r="B116" s="1864"/>
      <c r="C116" s="1864"/>
      <c r="D116" s="574"/>
      <c r="K116" s="1385"/>
      <c r="L116" s="1864"/>
      <c r="M116" s="1864"/>
      <c r="N116" s="1385"/>
      <c r="O116" s="1385"/>
      <c r="P116" s="1385"/>
      <c r="Q116" s="1385"/>
      <c r="R116" s="1864"/>
      <c r="S116" s="1385"/>
      <c r="T116" s="1385"/>
      <c r="U116" s="767"/>
      <c r="V116" s="1385"/>
      <c r="W116" s="1385"/>
      <c r="X116" s="1385"/>
      <c r="Y116" s="1385"/>
      <c r="Z116" s="1385"/>
      <c r="AA116" s="1860"/>
      <c r="AB116" s="789"/>
      <c r="AC116" s="789"/>
      <c r="AD116" s="789"/>
      <c r="AE116" s="789"/>
    </row>
    <row s="13656" customFormat="1" customHeight="1" ht="11.25">
      <c r="A117" s="1211"/>
      <c r="B117" s="1864"/>
      <c r="C117" s="1864"/>
      <c r="D117" s="574"/>
      <c r="K117" s="1385"/>
      <c r="L117" s="1864"/>
      <c r="M117" s="1864"/>
      <c r="N117" s="1385"/>
      <c r="O117" s="1385"/>
      <c r="P117" s="1385"/>
      <c r="Q117" s="1385"/>
      <c r="R117" s="1864"/>
      <c r="S117" s="1385"/>
      <c r="T117" s="1385"/>
      <c r="U117" s="767"/>
      <c r="V117" s="1385"/>
      <c r="W117" s="1385"/>
      <c r="X117" s="1385"/>
      <c r="Y117" s="1385"/>
      <c r="Z117" s="1385"/>
      <c r="AA117" s="1860"/>
      <c r="AB117" s="789"/>
      <c r="AC117" s="789"/>
      <c r="AD117" s="789"/>
      <c r="AE117" s="789"/>
    </row>
    <row s="13656" customFormat="1" customHeight="1" ht="11.25">
      <c r="A118" s="1211"/>
      <c r="B118" s="1864"/>
      <c r="C118" s="1864"/>
      <c r="D118" s="574"/>
      <c r="K118" s="1385"/>
      <c r="L118" s="1864"/>
      <c r="M118" s="1864"/>
      <c r="N118" s="1385"/>
      <c r="O118" s="1385"/>
      <c r="P118" s="1385"/>
      <c r="Q118" s="1385"/>
      <c r="R118" s="1864"/>
      <c r="S118" s="1385"/>
      <c r="T118" s="1385"/>
      <c r="U118" s="767"/>
      <c r="V118" s="1385"/>
      <c r="W118" s="1385"/>
      <c r="X118" s="1385"/>
      <c r="Y118" s="1385"/>
      <c r="Z118" s="1385"/>
      <c r="AA118" s="1860"/>
      <c r="AB118" s="789"/>
      <c r="AC118" s="789"/>
      <c r="AD118" s="789"/>
      <c r="AE118" s="789"/>
    </row>
    <row s="13656" customFormat="1" customHeight="1" ht="11.25">
      <c r="A119" s="1211"/>
      <c r="B119" s="1864"/>
      <c r="C119" s="1864"/>
      <c r="D119" s="574"/>
      <c r="K119" s="1385"/>
      <c r="L119" s="1864"/>
      <c r="M119" s="1864"/>
      <c r="N119" s="1385"/>
      <c r="O119" s="1385"/>
      <c r="P119" s="1385"/>
      <c r="Q119" s="1385"/>
      <c r="R119" s="1864"/>
      <c r="S119" s="1385"/>
      <c r="T119" s="1385"/>
      <c r="U119" s="767"/>
      <c r="V119" s="1385"/>
      <c r="W119" s="1385"/>
      <c r="X119" s="1385"/>
      <c r="Y119" s="1385"/>
      <c r="Z119" s="1385"/>
      <c r="AA119" s="1860"/>
      <c r="AB119" s="789"/>
      <c r="AC119" s="789"/>
      <c r="AD119" s="789"/>
      <c r="AE119" s="789"/>
    </row>
    <row s="13656" customFormat="1" customHeight="1" ht="11.25">
      <c r="A120" s="1211"/>
      <c r="B120" s="1864"/>
      <c r="C120" s="1864"/>
      <c r="D120" s="574"/>
      <c r="K120" s="1385"/>
      <c r="L120" s="1864"/>
      <c r="M120" s="1864"/>
      <c r="N120" s="1385"/>
      <c r="O120" s="1385"/>
      <c r="P120" s="1385"/>
      <c r="Q120" s="1385"/>
      <c r="R120" s="1864"/>
      <c r="S120" s="1385"/>
      <c r="T120" s="1385"/>
      <c r="U120" s="767"/>
      <c r="V120" s="1385"/>
      <c r="W120" s="1385"/>
      <c r="X120" s="1385"/>
      <c r="Y120" s="1385"/>
      <c r="Z120" s="1385"/>
      <c r="AA120" s="1860"/>
      <c r="AB120" s="789"/>
      <c r="AC120" s="789"/>
      <c r="AD120" s="789"/>
      <c r="AE120" s="789"/>
    </row>
    <row s="13656" customFormat="1" customHeight="1" ht="11.25">
      <c r="A121" s="1211"/>
      <c r="B121" s="1864"/>
      <c r="C121" s="1864"/>
      <c r="D121" s="574"/>
      <c r="K121" s="1385"/>
      <c r="L121" s="1864"/>
      <c r="M121" s="1864"/>
      <c r="N121" s="1385"/>
      <c r="O121" s="1385"/>
      <c r="P121" s="1385"/>
      <c r="Q121" s="1385"/>
      <c r="R121" s="1864"/>
      <c r="S121" s="1385"/>
      <c r="T121" s="1385"/>
      <c r="U121" s="767"/>
      <c r="V121" s="1385"/>
      <c r="W121" s="1385"/>
      <c r="X121" s="1385"/>
      <c r="Y121" s="1385"/>
      <c r="Z121" s="1385"/>
      <c r="AA121" s="1860"/>
      <c r="AB121" s="789"/>
      <c r="AC121" s="789"/>
      <c r="AD121" s="789"/>
      <c r="AE121" s="789"/>
    </row>
    <row s="13656" customFormat="1" customHeight="1" ht="11.25">
      <c r="A122" s="1211"/>
      <c r="B122" s="1864"/>
      <c r="C122" s="1864"/>
      <c r="D122" s="574"/>
      <c r="K122" s="1385"/>
      <c r="L122" s="1864"/>
      <c r="M122" s="1864"/>
      <c r="N122" s="1385"/>
      <c r="O122" s="1385"/>
      <c r="P122" s="1385"/>
      <c r="Q122" s="1385"/>
      <c r="R122" s="1864"/>
      <c r="S122" s="1385"/>
      <c r="T122" s="1385"/>
      <c r="U122" s="767"/>
      <c r="V122" s="1385"/>
      <c r="W122" s="1385"/>
      <c r="X122" s="1385"/>
      <c r="Y122" s="1385"/>
      <c r="Z122" s="1385"/>
      <c r="AA122" s="1860"/>
      <c r="AB122" s="789"/>
      <c r="AC122" s="789"/>
      <c r="AD122" s="789"/>
      <c r="AE122" s="789"/>
    </row>
    <row s="13656" customFormat="1" customHeight="1" ht="11.25">
      <c r="A123" s="1211"/>
      <c r="B123" s="1864"/>
      <c r="C123" s="1864"/>
      <c r="D123" s="574"/>
      <c r="K123" s="1385"/>
      <c r="L123" s="1864"/>
      <c r="M123" s="1864"/>
      <c r="N123" s="1385"/>
      <c r="O123" s="1385"/>
      <c r="P123" s="1385"/>
      <c r="Q123" s="1385"/>
      <c r="R123" s="1864"/>
      <c r="S123" s="1385"/>
      <c r="T123" s="1385"/>
      <c r="U123" s="767"/>
      <c r="V123" s="1385"/>
      <c r="W123" s="1385"/>
      <c r="X123" s="1385"/>
      <c r="Y123" s="1385"/>
      <c r="Z123" s="1385"/>
      <c r="AA123" s="1860"/>
      <c r="AB123" s="789"/>
      <c r="AC123" s="789"/>
      <c r="AD123" s="789"/>
      <c r="AE123" s="789"/>
    </row>
    <row s="13656" customFormat="1" customHeight="1" ht="11.25">
      <c r="A124" s="1211"/>
      <c r="B124" s="1864"/>
      <c r="C124" s="1864"/>
      <c r="D124" s="574"/>
      <c r="K124" s="1385"/>
      <c r="L124" s="1864"/>
      <c r="M124" s="1864"/>
      <c r="N124" s="1385"/>
      <c r="O124" s="1385"/>
      <c r="P124" s="1385"/>
      <c r="Q124" s="1385"/>
      <c r="R124" s="1864"/>
      <c r="S124" s="1385"/>
      <c r="T124" s="1385"/>
      <c r="U124" s="767"/>
      <c r="V124" s="1385"/>
      <c r="W124" s="1385"/>
      <c r="X124" s="1385"/>
      <c r="Y124" s="1385"/>
      <c r="Z124" s="1385"/>
      <c r="AA124" s="1860"/>
      <c r="AB124" s="789"/>
      <c r="AC124" s="789"/>
      <c r="AD124" s="789"/>
      <c r="AE124" s="789"/>
    </row>
    <row s="13656" customFormat="1" customHeight="1" ht="11.25">
      <c r="A125" s="1211"/>
      <c r="B125" s="1864"/>
      <c r="C125" s="1864"/>
      <c r="D125" s="574"/>
      <c r="K125" s="1385"/>
      <c r="L125" s="1864"/>
      <c r="M125" s="1864"/>
      <c r="N125" s="1385"/>
      <c r="O125" s="1385"/>
      <c r="P125" s="1385"/>
      <c r="Q125" s="1385"/>
      <c r="R125" s="1864"/>
      <c r="S125" s="1385"/>
      <c r="T125" s="1385"/>
      <c r="U125" s="767"/>
      <c r="V125" s="1385"/>
      <c r="W125" s="1385"/>
      <c r="X125" s="1385"/>
      <c r="Y125" s="1385"/>
      <c r="Z125" s="1385"/>
      <c r="AA125" s="1860"/>
      <c r="AB125" s="789"/>
      <c r="AC125" s="789"/>
      <c r="AD125" s="789"/>
      <c r="AE125" s="789"/>
    </row>
    <row s="13656" customFormat="1" customHeight="1" ht="11.25">
      <c r="A126" s="1211"/>
      <c r="B126" s="1864"/>
      <c r="C126" s="1864"/>
      <c r="D126" s="574"/>
      <c r="K126" s="1385"/>
      <c r="L126" s="1864"/>
      <c r="M126" s="1864"/>
      <c r="N126" s="1385"/>
      <c r="O126" s="1385"/>
      <c r="P126" s="1385"/>
      <c r="Q126" s="1385"/>
      <c r="R126" s="1864"/>
      <c r="S126" s="1385"/>
      <c r="T126" s="1385"/>
      <c r="U126" s="767"/>
      <c r="V126" s="1385"/>
      <c r="W126" s="1385"/>
      <c r="X126" s="1385"/>
      <c r="Y126" s="1385"/>
      <c r="Z126" s="1385"/>
      <c r="AA126" s="1860"/>
      <c r="AB126" s="789"/>
      <c r="AC126" s="789"/>
      <c r="AD126" s="789"/>
      <c r="AE126" s="789"/>
    </row>
    <row s="13656" customFormat="1" customHeight="1" ht="11.25">
      <c r="A127" s="1211"/>
      <c r="B127" s="1864"/>
      <c r="C127" s="1864"/>
      <c r="D127" s="574"/>
      <c r="K127" s="1385"/>
      <c r="L127" s="1864"/>
      <c r="M127" s="1864"/>
      <c r="N127" s="1385"/>
      <c r="O127" s="1385"/>
      <c r="P127" s="1385"/>
      <c r="Q127" s="1385"/>
      <c r="R127" s="1864"/>
      <c r="S127" s="1385"/>
      <c r="T127" s="1385"/>
      <c r="U127" s="767"/>
      <c r="V127" s="1385"/>
      <c r="W127" s="1385"/>
      <c r="X127" s="1385"/>
      <c r="Y127" s="1385"/>
      <c r="Z127" s="1385"/>
      <c r="AA127" s="1860"/>
      <c r="AB127" s="789"/>
      <c r="AC127" s="789"/>
      <c r="AD127" s="789"/>
      <c r="AE127" s="789"/>
    </row>
    <row s="13656" customFormat="1" customHeight="1" ht="11.25">
      <c r="A128" s="1211"/>
      <c r="B128" s="1864"/>
      <c r="C128" s="1864"/>
      <c r="D128" s="574"/>
      <c r="K128" s="1385"/>
      <c r="L128" s="1864"/>
      <c r="M128" s="1864"/>
      <c r="N128" s="1385"/>
      <c r="O128" s="1385"/>
      <c r="P128" s="1385"/>
      <c r="Q128" s="1385"/>
      <c r="R128" s="1864"/>
      <c r="S128" s="1385"/>
      <c r="T128" s="1385"/>
      <c r="U128" s="767"/>
      <c r="V128" s="1385"/>
      <c r="W128" s="1385"/>
      <c r="X128" s="1385"/>
      <c r="Y128" s="1385"/>
      <c r="Z128" s="1385"/>
      <c r="AA128" s="1860"/>
      <c r="AB128" s="789"/>
      <c r="AC128" s="789"/>
      <c r="AD128" s="789"/>
      <c r="AE128" s="789"/>
    </row>
    <row s="13656" customFormat="1" customHeight="1" ht="11.25">
      <c r="A129" s="1211"/>
      <c r="B129" s="1864"/>
      <c r="C129" s="1864"/>
      <c r="D129" s="574"/>
      <c r="K129" s="1385"/>
      <c r="L129" s="1864"/>
      <c r="M129" s="1864"/>
      <c r="N129" s="1385"/>
      <c r="O129" s="1385"/>
      <c r="P129" s="1385"/>
      <c r="Q129" s="1385"/>
      <c r="R129" s="1864"/>
      <c r="S129" s="1385"/>
      <c r="T129" s="1385"/>
      <c r="U129" s="767"/>
      <c r="V129" s="1385"/>
      <c r="W129" s="1385"/>
      <c r="X129" s="1385"/>
      <c r="Y129" s="1385"/>
      <c r="Z129" s="1385"/>
      <c r="AA129" s="1860"/>
      <c r="AB129" s="789"/>
      <c r="AC129" s="789"/>
      <c r="AD129" s="789"/>
      <c r="AE129" s="789"/>
    </row>
    <row s="13656" customFormat="1" customHeight="1" ht="11.25">
      <c r="A130" s="1211"/>
      <c r="B130" s="1864"/>
      <c r="C130" s="1864"/>
      <c r="D130" s="574"/>
      <c r="K130" s="1385"/>
      <c r="L130" s="1864"/>
      <c r="M130" s="1864"/>
      <c r="N130" s="1385"/>
      <c r="O130" s="1385"/>
      <c r="P130" s="1385"/>
      <c r="Q130" s="1385"/>
      <c r="R130" s="1864"/>
      <c r="S130" s="1385"/>
      <c r="T130" s="1385"/>
      <c r="U130" s="767"/>
      <c r="V130" s="1385"/>
      <c r="W130" s="1385"/>
      <c r="X130" s="1385"/>
      <c r="Y130" s="1385"/>
      <c r="Z130" s="1385"/>
      <c r="AA130" s="1860"/>
      <c r="AB130" s="789"/>
      <c r="AC130" s="789"/>
      <c r="AD130" s="789"/>
      <c r="AE130" s="789"/>
    </row>
    <row s="13656" customFormat="1" customHeight="1" ht="11.25">
      <c r="A131" s="1211"/>
      <c r="B131" s="1864"/>
      <c r="C131" s="1864"/>
      <c r="D131" s="574"/>
      <c r="K131" s="1385"/>
      <c r="L131" s="1864"/>
      <c r="M131" s="1864"/>
      <c r="N131" s="1385"/>
      <c r="O131" s="1385"/>
      <c r="P131" s="1385"/>
      <c r="Q131" s="1385"/>
      <c r="R131" s="1864"/>
      <c r="S131" s="1385"/>
      <c r="T131" s="1385"/>
      <c r="U131" s="767"/>
      <c r="V131" s="1385"/>
      <c r="W131" s="1385"/>
      <c r="X131" s="1385"/>
      <c r="Y131" s="1385"/>
      <c r="Z131" s="1385"/>
      <c r="AA131" s="1860"/>
      <c r="AB131" s="789"/>
      <c r="AC131" s="789"/>
      <c r="AD131" s="789"/>
      <c r="AE131" s="789"/>
    </row>
    <row s="13656" customFormat="1" customHeight="1" ht="11.25">
      <c r="A132" s="1211"/>
      <c r="B132" s="1864"/>
      <c r="C132" s="1864"/>
      <c r="D132" s="574"/>
      <c r="K132" s="1385"/>
      <c r="L132" s="1864"/>
      <c r="M132" s="1864"/>
      <c r="N132" s="1385"/>
      <c r="O132" s="1385"/>
      <c r="P132" s="1385"/>
      <c r="Q132" s="1385"/>
      <c r="R132" s="1864"/>
      <c r="S132" s="1385"/>
      <c r="T132" s="1385"/>
      <c r="U132" s="767"/>
      <c r="V132" s="1385"/>
      <c r="W132" s="1385"/>
      <c r="X132" s="1385"/>
      <c r="Y132" s="1385"/>
      <c r="Z132" s="1385"/>
      <c r="AA132" s="1860"/>
      <c r="AB132" s="789"/>
      <c r="AC132" s="789"/>
      <c r="AD132" s="789"/>
      <c r="AE132" s="789"/>
    </row>
    <row s="13656" customFormat="1" customHeight="1" ht="11.25">
      <c r="A133" s="1211"/>
      <c r="B133" s="1864"/>
      <c r="C133" s="1864"/>
      <c r="D133" s="574"/>
      <c r="K133" s="1385"/>
      <c r="L133" s="1864"/>
      <c r="M133" s="1864"/>
      <c r="N133" s="1385"/>
      <c r="O133" s="1385"/>
      <c r="P133" s="1385"/>
      <c r="Q133" s="1385"/>
      <c r="R133" s="1864"/>
      <c r="S133" s="1385"/>
      <c r="T133" s="1385"/>
      <c r="U133" s="767"/>
      <c r="V133" s="1385"/>
      <c r="W133" s="1385"/>
      <c r="X133" s="1385"/>
      <c r="Y133" s="1385"/>
      <c r="Z133" s="1385"/>
      <c r="AA133" s="1860"/>
      <c r="AB133" s="789"/>
      <c r="AC133" s="789"/>
      <c r="AD133" s="789"/>
      <c r="AE133" s="789"/>
    </row>
    <row s="13656" customFormat="1" customHeight="1" ht="11.25">
      <c r="A134" s="1211"/>
      <c r="B134" s="1864"/>
      <c r="C134" s="1864"/>
      <c r="D134" s="574"/>
      <c r="K134" s="1385"/>
      <c r="L134" s="1864"/>
      <c r="M134" s="1864"/>
      <c r="N134" s="1385"/>
      <c r="O134" s="1385"/>
      <c r="P134" s="1385"/>
      <c r="Q134" s="1385"/>
      <c r="R134" s="1864"/>
      <c r="S134" s="1385"/>
      <c r="T134" s="1385"/>
      <c r="U134" s="767"/>
      <c r="V134" s="1385"/>
      <c r="W134" s="1385"/>
      <c r="X134" s="1385"/>
      <c r="Y134" s="1385"/>
      <c r="Z134" s="1385"/>
      <c r="AA134" s="1860"/>
      <c r="AB134" s="789"/>
      <c r="AC134" s="789"/>
      <c r="AD134" s="789"/>
      <c r="AE134" s="789"/>
    </row>
    <row s="13656" customFormat="1" customHeight="1" ht="11.25">
      <c r="A135" s="1211"/>
      <c r="B135" s="1864"/>
      <c r="C135" s="1864"/>
      <c r="D135" s="574"/>
      <c r="K135" s="1385"/>
      <c r="L135" s="1864"/>
      <c r="M135" s="1864"/>
      <c r="N135" s="1385"/>
      <c r="O135" s="1385"/>
      <c r="P135" s="1385"/>
      <c r="Q135" s="1385"/>
      <c r="R135" s="1864"/>
      <c r="S135" s="1385"/>
      <c r="T135" s="1385"/>
      <c r="U135" s="767"/>
      <c r="V135" s="1385"/>
      <c r="W135" s="1385"/>
      <c r="X135" s="1385"/>
      <c r="Y135" s="1385"/>
      <c r="Z135" s="1385"/>
      <c r="AA135" s="1860"/>
      <c r="AB135" s="789"/>
      <c r="AC135" s="789"/>
      <c r="AD135" s="789"/>
      <c r="AE135" s="789"/>
    </row>
    <row s="13656" customFormat="1" customHeight="1" ht="11.25">
      <c r="A136" s="1211"/>
      <c r="B136" s="1864"/>
      <c r="C136" s="1864"/>
      <c r="D136" s="574"/>
      <c r="K136" s="1385"/>
      <c r="L136" s="1864"/>
      <c r="M136" s="1864"/>
      <c r="N136" s="1385"/>
      <c r="O136" s="1385"/>
      <c r="P136" s="1385"/>
      <c r="Q136" s="1385"/>
      <c r="R136" s="1864"/>
      <c r="S136" s="1385"/>
      <c r="T136" s="1385"/>
      <c r="U136" s="767"/>
      <c r="V136" s="1385"/>
      <c r="W136" s="1385"/>
      <c r="X136" s="1385"/>
      <c r="Y136" s="1385"/>
      <c r="Z136" s="1385"/>
      <c r="AA136" s="1860"/>
      <c r="AB136" s="789"/>
      <c r="AC136" s="789"/>
      <c r="AD136" s="789"/>
      <c r="AE136" s="789"/>
    </row>
    <row s="13656" customFormat="1" customHeight="1" ht="11.25">
      <c r="A137" s="1211"/>
      <c r="B137" s="1864"/>
      <c r="C137" s="1864"/>
      <c r="D137" s="574"/>
      <c r="K137" s="1385"/>
      <c r="L137" s="1864"/>
      <c r="M137" s="1864"/>
      <c r="N137" s="1385"/>
      <c r="O137" s="1385"/>
      <c r="P137" s="1385"/>
      <c r="Q137" s="1385"/>
      <c r="R137" s="1864"/>
      <c r="S137" s="1385"/>
      <c r="T137" s="1385"/>
      <c r="U137" s="767"/>
      <c r="V137" s="1385"/>
      <c r="W137" s="1385"/>
      <c r="X137" s="1385"/>
      <c r="Y137" s="1385"/>
      <c r="Z137" s="1385"/>
      <c r="AA137" s="1860"/>
      <c r="AB137" s="789"/>
      <c r="AC137" s="789"/>
      <c r="AD137" s="789"/>
      <c r="AE137" s="789"/>
    </row>
    <row s="13656" customFormat="1" customHeight="1" ht="11.25">
      <c r="A138" s="1211"/>
      <c r="B138" s="1864"/>
      <c r="C138" s="1864"/>
      <c r="D138" s="574"/>
      <c r="K138" s="1385"/>
      <c r="L138" s="1864"/>
      <c r="M138" s="1864"/>
      <c r="N138" s="1385"/>
      <c r="O138" s="1385"/>
      <c r="P138" s="1385"/>
      <c r="Q138" s="1385"/>
      <c r="R138" s="1864"/>
      <c r="S138" s="1385"/>
      <c r="T138" s="1385"/>
      <c r="U138" s="767"/>
      <c r="V138" s="1385"/>
      <c r="W138" s="1385"/>
      <c r="X138" s="1385"/>
      <c r="Y138" s="1385"/>
      <c r="Z138" s="1385"/>
      <c r="AA138" s="1860"/>
      <c r="AB138" s="789"/>
      <c r="AC138" s="789"/>
      <c r="AD138" s="789"/>
      <c r="AE138" s="789"/>
    </row>
    <row s="13656" customFormat="1" customHeight="1" ht="11.25">
      <c r="A139" s="1211"/>
      <c r="B139" s="1864"/>
      <c r="C139" s="1864"/>
      <c r="D139" s="574"/>
      <c r="K139" s="1385"/>
      <c r="L139" s="1864"/>
      <c r="M139" s="1864"/>
      <c r="N139" s="1385"/>
      <c r="O139" s="1385"/>
      <c r="P139" s="1385"/>
      <c r="Q139" s="1385"/>
      <c r="R139" s="1864"/>
      <c r="S139" s="1385"/>
      <c r="T139" s="1385"/>
      <c r="U139" s="767"/>
      <c r="V139" s="1385"/>
      <c r="W139" s="1385"/>
      <c r="X139" s="1385"/>
      <c r="Y139" s="1385"/>
      <c r="Z139" s="1385"/>
      <c r="AA139" s="1860"/>
      <c r="AB139" s="789"/>
      <c r="AC139" s="789"/>
      <c r="AD139" s="789"/>
      <c r="AE139" s="789"/>
    </row>
    <row s="13656" customFormat="1" customHeight="1" ht="11.25">
      <c r="A140" s="1211"/>
      <c r="B140" s="1864"/>
      <c r="C140" s="1864"/>
      <c r="D140" s="574"/>
      <c r="K140" s="1385"/>
      <c r="L140" s="1864"/>
      <c r="M140" s="1864"/>
      <c r="N140" s="1385"/>
      <c r="O140" s="1385"/>
      <c r="P140" s="1385"/>
      <c r="Q140" s="1385"/>
      <c r="R140" s="1864"/>
      <c r="S140" s="1385"/>
      <c r="T140" s="1385"/>
      <c r="U140" s="767"/>
      <c r="V140" s="1385"/>
      <c r="W140" s="1385"/>
      <c r="X140" s="1385"/>
      <c r="Y140" s="1385"/>
      <c r="Z140" s="1385"/>
      <c r="AA140" s="1860"/>
      <c r="AB140" s="789"/>
      <c r="AC140" s="789"/>
      <c r="AD140" s="789"/>
      <c r="AE140" s="789"/>
    </row>
    <row s="13656" customFormat="1" customHeight="1" ht="11.25">
      <c r="A141" s="1211"/>
      <c r="B141" s="1864"/>
      <c r="C141" s="1864"/>
      <c r="D141" s="574"/>
      <c r="K141" s="1385"/>
      <c r="L141" s="1864"/>
      <c r="M141" s="1864"/>
      <c r="N141" s="1385"/>
      <c r="O141" s="1385"/>
      <c r="P141" s="1385"/>
      <c r="Q141" s="1385"/>
      <c r="R141" s="1864"/>
      <c r="S141" s="1385"/>
      <c r="T141" s="1385"/>
      <c r="U141" s="767"/>
      <c r="V141" s="1385"/>
      <c r="W141" s="1385"/>
      <c r="X141" s="1385"/>
      <c r="Y141" s="1385"/>
      <c r="Z141" s="1385"/>
      <c r="AA141" s="1860"/>
      <c r="AB141" s="789"/>
      <c r="AC141" s="789"/>
      <c r="AD141" s="789"/>
      <c r="AE141" s="789"/>
    </row>
    <row s="13656" customFormat="1" customHeight="1" ht="11.25">
      <c r="A142" s="1211"/>
      <c r="B142" s="1864"/>
      <c r="C142" s="1864"/>
      <c r="D142" s="574"/>
      <c r="K142" s="1385"/>
      <c r="L142" s="1864"/>
      <c r="M142" s="1864"/>
      <c r="N142" s="1385"/>
      <c r="O142" s="1385"/>
      <c r="P142" s="1385"/>
      <c r="Q142" s="1385"/>
      <c r="R142" s="1864"/>
      <c r="S142" s="1385"/>
      <c r="T142" s="1385"/>
      <c r="U142" s="767"/>
      <c r="V142" s="1385"/>
      <c r="W142" s="1385"/>
      <c r="X142" s="1385"/>
      <c r="Y142" s="1385"/>
      <c r="Z142" s="1385"/>
      <c r="AA142" s="1860"/>
      <c r="AB142" s="789"/>
      <c r="AC142" s="789"/>
      <c r="AD142" s="789"/>
      <c r="AE142" s="789"/>
    </row>
    <row s="13656" customFormat="1" customHeight="1" ht="11.25">
      <c r="A143" s="1211"/>
      <c r="B143" s="1864"/>
      <c r="C143" s="1864"/>
      <c r="D143" s="574"/>
      <c r="K143" s="1385"/>
      <c r="L143" s="1864"/>
      <c r="M143" s="1864"/>
      <c r="N143" s="1385"/>
      <c r="O143" s="1385"/>
      <c r="P143" s="1385"/>
      <c r="Q143" s="1385"/>
      <c r="R143" s="1864"/>
      <c r="S143" s="1385"/>
      <c r="T143" s="1385"/>
      <c r="U143" s="767"/>
      <c r="V143" s="1385"/>
      <c r="W143" s="1385"/>
      <c r="X143" s="1385"/>
      <c r="Y143" s="1385"/>
      <c r="Z143" s="1385"/>
      <c r="AA143" s="1860"/>
      <c r="AB143" s="789"/>
      <c r="AC143" s="789"/>
      <c r="AD143" s="789"/>
      <c r="AE143" s="789"/>
    </row>
    <row s="13656" customFormat="1" customHeight="1" ht="11.25">
      <c r="A144" s="1211"/>
      <c r="B144" s="1864"/>
      <c r="C144" s="1864"/>
      <c r="D144" s="574"/>
      <c r="K144" s="1385"/>
      <c r="L144" s="1864"/>
      <c r="M144" s="1864"/>
      <c r="N144" s="1385"/>
      <c r="O144" s="1385"/>
      <c r="P144" s="1385"/>
      <c r="Q144" s="1385"/>
      <c r="R144" s="1864"/>
      <c r="S144" s="1385"/>
      <c r="T144" s="1385"/>
      <c r="U144" s="767"/>
      <c r="V144" s="1385"/>
      <c r="W144" s="1385"/>
      <c r="X144" s="1385"/>
      <c r="Y144" s="1385"/>
      <c r="Z144" s="1385"/>
      <c r="AA144" s="1860"/>
      <c r="AB144" s="789"/>
      <c r="AC144" s="789"/>
      <c r="AD144" s="789"/>
      <c r="AE144" s="789"/>
    </row>
    <row s="13656" customFormat="1" customHeight="1" ht="11.25">
      <c r="A145" s="1211"/>
      <c r="B145" s="1864"/>
      <c r="C145" s="1864"/>
      <c r="D145" s="574"/>
      <c r="K145" s="1385"/>
      <c r="L145" s="1864"/>
      <c r="M145" s="1864"/>
      <c r="N145" s="1385"/>
      <c r="O145" s="1385"/>
      <c r="P145" s="1385"/>
      <c r="Q145" s="1385"/>
      <c r="R145" s="1864"/>
      <c r="S145" s="1385"/>
      <c r="T145" s="1385"/>
      <c r="U145" s="767"/>
      <c r="V145" s="1385"/>
      <c r="W145" s="1385"/>
      <c r="X145" s="1385"/>
      <c r="Y145" s="1385"/>
      <c r="Z145" s="1385"/>
      <c r="AA145" s="1860"/>
      <c r="AB145" s="789"/>
      <c r="AC145" s="789"/>
      <c r="AD145" s="789"/>
      <c r="AE145" s="789"/>
    </row>
    <row s="13656" customFormat="1" customHeight="1" ht="11.25">
      <c r="A146" s="1211"/>
      <c r="B146" s="1864"/>
      <c r="C146" s="1864"/>
      <c r="D146" s="574"/>
      <c r="K146" s="1385"/>
      <c r="L146" s="1864"/>
      <c r="M146" s="1864"/>
      <c r="N146" s="1385"/>
      <c r="O146" s="1385"/>
      <c r="P146" s="1385"/>
      <c r="Q146" s="1385"/>
      <c r="R146" s="1864"/>
      <c r="S146" s="1385"/>
      <c r="T146" s="1385"/>
      <c r="U146" s="767"/>
      <c r="V146" s="1385"/>
      <c r="W146" s="1385"/>
      <c r="X146" s="1385"/>
      <c r="Y146" s="1385"/>
      <c r="Z146" s="1385"/>
      <c r="AA146" s="1860"/>
      <c r="AB146" s="789"/>
      <c r="AC146" s="789"/>
      <c r="AD146" s="789"/>
      <c r="AE146" s="789"/>
    </row>
    <row s="13656" customFormat="1" customHeight="1" ht="11.25">
      <c r="A147" s="1211"/>
      <c r="B147" s="1864"/>
      <c r="C147" s="1864"/>
      <c r="D147" s="574"/>
      <c r="K147" s="1385"/>
      <c r="L147" s="1864"/>
      <c r="M147" s="1864"/>
      <c r="N147" s="1385"/>
      <c r="O147" s="1385"/>
      <c r="P147" s="1385"/>
      <c r="Q147" s="1385"/>
      <c r="R147" s="1864"/>
      <c r="S147" s="1385"/>
      <c r="T147" s="1385"/>
      <c r="U147" s="767"/>
      <c r="V147" s="1385"/>
      <c r="W147" s="1385"/>
      <c r="X147" s="1385"/>
      <c r="Y147" s="1385"/>
      <c r="Z147" s="1385"/>
      <c r="AA147" s="1860"/>
      <c r="AB147" s="789"/>
      <c r="AC147" s="789"/>
      <c r="AD147" s="789"/>
      <c r="AE147" s="789"/>
    </row>
    <row s="13656" customFormat="1" customHeight="1" ht="11.25">
      <c r="A148" s="1211"/>
      <c r="B148" s="1864"/>
      <c r="C148" s="1864"/>
      <c r="D148" s="574"/>
      <c r="K148" s="1385"/>
      <c r="L148" s="1864"/>
      <c r="M148" s="1864"/>
      <c r="N148" s="1385"/>
      <c r="O148" s="1385"/>
      <c r="P148" s="1385"/>
      <c r="Q148" s="1385"/>
      <c r="R148" s="1864"/>
      <c r="S148" s="1385"/>
      <c r="T148" s="1385"/>
      <c r="U148" s="767"/>
      <c r="V148" s="1385"/>
      <c r="W148" s="1385"/>
      <c r="X148" s="1385"/>
      <c r="Y148" s="1385"/>
      <c r="Z148" s="1385"/>
      <c r="AA148" s="1860"/>
      <c r="AB148" s="789"/>
      <c r="AC148" s="789"/>
      <c r="AD148" s="789"/>
      <c r="AE148" s="789"/>
    </row>
    <row s="13656" customFormat="1" customHeight="1" ht="11.25">
      <c r="A149" s="1211"/>
      <c r="B149" s="1864"/>
      <c r="C149" s="1864"/>
      <c r="D149" s="574"/>
      <c r="K149" s="1385"/>
      <c r="L149" s="1864"/>
      <c r="M149" s="1864"/>
      <c r="N149" s="1385"/>
      <c r="O149" s="1385"/>
      <c r="P149" s="1385"/>
      <c r="Q149" s="1385"/>
      <c r="R149" s="1864"/>
      <c r="S149" s="1385"/>
      <c r="T149" s="1385"/>
      <c r="U149" s="767"/>
      <c r="V149" s="1385"/>
      <c r="W149" s="1385"/>
      <c r="X149" s="1385"/>
      <c r="Y149" s="1385"/>
      <c r="Z149" s="1385"/>
      <c r="AA149" s="1860"/>
      <c r="AB149" s="789"/>
      <c r="AC149" s="789"/>
      <c r="AD149" s="789"/>
      <c r="AE149" s="789"/>
    </row>
    <row s="13656" customFormat="1" customHeight="1" ht="11.25">
      <c r="A150" s="1211"/>
      <c r="B150" s="1864"/>
      <c r="C150" s="1864"/>
      <c r="D150" s="574"/>
      <c r="K150" s="1385"/>
      <c r="L150" s="1864"/>
      <c r="M150" s="1864"/>
      <c r="N150" s="1385"/>
      <c r="O150" s="1385"/>
      <c r="P150" s="1385"/>
      <c r="Q150" s="1385"/>
      <c r="R150" s="1864"/>
      <c r="S150" s="1385"/>
      <c r="T150" s="1385"/>
      <c r="U150" s="767"/>
      <c r="V150" s="1385"/>
      <c r="W150" s="1385"/>
      <c r="X150" s="1385"/>
      <c r="Y150" s="1385"/>
      <c r="Z150" s="1385"/>
      <c r="AA150" s="1860"/>
      <c r="AB150" s="789"/>
      <c r="AC150" s="789"/>
      <c r="AD150" s="789"/>
      <c r="AE150" s="789"/>
    </row>
    <row s="13656" customFormat="1" customHeight="1" ht="11.25">
      <c r="A151" s="1211"/>
      <c r="B151" s="1864"/>
      <c r="C151" s="1864"/>
      <c r="D151" s="574"/>
      <c r="K151" s="1385"/>
      <c r="L151" s="1864"/>
      <c r="M151" s="1864"/>
      <c r="N151" s="1385"/>
      <c r="O151" s="1385"/>
      <c r="P151" s="1385"/>
      <c r="Q151" s="1385"/>
      <c r="R151" s="1864"/>
      <c r="S151" s="1385"/>
      <c r="T151" s="1385"/>
      <c r="U151" s="767"/>
      <c r="V151" s="1385"/>
      <c r="W151" s="1385"/>
      <c r="X151" s="1385"/>
      <c r="Y151" s="1385"/>
      <c r="Z151" s="1385"/>
      <c r="AA151" s="1860"/>
      <c r="AB151" s="789"/>
      <c r="AC151" s="789"/>
      <c r="AD151" s="789"/>
      <c r="AE151" s="789"/>
    </row>
    <row s="13656" customFormat="1" customHeight="1" ht="11.25">
      <c r="A152" s="1211"/>
      <c r="B152" s="1864"/>
      <c r="C152" s="1864"/>
      <c r="D152" s="574"/>
      <c r="K152" s="1385"/>
      <c r="L152" s="1864"/>
      <c r="M152" s="1864"/>
      <c r="N152" s="1385"/>
      <c r="O152" s="1385"/>
      <c r="P152" s="1385"/>
      <c r="Q152" s="1385"/>
      <c r="R152" s="1864"/>
      <c r="S152" s="1385"/>
      <c r="T152" s="1385"/>
      <c r="U152" s="767"/>
      <c r="V152" s="1385"/>
      <c r="W152" s="1385"/>
      <c r="X152" s="1385"/>
      <c r="Y152" s="1385"/>
      <c r="Z152" s="1385"/>
      <c r="AA152" s="1860"/>
      <c r="AB152" s="789"/>
      <c r="AC152" s="789"/>
      <c r="AD152" s="789"/>
      <c r="AE152" s="789"/>
    </row>
    <row s="13656" customFormat="1" customHeight="1" ht="11.25">
      <c r="A153" s="1211"/>
      <c r="B153" s="1864"/>
      <c r="C153" s="1864"/>
      <c r="D153" s="574"/>
      <c r="K153" s="1385"/>
      <c r="L153" s="1864"/>
      <c r="M153" s="1864"/>
      <c r="N153" s="1385"/>
      <c r="O153" s="1385"/>
      <c r="P153" s="1385"/>
      <c r="Q153" s="1385"/>
      <c r="R153" s="1864"/>
      <c r="S153" s="1385"/>
      <c r="T153" s="1385"/>
      <c r="U153" s="767"/>
      <c r="V153" s="1385"/>
      <c r="W153" s="1385"/>
      <c r="X153" s="1385"/>
      <c r="Y153" s="1385"/>
      <c r="Z153" s="1385"/>
      <c r="AA153" s="1860"/>
      <c r="AB153" s="789"/>
      <c r="AC153" s="789"/>
      <c r="AD153" s="789"/>
      <c r="AE153" s="789"/>
    </row>
    <row s="13656" customFormat="1" customHeight="1" ht="11.25">
      <c r="A154" s="1211"/>
      <c r="B154" s="1864"/>
      <c r="C154" s="1864"/>
      <c r="D154" s="574"/>
      <c r="K154" s="1385"/>
      <c r="L154" s="1864"/>
      <c r="M154" s="1864"/>
      <c r="N154" s="1385"/>
      <c r="O154" s="1385"/>
      <c r="P154" s="1385"/>
      <c r="Q154" s="1385"/>
      <c r="R154" s="1864"/>
      <c r="S154" s="1385"/>
      <c r="T154" s="1385"/>
      <c r="U154" s="767"/>
      <c r="V154" s="1385"/>
      <c r="W154" s="1385"/>
      <c r="X154" s="1385"/>
      <c r="Y154" s="1385"/>
      <c r="Z154" s="1385"/>
      <c r="AA154" s="1860"/>
      <c r="AB154" s="789"/>
      <c r="AC154" s="789"/>
      <c r="AD154" s="789"/>
      <c r="AE154" s="789"/>
    </row>
    <row s="13656" customFormat="1" customHeight="1" ht="11.25">
      <c r="A155" s="1211"/>
      <c r="B155" s="1864"/>
      <c r="C155" s="1864"/>
      <c r="D155" s="574"/>
      <c r="K155" s="1385"/>
      <c r="L155" s="1864"/>
      <c r="M155" s="1864"/>
      <c r="N155" s="1385"/>
      <c r="O155" s="1385"/>
      <c r="P155" s="1385"/>
      <c r="Q155" s="1385"/>
      <c r="R155" s="1864"/>
      <c r="S155" s="1385"/>
      <c r="T155" s="1385"/>
      <c r="U155" s="767"/>
      <c r="V155" s="1385"/>
      <c r="W155" s="1385"/>
      <c r="X155" s="1385"/>
      <c r="Y155" s="1385"/>
      <c r="Z155" s="1385"/>
      <c r="AA155" s="1860"/>
      <c r="AB155" s="789"/>
      <c r="AC155" s="789"/>
      <c r="AD155" s="789"/>
      <c r="AE155" s="789"/>
    </row>
    <row s="13656" customFormat="1" customHeight="1" ht="11.25">
      <c r="A156" s="1211"/>
      <c r="B156" s="1864"/>
      <c r="C156" s="1864"/>
      <c r="D156" s="574"/>
      <c r="K156" s="1385"/>
      <c r="L156" s="1864"/>
      <c r="M156" s="1864"/>
      <c r="N156" s="1385"/>
      <c r="O156" s="1385"/>
      <c r="P156" s="1385"/>
      <c r="Q156" s="1385"/>
      <c r="R156" s="1864"/>
      <c r="S156" s="1385"/>
      <c r="T156" s="1385"/>
      <c r="U156" s="767"/>
      <c r="V156" s="1385"/>
      <c r="W156" s="1385"/>
      <c r="X156" s="1385"/>
      <c r="Y156" s="1385"/>
      <c r="Z156" s="1385"/>
      <c r="AA156" s="1860"/>
      <c r="AB156" s="789"/>
      <c r="AC156" s="789"/>
      <c r="AD156" s="789"/>
      <c r="AE156" s="789"/>
    </row>
    <row s="13656" customFormat="1" customHeight="1" ht="11.25">
      <c r="A157" s="1211"/>
      <c r="B157" s="1864"/>
      <c r="C157" s="1864"/>
      <c r="D157" s="574"/>
      <c r="K157" s="1385"/>
      <c r="L157" s="1864"/>
      <c r="M157" s="1864"/>
      <c r="N157" s="1385"/>
      <c r="O157" s="1385"/>
      <c r="P157" s="1385"/>
      <c r="Q157" s="1385"/>
      <c r="R157" s="1864"/>
      <c r="S157" s="1385"/>
      <c r="T157" s="1385"/>
      <c r="U157" s="767"/>
      <c r="V157" s="1385"/>
      <c r="W157" s="1385"/>
      <c r="X157" s="1385"/>
      <c r="Y157" s="1385"/>
      <c r="Z157" s="1385"/>
      <c r="AA157" s="1860"/>
      <c r="AB157" s="789"/>
      <c r="AC157" s="789"/>
      <c r="AD157" s="789"/>
      <c r="AE157" s="789"/>
    </row>
    <row s="13656" customFormat="1" customHeight="1" ht="11.25">
      <c r="A158" s="1211"/>
      <c r="B158" s="1864"/>
      <c r="C158" s="1864"/>
      <c r="D158" s="574"/>
      <c r="K158" s="1385"/>
      <c r="L158" s="1864"/>
      <c r="M158" s="1864"/>
      <c r="N158" s="1385"/>
      <c r="O158" s="1385"/>
      <c r="P158" s="1385"/>
      <c r="Q158" s="1385"/>
      <c r="R158" s="1864"/>
      <c r="S158" s="1385"/>
      <c r="T158" s="1385"/>
      <c r="U158" s="767"/>
      <c r="V158" s="1385"/>
      <c r="W158" s="1385"/>
      <c r="X158" s="1385"/>
      <c r="Y158" s="1385"/>
      <c r="Z158" s="1385"/>
      <c r="AA158" s="1860"/>
      <c r="AB158" s="789"/>
      <c r="AC158" s="789"/>
      <c r="AD158" s="789"/>
      <c r="AE158" s="789"/>
    </row>
    <row s="13656" customFormat="1" customHeight="1" ht="11.25">
      <c r="A159" s="1211"/>
      <c r="B159" s="1864"/>
      <c r="C159" s="1864"/>
      <c r="D159" s="574"/>
      <c r="K159" s="1385"/>
      <c r="L159" s="1864"/>
      <c r="M159" s="1864"/>
      <c r="N159" s="1385"/>
      <c r="O159" s="1385"/>
      <c r="P159" s="1385"/>
      <c r="Q159" s="1385"/>
      <c r="R159" s="1864"/>
      <c r="S159" s="1385"/>
      <c r="T159" s="1385"/>
      <c r="U159" s="767"/>
      <c r="V159" s="1385"/>
      <c r="W159" s="1385"/>
      <c r="X159" s="1385"/>
      <c r="Y159" s="1385"/>
      <c r="Z159" s="1385"/>
      <c r="AA159" s="1860"/>
      <c r="AB159" s="789"/>
      <c r="AC159" s="789"/>
      <c r="AD159" s="789"/>
      <c r="AE159" s="789"/>
    </row>
    <row s="13656" customFormat="1" customHeight="1" ht="11.25">
      <c r="A160" s="1211"/>
      <c r="B160" s="1864"/>
      <c r="C160" s="1864"/>
      <c r="D160" s="574"/>
      <c r="K160" s="1385"/>
      <c r="L160" s="1864"/>
      <c r="M160" s="1864"/>
      <c r="N160" s="1385"/>
      <c r="O160" s="1385"/>
      <c r="P160" s="1385"/>
      <c r="Q160" s="1385"/>
      <c r="R160" s="1864"/>
      <c r="S160" s="1385"/>
      <c r="T160" s="1385"/>
      <c r="U160" s="767"/>
      <c r="V160" s="1385"/>
      <c r="W160" s="1385"/>
      <c r="X160" s="1385"/>
      <c r="Y160" s="1385"/>
      <c r="Z160" s="1385"/>
      <c r="AA160" s="1860"/>
      <c r="AB160" s="789"/>
      <c r="AC160" s="789"/>
      <c r="AD160" s="789"/>
      <c r="AE160" s="789"/>
    </row>
    <row s="13656" customFormat="1" customHeight="1" ht="11.25">
      <c r="A161" s="1211"/>
      <c r="B161" s="1864"/>
      <c r="C161" s="1864"/>
      <c r="D161" s="574"/>
      <c r="K161" s="1385"/>
      <c r="L161" s="1864"/>
      <c r="M161" s="1864"/>
      <c r="N161" s="1385"/>
      <c r="O161" s="1385"/>
      <c r="P161" s="1385"/>
      <c r="Q161" s="1385"/>
      <c r="R161" s="1864"/>
      <c r="S161" s="1385"/>
      <c r="T161" s="1385"/>
      <c r="U161" s="767"/>
      <c r="V161" s="1385"/>
      <c r="W161" s="1385"/>
      <c r="X161" s="1385"/>
      <c r="Y161" s="1385"/>
      <c r="Z161" s="1385"/>
      <c r="AA161" s="1860"/>
      <c r="AB161" s="789"/>
      <c r="AC161" s="789"/>
      <c r="AD161" s="789"/>
      <c r="AE161" s="789"/>
    </row>
    <row s="13656" customFormat="1" customHeight="1" ht="11.25">
      <c r="A162" s="1211"/>
      <c r="B162" s="1864"/>
      <c r="C162" s="1864"/>
      <c r="D162" s="574"/>
      <c r="K162" s="1385"/>
      <c r="L162" s="1864"/>
      <c r="M162" s="1864"/>
      <c r="N162" s="1385"/>
      <c r="O162" s="1385"/>
      <c r="P162" s="1385"/>
      <c r="Q162" s="1385"/>
      <c r="R162" s="1864"/>
      <c r="S162" s="1385"/>
      <c r="T162" s="1385"/>
      <c r="U162" s="767"/>
      <c r="V162" s="1385"/>
      <c r="W162" s="1385"/>
      <c r="X162" s="1385"/>
      <c r="Y162" s="1385"/>
      <c r="Z162" s="1385"/>
      <c r="AA162" s="1860"/>
      <c r="AB162" s="789"/>
      <c r="AC162" s="789"/>
      <c r="AD162" s="789"/>
      <c r="AE162" s="789"/>
    </row>
    <row s="13656" customFormat="1" customHeight="1" ht="11.25">
      <c r="A163" s="1211"/>
      <c r="B163" s="1864"/>
      <c r="C163" s="1864"/>
      <c r="D163" s="574"/>
      <c r="K163" s="1385"/>
      <c r="L163" s="1864"/>
      <c r="M163" s="1864"/>
      <c r="N163" s="1385"/>
      <c r="O163" s="1385"/>
      <c r="P163" s="1385"/>
      <c r="Q163" s="1385"/>
      <c r="R163" s="1864"/>
      <c r="S163" s="1385"/>
      <c r="T163" s="1385"/>
      <c r="U163" s="767"/>
      <c r="V163" s="1385"/>
      <c r="W163" s="1385"/>
      <c r="X163" s="1385"/>
      <c r="Y163" s="1385"/>
      <c r="Z163" s="1385"/>
      <c r="AA163" s="1860"/>
      <c r="AB163" s="789"/>
      <c r="AC163" s="789"/>
      <c r="AD163" s="789"/>
      <c r="AE163" s="789"/>
    </row>
    <row s="13656" customFormat="1" customHeight="1" ht="11.25">
      <c r="A164" s="1211"/>
      <c r="B164" s="1864"/>
      <c r="C164" s="1864"/>
      <c r="D164" s="574"/>
      <c r="K164" s="1385"/>
      <c r="L164" s="1864"/>
      <c r="M164" s="1864"/>
      <c r="N164" s="1385"/>
      <c r="O164" s="1385"/>
      <c r="P164" s="1385"/>
      <c r="Q164" s="1385"/>
      <c r="R164" s="1864"/>
      <c r="S164" s="1385"/>
      <c r="T164" s="1385"/>
      <c r="U164" s="767"/>
      <c r="V164" s="1385"/>
      <c r="W164" s="1385"/>
      <c r="X164" s="1385"/>
      <c r="Y164" s="1385"/>
      <c r="Z164" s="1385"/>
      <c r="AA164" s="1860"/>
      <c r="AB164" s="789"/>
      <c r="AC164" s="789"/>
      <c r="AD164" s="789"/>
      <c r="AE164" s="789"/>
    </row>
    <row s="13656" customFormat="1" customHeight="1" ht="11.25">
      <c r="A165" s="1211"/>
      <c r="B165" s="1864"/>
      <c r="C165" s="1864"/>
      <c r="D165" s="574"/>
      <c r="K165" s="1385"/>
      <c r="L165" s="1864"/>
      <c r="M165" s="1864"/>
      <c r="N165" s="1385"/>
      <c r="O165" s="1385"/>
      <c r="P165" s="1385"/>
      <c r="Q165" s="1385"/>
      <c r="R165" s="1864"/>
      <c r="S165" s="1385"/>
      <c r="T165" s="1385"/>
      <c r="U165" s="767"/>
      <c r="V165" s="1385"/>
      <c r="W165" s="1385"/>
      <c r="X165" s="1385"/>
      <c r="Y165" s="1385"/>
      <c r="Z165" s="1385"/>
      <c r="AA165" s="1860"/>
      <c r="AB165" s="789"/>
      <c r="AC165" s="789"/>
      <c r="AD165" s="789"/>
      <c r="AE165" s="789"/>
    </row>
    <row s="13656" customFormat="1" customHeight="1" ht="11.25">
      <c r="A166" s="1211"/>
      <c r="B166" s="1864"/>
      <c r="C166" s="1864"/>
      <c r="D166" s="574"/>
      <c r="K166" s="1385"/>
      <c r="L166" s="1864"/>
      <c r="M166" s="1864"/>
      <c r="N166" s="1385"/>
      <c r="O166" s="1385"/>
      <c r="P166" s="1385"/>
      <c r="Q166" s="1385"/>
      <c r="R166" s="1864"/>
      <c r="S166" s="1385"/>
      <c r="T166" s="1385"/>
      <c r="U166" s="767"/>
      <c r="V166" s="1385"/>
      <c r="W166" s="1385"/>
      <c r="X166" s="1385"/>
      <c r="Y166" s="1385"/>
      <c r="Z166" s="1385"/>
      <c r="AA166" s="1860"/>
      <c r="AB166" s="789"/>
      <c r="AC166" s="789"/>
      <c r="AD166" s="789"/>
      <c r="AE166" s="789"/>
    </row>
    <row s="13656" customFormat="1" customHeight="1" ht="11.25">
      <c r="A167" s="1211"/>
      <c r="B167" s="1864"/>
      <c r="C167" s="1864"/>
      <c r="D167" s="574"/>
      <c r="K167" s="1385"/>
      <c r="L167" s="1864"/>
      <c r="M167" s="1864"/>
      <c r="N167" s="1385"/>
      <c r="O167" s="1385"/>
      <c r="P167" s="1385"/>
      <c r="Q167" s="1385"/>
      <c r="R167" s="1864"/>
      <c r="S167" s="1385"/>
      <c r="T167" s="1385"/>
      <c r="U167" s="767"/>
      <c r="V167" s="1385"/>
      <c r="W167" s="1385"/>
      <c r="X167" s="1385"/>
      <c r="Y167" s="1385"/>
      <c r="Z167" s="1385"/>
      <c r="AA167" s="1860"/>
      <c r="AB167" s="789"/>
      <c r="AC167" s="789"/>
      <c r="AD167" s="789"/>
      <c r="AE167" s="789"/>
    </row>
    <row s="13656" customFormat="1" customHeight="1" ht="11.25">
      <c r="A168" s="1211"/>
      <c r="B168" s="1864"/>
      <c r="C168" s="1864"/>
      <c r="D168" s="574"/>
      <c r="K168" s="1385"/>
      <c r="L168" s="1864"/>
      <c r="M168" s="1864"/>
      <c r="N168" s="1385"/>
      <c r="O168" s="1385"/>
      <c r="P168" s="1385"/>
      <c r="Q168" s="1385"/>
      <c r="R168" s="1864"/>
      <c r="S168" s="1385"/>
      <c r="T168" s="1385"/>
      <c r="U168" s="767"/>
      <c r="V168" s="1385"/>
      <c r="W168" s="1385"/>
      <c r="X168" s="1385"/>
      <c r="Y168" s="1385"/>
      <c r="Z168" s="1385"/>
      <c r="AA168" s="1860"/>
      <c r="AB168" s="789"/>
      <c r="AC168" s="789"/>
      <c r="AD168" s="789"/>
      <c r="AE168" s="789"/>
    </row>
    <row s="13656" customFormat="1" customHeight="1" ht="11.25">
      <c r="A169" s="1211"/>
      <c r="B169" s="1864"/>
      <c r="C169" s="1864"/>
      <c r="D169" s="574"/>
      <c r="K169" s="1385"/>
      <c r="L169" s="1864"/>
      <c r="M169" s="1864"/>
      <c r="N169" s="1385"/>
      <c r="O169" s="1385"/>
      <c r="P169" s="1385"/>
      <c r="Q169" s="1385"/>
      <c r="R169" s="1864"/>
      <c r="S169" s="1385"/>
      <c r="T169" s="1385"/>
      <c r="U169" s="767"/>
      <c r="V169" s="1385"/>
      <c r="W169" s="1385"/>
      <c r="X169" s="1385"/>
      <c r="Y169" s="1385"/>
      <c r="Z169" s="1385"/>
      <c r="AA169" s="1860"/>
      <c r="AB169" s="789"/>
      <c r="AC169" s="789"/>
      <c r="AD169" s="789"/>
      <c r="AE169" s="789"/>
    </row>
    <row s="13656" customFormat="1" customHeight="1" ht="11.25">
      <c r="A170" s="1211"/>
      <c r="B170" s="1864"/>
      <c r="C170" s="1864"/>
      <c r="D170" s="574"/>
      <c r="K170" s="1385"/>
      <c r="L170" s="1864"/>
      <c r="M170" s="1864"/>
      <c r="N170" s="1385"/>
      <c r="O170" s="1385"/>
      <c r="P170" s="1385"/>
      <c r="Q170" s="1385"/>
      <c r="R170" s="1864"/>
      <c r="S170" s="1385"/>
      <c r="T170" s="1385"/>
      <c r="U170" s="767"/>
      <c r="V170" s="1385"/>
      <c r="W170" s="1385"/>
      <c r="X170" s="1385"/>
      <c r="Y170" s="1385"/>
      <c r="Z170" s="1385"/>
      <c r="AA170" s="1860"/>
      <c r="AB170" s="789"/>
      <c r="AC170" s="789"/>
      <c r="AD170" s="789"/>
      <c r="AE170" s="789"/>
    </row>
    <row s="13656" customFormat="1" customHeight="1" ht="11.25">
      <c r="A171" s="1211"/>
      <c r="B171" s="1864"/>
      <c r="C171" s="1864"/>
      <c r="D171" s="574"/>
      <c r="K171" s="1385"/>
      <c r="L171" s="1864"/>
      <c r="M171" s="1864"/>
      <c r="N171" s="1385"/>
      <c r="O171" s="1385"/>
      <c r="P171" s="1385"/>
      <c r="Q171" s="1385"/>
      <c r="R171" s="1864"/>
      <c r="S171" s="1385"/>
      <c r="T171" s="1385"/>
      <c r="U171" s="767"/>
      <c r="V171" s="1385"/>
      <c r="W171" s="1385"/>
      <c r="X171" s="1385"/>
      <c r="Y171" s="1385"/>
      <c r="Z171" s="1385"/>
      <c r="AA171" s="1860"/>
      <c r="AB171" s="789"/>
      <c r="AC171" s="789"/>
      <c r="AD171" s="789"/>
      <c r="AE171" s="789"/>
    </row>
    <row s="13656" customFormat="1" customHeight="1" ht="11.25">
      <c r="A172" s="1211"/>
      <c r="B172" s="1864"/>
      <c r="C172" s="1864"/>
      <c r="D172" s="574"/>
      <c r="K172" s="1385"/>
      <c r="L172" s="1864"/>
      <c r="M172" s="1864"/>
      <c r="N172" s="1385"/>
      <c r="O172" s="1385"/>
      <c r="P172" s="1385"/>
      <c r="Q172" s="1385"/>
      <c r="R172" s="1864"/>
      <c r="S172" s="1385"/>
      <c r="T172" s="1385"/>
      <c r="U172" s="767"/>
      <c r="V172" s="1385"/>
      <c r="W172" s="1385"/>
      <c r="X172" s="1385"/>
      <c r="Y172" s="1385"/>
      <c r="Z172" s="1385"/>
      <c r="AA172" s="1860"/>
      <c r="AB172" s="789"/>
      <c r="AC172" s="789"/>
      <c r="AD172" s="789"/>
      <c r="AE172" s="789"/>
    </row>
    <row s="13656" customFormat="1" customHeight="1" ht="11.25">
      <c r="A173" s="1211"/>
      <c r="B173" s="1864"/>
      <c r="C173" s="1864"/>
      <c r="D173" s="574"/>
      <c r="K173" s="1385"/>
      <c r="L173" s="1864"/>
      <c r="M173" s="1864"/>
      <c r="N173" s="1385"/>
      <c r="O173" s="1385"/>
      <c r="P173" s="1385"/>
      <c r="Q173" s="1385"/>
      <c r="R173" s="1864"/>
      <c r="S173" s="1385"/>
      <c r="T173" s="1385"/>
      <c r="U173" s="767"/>
      <c r="V173" s="1385"/>
      <c r="W173" s="1385"/>
      <c r="X173" s="1385"/>
      <c r="Y173" s="1385"/>
      <c r="Z173" s="1385"/>
      <c r="AA173" s="1860"/>
      <c r="AB173" s="789"/>
      <c r="AC173" s="789"/>
      <c r="AD173" s="789"/>
      <c r="AE173" s="789"/>
    </row>
    <row s="13656" customFormat="1" customHeight="1" ht="11.25">
      <c r="A174" s="1211"/>
      <c r="B174" s="1864"/>
      <c r="C174" s="1864"/>
      <c r="D174" s="574"/>
      <c r="K174" s="1385"/>
      <c r="L174" s="1864"/>
      <c r="M174" s="1864"/>
      <c r="N174" s="1385"/>
      <c r="O174" s="1385"/>
      <c r="P174" s="1385"/>
      <c r="Q174" s="1385"/>
      <c r="R174" s="1864"/>
      <c r="S174" s="1385"/>
      <c r="T174" s="1385"/>
      <c r="U174" s="767"/>
      <c r="V174" s="1385"/>
      <c r="W174" s="1385"/>
      <c r="X174" s="1385"/>
      <c r="Y174" s="1385"/>
      <c r="Z174" s="1385"/>
      <c r="AA174" s="1860"/>
      <c r="AB174" s="789"/>
      <c r="AC174" s="789"/>
      <c r="AD174" s="789"/>
      <c r="AE174" s="789"/>
    </row>
    <row s="13656" customFormat="1" customHeight="1" ht="11.25">
      <c r="A175" s="1211"/>
      <c r="B175" s="1864"/>
      <c r="C175" s="1864"/>
      <c r="D175" s="574"/>
      <c r="K175" s="1385"/>
      <c r="L175" s="1864"/>
      <c r="M175" s="1864"/>
      <c r="N175" s="1385"/>
      <c r="O175" s="1385"/>
      <c r="P175" s="1385"/>
      <c r="Q175" s="1385"/>
      <c r="R175" s="1864"/>
      <c r="S175" s="1385"/>
      <c r="T175" s="1385"/>
      <c r="U175" s="767"/>
      <c r="V175" s="1385"/>
      <c r="W175" s="1385"/>
      <c r="X175" s="1385"/>
      <c r="Y175" s="1385"/>
      <c r="Z175" s="1385"/>
      <c r="AA175" s="1860"/>
      <c r="AB175" s="789"/>
      <c r="AC175" s="789"/>
      <c r="AD175" s="789"/>
      <c r="AE175" s="789"/>
    </row>
    <row s="13656" customFormat="1" customHeight="1" ht="11.25">
      <c r="A176" s="1211"/>
      <c r="B176" s="1864"/>
      <c r="C176" s="1864"/>
      <c r="D176" s="574"/>
      <c r="K176" s="1385"/>
      <c r="L176" s="1864"/>
      <c r="M176" s="1864"/>
      <c r="N176" s="1385"/>
      <c r="O176" s="1385"/>
      <c r="P176" s="1385"/>
      <c r="Q176" s="1385"/>
      <c r="R176" s="1864"/>
      <c r="S176" s="1385"/>
      <c r="T176" s="1385"/>
      <c r="U176" s="767"/>
      <c r="V176" s="1385"/>
      <c r="W176" s="1385"/>
      <c r="X176" s="1385"/>
      <c r="Y176" s="1385"/>
      <c r="Z176" s="1385"/>
      <c r="AA176" s="1860"/>
      <c r="AB176" s="789"/>
      <c r="AC176" s="789"/>
      <c r="AD176" s="789"/>
      <c r="AE176" s="789"/>
    </row>
    <row s="13656" customFormat="1" customHeight="1" ht="11.25">
      <c r="A177" s="1211"/>
      <c r="B177" s="1864"/>
      <c r="C177" s="1864"/>
      <c r="D177" s="574"/>
      <c r="K177" s="1385"/>
      <c r="L177" s="1864"/>
      <c r="M177" s="1864"/>
      <c r="N177" s="1385"/>
      <c r="O177" s="1385"/>
      <c r="P177" s="1385"/>
      <c r="Q177" s="1385"/>
      <c r="R177" s="1864"/>
      <c r="S177" s="1385"/>
      <c r="T177" s="1385"/>
      <c r="U177" s="767"/>
      <c r="V177" s="1385"/>
      <c r="W177" s="1385"/>
      <c r="X177" s="1385"/>
      <c r="Y177" s="1385"/>
      <c r="Z177" s="1385"/>
      <c r="AA177" s="1860"/>
      <c r="AB177" s="789"/>
      <c r="AC177" s="789"/>
      <c r="AD177" s="789"/>
      <c r="AE177" s="789"/>
    </row>
    <row s="13656" customFormat="1" customHeight="1" ht="11.25">
      <c r="A178" s="1211"/>
      <c r="B178" s="1864"/>
      <c r="C178" s="1864"/>
      <c r="D178" s="574"/>
      <c r="K178" s="1385"/>
      <c r="L178" s="1864"/>
      <c r="M178" s="1864"/>
      <c r="N178" s="1385"/>
      <c r="O178" s="1385"/>
      <c r="P178" s="1385"/>
      <c r="Q178" s="1385"/>
      <c r="R178" s="1864"/>
      <c r="S178" s="1385"/>
      <c r="T178" s="1385"/>
      <c r="U178" s="767"/>
      <c r="V178" s="1385"/>
      <c r="W178" s="1385"/>
      <c r="X178" s="1385"/>
      <c r="Y178" s="1385"/>
      <c r="Z178" s="1385"/>
      <c r="AA178" s="1860"/>
      <c r="AB178" s="789"/>
      <c r="AC178" s="789"/>
      <c r="AD178" s="789"/>
      <c r="AE178" s="789"/>
    </row>
    <row s="13656" customFormat="1" customHeight="1" ht="11.25">
      <c r="A179" s="1211"/>
      <c r="B179" s="1864"/>
      <c r="C179" s="1864"/>
      <c r="D179" s="574"/>
      <c r="K179" s="1385"/>
      <c r="L179" s="1864"/>
      <c r="M179" s="1864"/>
      <c r="N179" s="1385"/>
      <c r="O179" s="1385"/>
      <c r="P179" s="1385"/>
      <c r="Q179" s="1385"/>
      <c r="R179" s="1864"/>
      <c r="S179" s="1385"/>
      <c r="T179" s="1385"/>
      <c r="U179" s="767"/>
      <c r="V179" s="1385"/>
      <c r="W179" s="1385"/>
      <c r="X179" s="1385"/>
      <c r="Y179" s="1385"/>
      <c r="Z179" s="1385"/>
      <c r="AA179" s="1860"/>
      <c r="AB179" s="789"/>
      <c r="AC179" s="789"/>
      <c r="AD179" s="789"/>
      <c r="AE179" s="789"/>
    </row>
    <row s="13656" customFormat="1" customHeight="1" ht="11.25">
      <c r="A180" s="1211"/>
      <c r="B180" s="1864"/>
      <c r="C180" s="1864"/>
      <c r="D180" s="574"/>
      <c r="K180" s="1385"/>
      <c r="L180" s="1864"/>
      <c r="M180" s="1864"/>
      <c r="N180" s="1385"/>
      <c r="O180" s="1385"/>
      <c r="P180" s="1385"/>
      <c r="Q180" s="1385"/>
      <c r="R180" s="1864"/>
      <c r="S180" s="1385"/>
      <c r="T180" s="1385"/>
      <c r="U180" s="767"/>
      <c r="V180" s="1385"/>
      <c r="W180" s="1385"/>
      <c r="X180" s="1385"/>
      <c r="Y180" s="1385"/>
      <c r="Z180" s="1385"/>
      <c r="AA180" s="1860"/>
      <c r="AB180" s="789"/>
      <c r="AC180" s="789"/>
      <c r="AD180" s="789"/>
      <c r="AE180" s="789"/>
    </row>
    <row s="13656" customFormat="1" customHeight="1" ht="11.25">
      <c r="A181" s="1211"/>
      <c r="B181" s="1864"/>
      <c r="C181" s="1864"/>
      <c r="D181" s="574"/>
      <c r="K181" s="1385"/>
      <c r="L181" s="1864"/>
      <c r="M181" s="1864"/>
      <c r="N181" s="1385"/>
      <c r="O181" s="1385"/>
      <c r="P181" s="1385"/>
      <c r="Q181" s="1385"/>
      <c r="R181" s="1864"/>
      <c r="S181" s="1385"/>
      <c r="T181" s="1385"/>
      <c r="U181" s="767"/>
      <c r="V181" s="1385"/>
      <c r="W181" s="1385"/>
      <c r="X181" s="1385"/>
      <c r="Y181" s="1385"/>
      <c r="Z181" s="1385"/>
      <c r="AA181" s="1860"/>
      <c r="AB181" s="789"/>
      <c r="AC181" s="789"/>
      <c r="AD181" s="789"/>
      <c r="AE181" s="789"/>
    </row>
    <row s="13656" customFormat="1" customHeight="1" ht="11.25">
      <c r="A182" s="1211"/>
      <c r="B182" s="1864"/>
      <c r="C182" s="1864"/>
      <c r="D182" s="574"/>
      <c r="K182" s="1385"/>
      <c r="L182" s="1864"/>
      <c r="M182" s="1864"/>
      <c r="N182" s="1385"/>
      <c r="O182" s="1385"/>
      <c r="P182" s="1385"/>
      <c r="Q182" s="1385"/>
      <c r="R182" s="1864"/>
      <c r="S182" s="1385"/>
      <c r="T182" s="1385"/>
      <c r="U182" s="767"/>
      <c r="V182" s="1385"/>
      <c r="W182" s="1385"/>
      <c r="X182" s="1385"/>
      <c r="Y182" s="1385"/>
      <c r="Z182" s="1385"/>
      <c r="AA182" s="1860"/>
      <c r="AB182" s="789"/>
      <c r="AC182" s="789"/>
      <c r="AD182" s="789"/>
      <c r="AE182" s="789"/>
    </row>
    <row s="13656" customFormat="1" customHeight="1" ht="11.25">
      <c r="A183" s="1211"/>
      <c r="B183" s="1864"/>
      <c r="C183" s="1864"/>
      <c r="D183" s="574"/>
      <c r="K183" s="1385"/>
      <c r="L183" s="1864"/>
      <c r="M183" s="1864"/>
      <c r="N183" s="1385"/>
      <c r="O183" s="1385"/>
      <c r="P183" s="1385"/>
      <c r="Q183" s="1385"/>
      <c r="R183" s="1864"/>
      <c r="S183" s="1385"/>
      <c r="T183" s="1385"/>
      <c r="U183" s="767"/>
      <c r="V183" s="1385"/>
      <c r="W183" s="1385"/>
      <c r="X183" s="1385"/>
      <c r="Y183" s="1385"/>
      <c r="Z183" s="1385"/>
      <c r="AA183" s="1860"/>
      <c r="AB183" s="789"/>
      <c r="AC183" s="789"/>
      <c r="AD183" s="789"/>
      <c r="AE183" s="789"/>
    </row>
    <row s="13656" customFormat="1" customHeight="1" ht="11.25">
      <c r="A184" s="1211"/>
      <c r="B184" s="1864"/>
      <c r="C184" s="1864"/>
      <c r="D184" s="574"/>
      <c r="K184" s="1385"/>
      <c r="L184" s="1864"/>
      <c r="M184" s="1864"/>
      <c r="N184" s="1385"/>
      <c r="O184" s="1385"/>
      <c r="P184" s="1385"/>
      <c r="Q184" s="1385"/>
      <c r="R184" s="1864"/>
      <c r="S184" s="1385"/>
      <c r="T184" s="1385"/>
      <c r="U184" s="767"/>
      <c r="V184" s="1385"/>
      <c r="W184" s="1385"/>
      <c r="X184" s="1385"/>
      <c r="Y184" s="1385"/>
      <c r="Z184" s="1385"/>
      <c r="AA184" s="1860"/>
      <c r="AB184" s="789"/>
      <c r="AC184" s="789"/>
      <c r="AD184" s="789"/>
      <c r="AE184" s="789"/>
    </row>
    <row s="13656" customFormat="1" customHeight="1" ht="11.25">
      <c r="A185" s="1211"/>
      <c r="B185" s="1864"/>
      <c r="C185" s="1864"/>
      <c r="D185" s="574"/>
      <c r="K185" s="1385"/>
      <c r="L185" s="1864"/>
      <c r="M185" s="1864"/>
      <c r="N185" s="1385"/>
      <c r="O185" s="1385"/>
      <c r="P185" s="1385"/>
      <c r="Q185" s="1385"/>
      <c r="R185" s="1864"/>
      <c r="S185" s="1385"/>
      <c r="T185" s="1385"/>
      <c r="U185" s="767"/>
      <c r="V185" s="1385"/>
      <c r="W185" s="1385"/>
      <c r="X185" s="1385"/>
      <c r="Y185" s="1385"/>
      <c r="Z185" s="1385"/>
      <c r="AA185" s="1860"/>
      <c r="AB185" s="789"/>
      <c r="AC185" s="789"/>
      <c r="AD185" s="789"/>
      <c r="AE185" s="789"/>
    </row>
    <row s="13656" customFormat="1" customHeight="1" ht="11.25">
      <c r="A186" s="1211"/>
      <c r="B186" s="1864"/>
      <c r="C186" s="1864"/>
      <c r="D186" s="574"/>
      <c r="K186" s="1385"/>
      <c r="L186" s="1864"/>
      <c r="M186" s="1864"/>
      <c r="N186" s="1385"/>
      <c r="O186" s="1385"/>
      <c r="P186" s="1385"/>
      <c r="Q186" s="1385"/>
      <c r="R186" s="1864"/>
      <c r="S186" s="1385"/>
      <c r="T186" s="1385"/>
      <c r="U186" s="767"/>
      <c r="V186" s="1385"/>
      <c r="W186" s="1385"/>
      <c r="X186" s="1385"/>
      <c r="Y186" s="1385"/>
      <c r="Z186" s="1385"/>
      <c r="AA186" s="1860"/>
      <c r="AB186" s="789"/>
      <c r="AC186" s="789"/>
      <c r="AD186" s="789"/>
      <c r="AE186" s="789"/>
    </row>
    <row s="13656" customFormat="1" customHeight="1" ht="11.25">
      <c r="A187" s="1211"/>
      <c r="B187" s="1864"/>
      <c r="C187" s="1864"/>
      <c r="D187" s="574"/>
      <c r="K187" s="1385"/>
      <c r="L187" s="1864"/>
      <c r="M187" s="1864"/>
      <c r="N187" s="1385"/>
      <c r="O187" s="1385"/>
      <c r="P187" s="1385"/>
      <c r="Q187" s="1385"/>
      <c r="R187" s="1864"/>
      <c r="S187" s="1385"/>
      <c r="T187" s="1385"/>
      <c r="U187" s="767"/>
      <c r="V187" s="1385"/>
      <c r="W187" s="1385"/>
      <c r="X187" s="1385"/>
      <c r="Y187" s="1385"/>
      <c r="Z187" s="1385"/>
      <c r="AA187" s="1860"/>
      <c r="AB187" s="789"/>
      <c r="AC187" s="789"/>
      <c r="AD187" s="789"/>
      <c r="AE187" s="789"/>
    </row>
    <row s="13656" customFormat="1" customHeight="1" ht="11.25">
      <c r="A188" s="1211"/>
      <c r="B188" s="1864"/>
      <c r="C188" s="1864"/>
      <c r="D188" s="574"/>
      <c r="K188" s="1385"/>
      <c r="L188" s="1864"/>
      <c r="M188" s="1864"/>
      <c r="N188" s="1385"/>
      <c r="O188" s="1385"/>
      <c r="P188" s="1385"/>
      <c r="Q188" s="1385"/>
      <c r="R188" s="1864"/>
      <c r="S188" s="1385"/>
      <c r="T188" s="1385"/>
      <c r="U188" s="767"/>
      <c r="V188" s="1385"/>
      <c r="W188" s="1385"/>
      <c r="X188" s="1385"/>
      <c r="Y188" s="1385"/>
      <c r="Z188" s="1385"/>
      <c r="AA188" s="1860"/>
      <c r="AB188" s="789"/>
      <c r="AC188" s="789"/>
      <c r="AD188" s="789"/>
      <c r="AE188" s="789"/>
    </row>
    <row s="13656" customFormat="1" customHeight="1" ht="11.25">
      <c r="A189" s="1211"/>
      <c r="B189" s="1864"/>
      <c r="C189" s="1864"/>
      <c r="D189" s="574"/>
      <c r="K189" s="1385"/>
      <c r="L189" s="1864"/>
      <c r="M189" s="1864"/>
      <c r="N189" s="1385"/>
      <c r="O189" s="1385"/>
      <c r="P189" s="1385"/>
      <c r="Q189" s="1385"/>
      <c r="R189" s="1864"/>
      <c r="S189" s="1385"/>
      <c r="T189" s="1385"/>
      <c r="U189" s="767"/>
      <c r="V189" s="1385"/>
      <c r="W189" s="1385"/>
      <c r="X189" s="1385"/>
      <c r="Y189" s="1385"/>
      <c r="Z189" s="1385"/>
      <c r="AA189" s="1860"/>
      <c r="AB189" s="789"/>
      <c r="AC189" s="789"/>
      <c r="AD189" s="789"/>
      <c r="AE189" s="789"/>
    </row>
    <row s="13656" customFormat="1" customHeight="1" ht="11.25">
      <c r="A190" s="1211"/>
      <c r="B190" s="1864"/>
      <c r="C190" s="1864"/>
      <c r="D190" s="574"/>
      <c r="K190" s="1385"/>
      <c r="L190" s="1864"/>
      <c r="M190" s="1864"/>
      <c r="N190" s="1385"/>
      <c r="O190" s="1385"/>
      <c r="P190" s="1385"/>
      <c r="Q190" s="1385"/>
      <c r="R190" s="1864"/>
      <c r="S190" s="1385"/>
      <c r="T190" s="1385"/>
      <c r="U190" s="767"/>
      <c r="V190" s="1385"/>
      <c r="W190" s="1385"/>
      <c r="X190" s="1385"/>
      <c r="Y190" s="1385"/>
      <c r="Z190" s="1385"/>
      <c r="AA190" s="1860"/>
      <c r="AB190" s="789"/>
      <c r="AC190" s="789"/>
      <c r="AD190" s="789"/>
      <c r="AE190" s="789"/>
    </row>
    <row s="13656" customFormat="1" customHeight="1" ht="11.25">
      <c r="A191" s="1211"/>
      <c r="B191" s="1864"/>
      <c r="C191" s="1864"/>
      <c r="D191" s="574"/>
      <c r="K191" s="1385"/>
      <c r="L191" s="1864"/>
      <c r="M191" s="1864"/>
      <c r="N191" s="1385"/>
      <c r="O191" s="1385"/>
      <c r="P191" s="1385"/>
      <c r="Q191" s="1385"/>
      <c r="R191" s="1864"/>
      <c r="S191" s="1385"/>
      <c r="T191" s="1385"/>
      <c r="U191" s="767"/>
      <c r="V191" s="1385"/>
      <c r="W191" s="1385"/>
      <c r="X191" s="1385"/>
      <c r="Y191" s="1385"/>
      <c r="Z191" s="1385"/>
      <c r="AA191" s="1860"/>
      <c r="AB191" s="789"/>
      <c r="AC191" s="789"/>
      <c r="AD191" s="789"/>
      <c r="AE191" s="789"/>
    </row>
    <row s="13656" customFormat="1" customHeight="1" ht="11.25">
      <c r="A192" s="1211"/>
      <c r="B192" s="1864"/>
      <c r="C192" s="1864"/>
      <c r="D192" s="574"/>
      <c r="K192" s="1385"/>
      <c r="L192" s="1864"/>
      <c r="M192" s="1864"/>
      <c r="N192" s="1385"/>
      <c r="O192" s="1385"/>
      <c r="P192" s="1385"/>
      <c r="Q192" s="1385"/>
      <c r="R192" s="1864"/>
      <c r="S192" s="1385"/>
      <c r="T192" s="1385"/>
      <c r="U192" s="767"/>
      <c r="V192" s="1385"/>
      <c r="W192" s="1385"/>
      <c r="X192" s="1385"/>
      <c r="Y192" s="1385"/>
      <c r="Z192" s="1385"/>
      <c r="AA192" s="1860"/>
      <c r="AB192" s="789"/>
      <c r="AC192" s="789"/>
      <c r="AD192" s="789"/>
      <c r="AE192" s="789"/>
    </row>
    <row s="13656" customFormat="1" customHeight="1" ht="11.25">
      <c r="A193" s="1211"/>
      <c r="B193" s="1864"/>
      <c r="C193" s="1864"/>
      <c r="D193" s="574"/>
      <c r="K193" s="1385"/>
      <c r="L193" s="1864"/>
      <c r="M193" s="1864"/>
      <c r="N193" s="1385"/>
      <c r="O193" s="1385"/>
      <c r="P193" s="1385"/>
      <c r="Q193" s="1385"/>
      <c r="R193" s="1864"/>
      <c r="S193" s="1385"/>
      <c r="T193" s="1385"/>
      <c r="U193" s="767"/>
      <c r="V193" s="1385"/>
      <c r="W193" s="1385"/>
      <c r="X193" s="1385"/>
      <c r="Y193" s="1385"/>
      <c r="Z193" s="1385"/>
      <c r="AA193" s="1860"/>
      <c r="AB193" s="789"/>
      <c r="AC193" s="789"/>
      <c r="AD193" s="789"/>
      <c r="AE193" s="789"/>
    </row>
    <row s="13656" customFormat="1" customHeight="1" ht="11.25">
      <c r="A194" s="1211"/>
      <c r="B194" s="1864"/>
      <c r="C194" s="1864"/>
      <c r="D194" s="574"/>
      <c r="K194" s="1385"/>
      <c r="L194" s="1864"/>
      <c r="M194" s="1864"/>
      <c r="N194" s="1385"/>
      <c r="O194" s="1385"/>
      <c r="P194" s="1385"/>
      <c r="Q194" s="1385"/>
      <c r="R194" s="1864"/>
      <c r="S194" s="1385"/>
      <c r="T194" s="1385"/>
      <c r="U194" s="767"/>
      <c r="V194" s="1385"/>
      <c r="W194" s="1385"/>
      <c r="X194" s="1385"/>
      <c r="Y194" s="1385"/>
      <c r="Z194" s="1385"/>
      <c r="AA194" s="1860"/>
      <c r="AB194" s="789"/>
      <c r="AC194" s="789"/>
      <c r="AD194" s="789"/>
      <c r="AE194" s="789"/>
    </row>
    <row s="13656" customFormat="1" customHeight="1" ht="11.25">
      <c r="A195" s="1211"/>
      <c r="B195" s="1864"/>
      <c r="C195" s="1864"/>
      <c r="D195" s="574"/>
      <c r="K195" s="1385"/>
      <c r="L195" s="1864"/>
      <c r="M195" s="1864"/>
      <c r="N195" s="1385"/>
      <c r="O195" s="1385"/>
      <c r="P195" s="1385"/>
      <c r="Q195" s="1385"/>
      <c r="R195" s="1864"/>
      <c r="S195" s="1385"/>
      <c r="T195" s="1385"/>
      <c r="U195" s="767"/>
      <c r="V195" s="1385"/>
      <c r="W195" s="1385"/>
      <c r="X195" s="1385"/>
      <c r="Y195" s="1385"/>
      <c r="Z195" s="1385"/>
      <c r="AA195" s="1860"/>
      <c r="AB195" s="789"/>
      <c r="AC195" s="789"/>
      <c r="AD195" s="789"/>
      <c r="AE195" s="789"/>
    </row>
    <row r="199" customHeight="1" ht="11.25">
      <c r="A199" s="1214"/>
      <c r="B199" s="1859"/>
      <c r="D199" s="1859"/>
      <c r="K199" s="1859"/>
      <c r="N199" s="1859"/>
      <c r="O199" s="1859"/>
      <c r="P199" s="1859"/>
      <c r="Q199" s="1859"/>
      <c r="S199" s="1859"/>
      <c r="T199" s="1859"/>
      <c r="U199" s="1859"/>
      <c r="V199" s="1859"/>
      <c r="W199" s="1859"/>
      <c r="X199" s="1859"/>
      <c r="Y199" s="1859"/>
      <c r="Z199" s="1859"/>
      <c r="AA199" s="1859"/>
      <c r="AB199" s="1859"/>
      <c r="AC199" s="1859"/>
      <c r="AD199" s="1859"/>
      <c r="AE199" s="1859"/>
    </row>
    <row customHeight="1" ht="11.25">
      <c r="A200" s="1214"/>
      <c r="B200" s="1859"/>
      <c r="D200" s="1859"/>
      <c r="K200" s="1859"/>
      <c r="N200" s="1859"/>
      <c r="O200" s="1859"/>
      <c r="P200" s="1859"/>
      <c r="Q200" s="1859"/>
      <c r="S200" s="1859"/>
      <c r="T200" s="1859"/>
      <c r="U200" s="1859"/>
      <c r="V200" s="1859"/>
      <c r="W200" s="1859"/>
      <c r="X200" s="1859"/>
      <c r="Y200" s="1859"/>
      <c r="Z200" s="1859"/>
      <c r="AA200" s="1859"/>
      <c r="AB200" s="1859"/>
      <c r="AC200" s="1859"/>
      <c r="AD200" s="1859"/>
      <c r="AE200" s="1859"/>
    </row>
    <row customHeight="1" ht="11.25">
      <c r="A201" s="1214"/>
      <c r="B201" s="1859"/>
      <c r="D201" s="1859"/>
      <c r="K201" s="1859"/>
      <c r="N201" s="1859"/>
      <c r="O201" s="1859"/>
      <c r="P201" s="1859"/>
      <c r="Q201" s="1859"/>
      <c r="S201" s="1859"/>
      <c r="T201" s="1859"/>
      <c r="U201" s="1859"/>
      <c r="V201" s="1859"/>
      <c r="W201" s="1859"/>
      <c r="X201" s="1859"/>
      <c r="Y201" s="1859"/>
      <c r="Z201" s="1859"/>
      <c r="AA201" s="1859"/>
      <c r="AB201" s="1859"/>
      <c r="AC201" s="1859"/>
      <c r="AD201" s="1859"/>
      <c r="AE201" s="1859"/>
    </row>
    <row customHeight="1" ht="11.25">
      <c r="A202" s="1214"/>
      <c r="B202" s="1859"/>
      <c r="D202" s="1859"/>
      <c r="K202" s="1859"/>
      <c r="N202" s="1859"/>
      <c r="O202" s="1859"/>
      <c r="P202" s="1859"/>
      <c r="Q202" s="1859"/>
      <c r="S202" s="1859"/>
      <c r="T202" s="1859"/>
      <c r="U202" s="1859"/>
      <c r="V202" s="1859"/>
      <c r="W202" s="1859"/>
      <c r="X202" s="1859"/>
      <c r="Y202" s="1859"/>
      <c r="Z202" s="1859"/>
      <c r="AA202" s="1859"/>
      <c r="AB202" s="1859"/>
      <c r="AC202" s="1859"/>
      <c r="AD202" s="1859"/>
      <c r="AE202" s="1859"/>
    </row>
    <row customHeight="1" ht="11.25">
      <c r="A203" s="1214"/>
      <c r="B203" s="1859"/>
      <c r="D203" s="1859"/>
      <c r="K203" s="1859"/>
      <c r="N203" s="1859"/>
      <c r="O203" s="1859"/>
      <c r="P203" s="1859"/>
      <c r="Q203" s="1859"/>
      <c r="S203" s="1859"/>
      <c r="T203" s="1859"/>
      <c r="U203" s="1859"/>
      <c r="V203" s="1859"/>
      <c r="W203" s="1859"/>
      <c r="X203" s="1859"/>
      <c r="Y203" s="1859"/>
      <c r="Z203" s="1859"/>
      <c r="AA203" s="1859"/>
      <c r="AB203" s="1859"/>
      <c r="AC203" s="1859"/>
      <c r="AD203" s="1859"/>
      <c r="AE203" s="1859"/>
    </row>
    <row customHeight="1" ht="11.25">
      <c r="A204" s="1214"/>
      <c r="B204" s="1859"/>
      <c r="D204" s="1859"/>
      <c r="K204" s="1859"/>
      <c r="N204" s="1859"/>
      <c r="O204" s="1859"/>
      <c r="P204" s="1859"/>
      <c r="Q204" s="1859"/>
      <c r="S204" s="1859"/>
      <c r="T204" s="1859"/>
      <c r="U204" s="1859"/>
      <c r="V204" s="1859"/>
      <c r="W204" s="1859"/>
      <c r="X204" s="1859"/>
      <c r="Y204" s="1859"/>
      <c r="Z204" s="1859"/>
      <c r="AA204" s="1859"/>
      <c r="AB204" s="1859"/>
      <c r="AC204" s="1859"/>
      <c r="AD204" s="1859"/>
      <c r="AE204" s="1859"/>
    </row>
    <row customHeight="1" ht="11.25">
      <c r="A205" s="1214"/>
      <c r="B205" s="1859"/>
      <c r="D205" s="1859"/>
      <c r="K205" s="1859"/>
      <c r="N205" s="1859"/>
      <c r="O205" s="1859"/>
      <c r="P205" s="1859"/>
      <c r="Q205" s="1859"/>
      <c r="S205" s="1859"/>
      <c r="T205" s="1859"/>
      <c r="U205" s="1859"/>
      <c r="V205" s="1859"/>
      <c r="W205" s="1859"/>
      <c r="X205" s="1859"/>
      <c r="Y205" s="1859"/>
      <c r="Z205" s="1859"/>
      <c r="AA205" s="1859"/>
      <c r="AB205" s="1859"/>
      <c r="AC205" s="1859"/>
      <c r="AD205" s="1859"/>
      <c r="AE205" s="1859"/>
    </row>
    <row customHeight="1" ht="11.25">
      <c r="A206" s="1214"/>
      <c r="B206" s="1859"/>
      <c r="D206" s="1859"/>
      <c r="K206" s="1859"/>
      <c r="N206" s="1859"/>
      <c r="O206" s="1859"/>
      <c r="P206" s="1859"/>
      <c r="Q206" s="1859"/>
      <c r="S206" s="1859"/>
      <c r="T206" s="1859"/>
      <c r="U206" s="1859"/>
      <c r="V206" s="1859"/>
      <c r="W206" s="1859"/>
      <c r="X206" s="1859"/>
      <c r="Y206" s="1859"/>
      <c r="Z206" s="1859"/>
      <c r="AA206" s="1859"/>
      <c r="AB206" s="1859"/>
      <c r="AC206" s="1859"/>
      <c r="AD206" s="1859"/>
      <c r="AE206" s="1859"/>
    </row>
    <row customHeight="1" ht="11.25">
      <c r="A207" s="1214"/>
      <c r="B207" s="1859"/>
      <c r="D207" s="1859"/>
      <c r="K207" s="1859"/>
      <c r="N207" s="1859"/>
      <c r="O207" s="1859"/>
      <c r="P207" s="1859"/>
      <c r="Q207" s="1859"/>
      <c r="S207" s="1859"/>
      <c r="T207" s="1859"/>
      <c r="U207" s="1859"/>
      <c r="V207" s="1859"/>
      <c r="W207" s="1859"/>
      <c r="X207" s="1859"/>
      <c r="Y207" s="1859"/>
      <c r="Z207" s="1859"/>
      <c r="AA207" s="1859"/>
      <c r="AB207" s="1859"/>
      <c r="AC207" s="1859"/>
      <c r="AD207" s="1859"/>
      <c r="AE207" s="1859"/>
    </row>
    <row customHeight="1" ht="11.25">
      <c r="A208" s="1214"/>
      <c r="B208" s="1859"/>
      <c r="D208" s="1859"/>
      <c r="K208" s="1859"/>
      <c r="N208" s="1859"/>
      <c r="O208" s="1859"/>
      <c r="P208" s="1859"/>
      <c r="Q208" s="1859"/>
      <c r="S208" s="1859"/>
      <c r="T208" s="1859"/>
      <c r="U208" s="1859"/>
      <c r="V208" s="1859"/>
      <c r="W208" s="1859"/>
      <c r="X208" s="1859"/>
      <c r="Y208" s="1859"/>
      <c r="Z208" s="1859"/>
      <c r="AA208" s="1859"/>
      <c r="AB208" s="1859"/>
      <c r="AC208" s="1859"/>
      <c r="AD208" s="1859"/>
      <c r="AE208" s="1859"/>
    </row>
    <row customHeight="1" ht="11.25">
      <c r="A209" s="1214"/>
      <c r="B209" s="1859"/>
      <c r="D209" s="1859"/>
      <c r="K209" s="1859"/>
      <c r="N209" s="1859"/>
      <c r="O209" s="1859"/>
      <c r="P209" s="1859"/>
      <c r="Q209" s="1859"/>
      <c r="S209" s="1859"/>
      <c r="T209" s="1859"/>
      <c r="U209" s="1859"/>
      <c r="V209" s="1859"/>
      <c r="W209" s="1859"/>
      <c r="X209" s="1859"/>
      <c r="Y209" s="1859"/>
      <c r="Z209" s="1859"/>
      <c r="AA209" s="1859"/>
      <c r="AB209" s="1859"/>
      <c r="AC209" s="1859"/>
      <c r="AD209" s="1859"/>
      <c r="AE209" s="185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03C3F-CCB8-D786-12C5-4E44FBB28564}"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6935" width="9.140625" hidden="1" customWidth="1"/>
    <col min="2" max="2" style="13606" width="3.57421875" hidden="1" customWidth="1"/>
    <col min="3" max="3" style="13388" width="3.7109375" customWidth="1"/>
    <col min="4" max="4" style="13388" width="7.7109375" customWidth="1"/>
    <col min="5" max="5" style="13388" width="69.8515625" customWidth="1"/>
    <col min="6" max="6" style="13388" width="11.140625" customWidth="1"/>
    <col min="7" max="8" style="13388" width="44.00390625" hidden="1" customWidth="1"/>
    <col min="9" max="10" style="12890" width="44.00390625" customWidth="1"/>
    <col min="11" max="11" style="13388" width="74.00390625" customWidth="1"/>
    <col min="12" max="12" style="13388" width="3.7109375" customWidth="1"/>
    <col min="13" max="23" style="13388" width="10.57421875"/>
  </cols>
  <sheetData>
    <row s="12891" customFormat="1" customHeight="1" ht="11.25" hidden="1">
      <c r="A1" s="759"/>
      <c r="B1" s="734"/>
      <c r="G1" s="640">
        <v>4</v>
      </c>
      <c r="I1" s="640">
        <v>4</v>
      </c>
      <c r="K1" s="640">
        <v>5</v>
      </c>
    </row>
    <row customHeight="1" ht="3"/>
    <row customHeight="1" ht="75">
      <c r="D3" s="23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74"/>
      <c r="F3" s="2375"/>
    </row>
    <row s="12890" customFormat="1" customHeight="1" ht="20.25">
      <c r="A4" s="1175"/>
      <c r="B4" s="734"/>
      <c r="D4" s="2361" t="str">
        <f>IF(org=0,"Не определено",org)</f>
        <v>ООО "Новая Энергетика"</v>
      </c>
      <c r="E4" s="2362"/>
      <c r="F4" s="2363"/>
    </row>
    <row customHeight="1" ht="11.25">
      <c r="C5" s="732"/>
      <c r="D5" s="811"/>
      <c r="E5" s="811"/>
      <c r="F5" s="811"/>
      <c r="G5" s="811"/>
      <c r="H5" s="975"/>
      <c r="I5" s="811"/>
      <c r="J5" s="975"/>
      <c r="K5" s="811"/>
    </row>
    <row customHeight="1" ht="0.75">
      <c r="C6" s="732"/>
      <c r="D6" s="732"/>
      <c r="E6" s="745"/>
      <c r="F6" s="837"/>
      <c r="G6" s="1246"/>
      <c r="H6" s="1246"/>
      <c r="I6" s="1246" t="s">
        <v>116</v>
      </c>
      <c r="J6" s="1246"/>
    </row>
    <row customHeight="1" ht="11.25">
      <c r="D7" s="934"/>
      <c r="E7" s="2498" t="s">
        <v>104</v>
      </c>
      <c r="F7" s="2499"/>
      <c r="G7" s="2515" t="str">
        <f>IF(G6="","",INDEX(DIFFERENTIATION_UNMERGE_VD,MATCH(G6,DIFFERENTIATION_ID_DIFF,0)))</f>
        <v/>
      </c>
      <c r="H7" s="2516"/>
      <c r="I7" s="2515">
        <f>IF(I6="","",INDEX(DIFFERENTIATION_UNMERGE_VD,MATCH(I6,DIFFERENTIATION_ID_DIFF,0)))</f>
        <v>0</v>
      </c>
      <c r="J7" s="2516"/>
      <c r="K7" s="2311"/>
      <c r="L7" s="732"/>
    </row>
    <row customHeight="1" ht="11.25">
      <c r="A8" s="927"/>
      <c r="D8" s="934"/>
      <c r="E8" s="2498" t="s">
        <v>567</v>
      </c>
      <c r="F8" s="2499"/>
      <c r="G8" s="2515" t="str">
        <f>IF(G6="","",INDEX(DIFFERENTIATION_UNMERGE_AREA,MATCH(G6,DIFFERENTIATION_ID_DIFF,0)))</f>
        <v/>
      </c>
      <c r="H8" s="2516"/>
      <c r="I8" s="2515" t="str">
        <f>IF(I6="","",INDEX(DIFFERENTIATION_UNMERGE_AREA,MATCH(I6,DIFFERENTIATION_ID_DIFF,0)))</f>
        <v/>
      </c>
      <c r="J8" s="2516"/>
      <c r="K8" s="2319"/>
      <c r="L8" s="732"/>
    </row>
    <row customHeight="1" ht="11.25">
      <c r="A9" s="927"/>
      <c r="D9" s="934"/>
      <c r="E9" s="2498" t="s">
        <v>568</v>
      </c>
      <c r="F9" s="2499"/>
      <c r="G9" s="2515" t="str">
        <f>IF(G6="","",INDEX(DIFFERENTIATION_UNMERGE_SYSTEM,MATCH(G6,DIFFERENTIATION_ID_DIFF,0)))</f>
        <v/>
      </c>
      <c r="H9" s="2516"/>
      <c r="I9" s="2515" t="str">
        <f>IF(I6="","",INDEX(DIFFERENTIATION_UNMERGE_SYSTEM,MATCH(I6,DIFFERENTIATION_ID_DIFF,0)))</f>
        <v>без дифференциации</v>
      </c>
      <c r="J9" s="2516"/>
      <c r="K9" s="2319"/>
      <c r="L9" s="732"/>
    </row>
    <row s="12890" customFormat="1" customHeight="1" ht="11.25">
      <c r="A10" s="1245"/>
      <c r="B10" s="734"/>
      <c r="D10" s="2238" t="s">
        <v>301</v>
      </c>
      <c r="E10" s="2239"/>
      <c r="F10" s="2239"/>
      <c r="G10" s="2239"/>
      <c r="H10" s="2239"/>
      <c r="I10" s="2239"/>
      <c r="J10" s="2240"/>
      <c r="K10" s="2319"/>
      <c r="L10" s="732"/>
    </row>
    <row s="16777" customFormat="1" customHeight="1" ht="22.5">
      <c r="A11" s="2518"/>
      <c r="B11" s="2518"/>
      <c r="C11" s="880"/>
      <c r="D11" s="926" t="s">
        <v>87</v>
      </c>
      <c r="E11" s="928" t="s">
        <v>724</v>
      </c>
      <c r="F11" s="928" t="s">
        <v>569</v>
      </c>
      <c r="G11" s="688" t="s">
        <v>304</v>
      </c>
      <c r="H11" s="688" t="s">
        <v>391</v>
      </c>
      <c r="I11" s="1030" t="s">
        <v>304</v>
      </c>
      <c r="J11" s="1031" t="s">
        <v>391</v>
      </c>
      <c r="K11" s="2372"/>
      <c r="L11" s="881"/>
    </row>
    <row s="13606" customFormat="1" customHeight="1" ht="10.5">
      <c r="A12" s="1176"/>
      <c r="D12" s="1249" t="s">
        <v>108</v>
      </c>
      <c r="E12" s="1249" t="s">
        <v>109</v>
      </c>
      <c r="F12" s="1249" t="s">
        <v>89</v>
      </c>
      <c r="G12" s="1250" t="str">
        <f>G1&amp;".1"</f>
        <v>4.1</v>
      </c>
      <c r="H12" s="1250" t="str">
        <f>G1&amp;".2"</f>
        <v>4.2</v>
      </c>
      <c r="I12" s="1250" t="str">
        <f>I1&amp;".1"</f>
        <v>4.1</v>
      </c>
      <c r="J12" s="1250" t="str">
        <f>I1&amp;".2"</f>
        <v>4.2</v>
      </c>
      <c r="K12" s="1250"/>
    </row>
    <row customHeight="1" ht="22.5" hidden="1">
      <c r="A13" s="2517" t="s">
        <v>725</v>
      </c>
      <c r="D13" s="1177" t="s">
        <v>108</v>
      </c>
      <c r="E13" s="502" t="s">
        <v>726</v>
      </c>
      <c r="F13" s="883" t="s">
        <v>727</v>
      </c>
      <c r="G13" s="780"/>
      <c r="H13" s="884"/>
      <c r="I13" s="780"/>
      <c r="J13" s="884"/>
      <c r="K13" s="512" t="s">
        <v>728</v>
      </c>
      <c r="L13" s="943"/>
    </row>
    <row customHeight="1" ht="22.5" hidden="1">
      <c r="A14" s="2517"/>
      <c r="D14" s="762" t="s">
        <v>109</v>
      </c>
      <c r="E14" s="502" t="s">
        <v>729</v>
      </c>
      <c r="F14" s="883" t="s">
        <v>730</v>
      </c>
      <c r="G14" s="780"/>
      <c r="H14" s="885"/>
      <c r="I14" s="780"/>
      <c r="J14" s="885"/>
      <c r="K14" s="512" t="s">
        <v>731</v>
      </c>
      <c r="L14" s="943"/>
    </row>
    <row s="12890" customFormat="1" customHeight="1" ht="78.75" hidden="1">
      <c r="A15" s="2517"/>
      <c r="B15" s="734"/>
      <c r="D15" s="1177" t="s">
        <v>89</v>
      </c>
      <c r="E15" s="930" t="s">
        <v>732</v>
      </c>
      <c r="F15" s="1174" t="s">
        <v>307</v>
      </c>
      <c r="G15" s="1174" t="s">
        <v>307</v>
      </c>
      <c r="H15" s="330"/>
      <c r="I15" s="1174" t="s">
        <v>307</v>
      </c>
      <c r="J15" s="330"/>
      <c r="K15" s="512" t="s">
        <v>733</v>
      </c>
      <c r="L15" s="943"/>
    </row>
    <row s="12890" customFormat="1" customHeight="1" ht="22.5" hidden="1">
      <c r="A16" s="2517"/>
      <c r="B16" s="734"/>
      <c r="D16" s="1177" t="s">
        <v>325</v>
      </c>
      <c r="E16" s="1178" t="s">
        <v>734</v>
      </c>
      <c r="F16" s="1174" t="s">
        <v>735</v>
      </c>
      <c r="G16" s="1040"/>
      <c r="H16" s="330"/>
      <c r="I16" s="1040"/>
      <c r="J16" s="330"/>
      <c r="K16" s="512"/>
      <c r="L16" s="943"/>
    </row>
    <row s="12890" customFormat="1" customHeight="1" ht="22.5" hidden="1">
      <c r="A17" s="2517"/>
      <c r="B17" s="734"/>
      <c r="D17" s="1177" t="s">
        <v>333</v>
      </c>
      <c r="E17" s="1178" t="s">
        <v>736</v>
      </c>
      <c r="F17" s="1174" t="s">
        <v>737</v>
      </c>
      <c r="G17" s="1040"/>
      <c r="H17" s="330"/>
      <c r="I17" s="1040"/>
      <c r="J17" s="330"/>
      <c r="K17" s="512"/>
      <c r="L17" s="943"/>
    </row>
    <row s="12890" customFormat="1" customHeight="1" ht="33.75" hidden="1">
      <c r="A18" s="2517"/>
      <c r="B18" s="734"/>
      <c r="D18" s="1177" t="s">
        <v>335</v>
      </c>
      <c r="E18" s="1178" t="s">
        <v>738</v>
      </c>
      <c r="F18" s="1174" t="s">
        <v>574</v>
      </c>
      <c r="G18" s="903"/>
      <c r="H18" s="330"/>
      <c r="I18" s="903"/>
      <c r="J18" s="330"/>
      <c r="K18" s="512"/>
      <c r="L18" s="943"/>
    </row>
    <row customHeight="1" ht="101.25" hidden="1">
      <c r="A19" s="2517"/>
      <c r="D19" s="1177" t="s">
        <v>90</v>
      </c>
      <c r="E19" s="502" t="s">
        <v>739</v>
      </c>
      <c r="F19" s="883" t="s">
        <v>549</v>
      </c>
      <c r="G19" s="886"/>
      <c r="H19" s="885"/>
      <c r="I19" s="1179"/>
      <c r="J19" s="885"/>
      <c r="K19" s="512" t="s">
        <v>740</v>
      </c>
      <c r="L19" s="943"/>
    </row>
    <row s="12890" customFormat="1" customHeight="1" ht="18.75" hidden="1">
      <c r="A20" s="2517"/>
      <c r="C20" s="1180"/>
      <c r="D20" s="1177" t="s">
        <v>670</v>
      </c>
      <c r="E20" s="1178" t="s">
        <v>741</v>
      </c>
      <c r="F20" s="1174" t="s">
        <v>307</v>
      </c>
      <c r="G20" s="1174" t="s">
        <v>307</v>
      </c>
      <c r="H20" s="1173" t="s">
        <v>307</v>
      </c>
      <c r="I20" s="1174" t="s">
        <v>307</v>
      </c>
      <c r="J20" s="1173" t="s">
        <v>307</v>
      </c>
      <c r="K20" s="1172"/>
      <c r="L20" s="943"/>
      <c r="W20" s="898"/>
    </row>
    <row s="12890" customFormat="1" customHeight="1" ht="33.75" hidden="1">
      <c r="A21" s="2517"/>
      <c r="C21" s="1180"/>
      <c r="D21" s="1177" t="s">
        <v>673</v>
      </c>
      <c r="E21" s="799" t="s">
        <v>742</v>
      </c>
      <c r="F21" s="1174" t="s">
        <v>743</v>
      </c>
      <c r="G21" s="1166"/>
      <c r="H21" s="330"/>
      <c r="I21" s="1166"/>
      <c r="J21" s="330"/>
      <c r="K21" s="1172"/>
      <c r="L21" s="943"/>
      <c r="W21" s="898"/>
    </row>
    <row s="12890" customFormat="1" customHeight="1" ht="33.75" hidden="1">
      <c r="A22" s="2517"/>
      <c r="C22" s="1180"/>
      <c r="D22" s="1177" t="s">
        <v>676</v>
      </c>
      <c r="E22" s="799" t="s">
        <v>744</v>
      </c>
      <c r="F22" s="1174" t="s">
        <v>745</v>
      </c>
      <c r="G22" s="1166"/>
      <c r="H22" s="330"/>
      <c r="I22" s="1166"/>
      <c r="J22" s="330"/>
      <c r="K22" s="1172"/>
      <c r="L22" s="943"/>
      <c r="W22" s="898"/>
    </row>
    <row s="12890" customFormat="1" customHeight="1" ht="22.5" hidden="1">
      <c r="A23" s="2517"/>
      <c r="C23" s="1180"/>
      <c r="D23" s="1177" t="s">
        <v>713</v>
      </c>
      <c r="E23" s="1178" t="s">
        <v>746</v>
      </c>
      <c r="F23" s="1174" t="s">
        <v>307</v>
      </c>
      <c r="G23" s="1174" t="s">
        <v>307</v>
      </c>
      <c r="H23" s="1173" t="s">
        <v>307</v>
      </c>
      <c r="I23" s="1174" t="s">
        <v>307</v>
      </c>
      <c r="J23" s="1173" t="s">
        <v>307</v>
      </c>
      <c r="K23" s="1172"/>
      <c r="L23" s="943"/>
      <c r="W23" s="898"/>
    </row>
    <row s="12890" customFormat="1" customHeight="1" ht="22.5" hidden="1">
      <c r="A24" s="2517"/>
      <c r="C24" s="1180"/>
      <c r="D24" s="1177" t="s">
        <v>747</v>
      </c>
      <c r="E24" s="799" t="s">
        <v>748</v>
      </c>
      <c r="F24" s="1174" t="s">
        <v>749</v>
      </c>
      <c r="G24" s="1166"/>
      <c r="H24" s="909"/>
      <c r="I24" s="1166"/>
      <c r="J24" s="909"/>
      <c r="K24" s="1172"/>
      <c r="L24" s="943"/>
      <c r="W24" s="898"/>
    </row>
    <row s="12890" customFormat="1" customHeight="1" ht="22.5" hidden="1">
      <c r="A25" s="2517"/>
      <c r="C25" s="1180"/>
      <c r="D25" s="1177" t="s">
        <v>750</v>
      </c>
      <c r="E25" s="799" t="s">
        <v>751</v>
      </c>
      <c r="F25" s="1174" t="s">
        <v>307</v>
      </c>
      <c r="G25" s="1174" t="s">
        <v>307</v>
      </c>
      <c r="H25" s="1173" t="s">
        <v>307</v>
      </c>
      <c r="I25" s="1174" t="s">
        <v>307</v>
      </c>
      <c r="J25" s="1173" t="s">
        <v>307</v>
      </c>
      <c r="K25" s="1172"/>
      <c r="L25" s="943"/>
      <c r="W25" s="898"/>
    </row>
    <row s="12890" customFormat="1" customHeight="1" ht="18.75" hidden="1">
      <c r="A26" s="2517"/>
      <c r="C26" s="1180"/>
      <c r="D26" s="1177" t="s">
        <v>752</v>
      </c>
      <c r="E26" s="776" t="s">
        <v>753</v>
      </c>
      <c r="F26" s="1174" t="s">
        <v>754</v>
      </c>
      <c r="G26" s="903"/>
      <c r="H26" s="909"/>
      <c r="I26" s="903"/>
      <c r="J26" s="909"/>
      <c r="K26" s="1172"/>
      <c r="L26" s="943"/>
      <c r="W26" s="898"/>
    </row>
    <row s="12890" customFormat="1" customHeight="1" ht="18.75" hidden="1">
      <c r="A27" s="2517"/>
      <c r="C27" s="1180"/>
      <c r="D27" s="1177" t="s">
        <v>755</v>
      </c>
      <c r="E27" s="776" t="s">
        <v>756</v>
      </c>
      <c r="F27" s="1174" t="s">
        <v>757</v>
      </c>
      <c r="G27" s="903"/>
      <c r="H27" s="909"/>
      <c r="I27" s="903"/>
      <c r="J27" s="909"/>
      <c r="K27" s="1172"/>
      <c r="L27" s="943"/>
      <c r="W27" s="898"/>
    </row>
    <row s="12890" customFormat="1" customHeight="1" ht="18.75" hidden="1">
      <c r="A28" s="2517"/>
      <c r="C28" s="1180"/>
      <c r="D28" s="1177" t="s">
        <v>758</v>
      </c>
      <c r="E28" s="799" t="s">
        <v>759</v>
      </c>
      <c r="F28" s="1174" t="s">
        <v>307</v>
      </c>
      <c r="G28" s="1174" t="s">
        <v>307</v>
      </c>
      <c r="H28" s="1173" t="s">
        <v>307</v>
      </c>
      <c r="I28" s="1174" t="s">
        <v>307</v>
      </c>
      <c r="J28" s="1173" t="s">
        <v>307</v>
      </c>
      <c r="K28" s="1172"/>
      <c r="L28" s="943"/>
      <c r="W28" s="898"/>
    </row>
    <row s="12890" customFormat="1" customHeight="1" ht="18.75" hidden="1">
      <c r="A29" s="2517"/>
      <c r="C29" s="1180"/>
      <c r="D29" s="1177" t="s">
        <v>760</v>
      </c>
      <c r="E29" s="776" t="s">
        <v>753</v>
      </c>
      <c r="F29" s="1174" t="s">
        <v>761</v>
      </c>
      <c r="G29" s="903"/>
      <c r="H29" s="909"/>
      <c r="I29" s="903"/>
      <c r="J29" s="909"/>
      <c r="K29" s="1172"/>
      <c r="L29" s="943"/>
      <c r="W29" s="898"/>
    </row>
    <row s="12890" customFormat="1" customHeight="1" ht="18.75" hidden="1">
      <c r="A30" s="2517"/>
      <c r="C30" s="1180"/>
      <c r="D30" s="1177" t="s">
        <v>762</v>
      </c>
      <c r="E30" s="776" t="s">
        <v>763</v>
      </c>
      <c r="F30" s="1174" t="s">
        <v>764</v>
      </c>
      <c r="G30" s="903"/>
      <c r="H30" s="909"/>
      <c r="I30" s="903"/>
      <c r="J30" s="909"/>
      <c r="K30" s="1172"/>
      <c r="L30" s="943"/>
      <c r="W30" s="898"/>
    </row>
    <row customHeight="1" ht="126.75" hidden="1">
      <c r="A31" s="2517"/>
      <c r="D31" s="1177" t="s">
        <v>110</v>
      </c>
      <c r="E31" s="502" t="s">
        <v>765</v>
      </c>
      <c r="F31" s="883" t="s">
        <v>561</v>
      </c>
      <c r="G31" s="780"/>
      <c r="H31" s="885"/>
      <c r="I31" s="780"/>
      <c r="J31" s="885"/>
      <c r="K31" s="512" t="s">
        <v>766</v>
      </c>
      <c r="L31" s="943"/>
    </row>
    <row customHeight="1" ht="56.25" hidden="1">
      <c r="A32" s="2517"/>
      <c r="D32" s="1177" t="s">
        <v>91</v>
      </c>
      <c r="E32" s="502" t="s">
        <v>767</v>
      </c>
      <c r="F32" s="762" t="s">
        <v>737</v>
      </c>
      <c r="G32" s="780"/>
      <c r="H32" s="885"/>
      <c r="I32" s="780"/>
      <c r="J32" s="885"/>
      <c r="K32" s="512" t="s">
        <v>768</v>
      </c>
      <c r="L32" s="943"/>
    </row>
    <row customHeight="1" ht="11.25" hidden="1">
      <c r="A33" s="2517"/>
      <c r="E33" s="887"/>
      <c r="F33" s="405"/>
      <c r="G33" s="405"/>
      <c r="H33" s="405"/>
      <c r="I33" s="405"/>
      <c r="J33" s="405"/>
      <c r="K33" s="405"/>
    </row>
    <row customHeight="1" ht="12.75" hidden="1">
      <c r="A34" s="2517"/>
      <c r="D34" s="288">
        <v>1</v>
      </c>
      <c r="E34" s="558" t="s">
        <v>769</v>
      </c>
    </row>
    <row customHeight="1" ht="11.25" hidden="1">
      <c r="A35" s="2517"/>
      <c r="D35" s="592"/>
      <c r="E35" s="558" t="s">
        <v>770</v>
      </c>
    </row>
    <row s="16777" customFormat="1" customHeight="1" ht="11.25">
      <c r="A36" s="1257"/>
      <c r="B36" s="741"/>
      <c r="D36" s="1258"/>
      <c r="E36" s="1259"/>
    </row>
    <row s="12890" customFormat="1" customHeight="1" ht="22.5" hidden="1">
      <c r="A37" s="2517" t="s">
        <v>771</v>
      </c>
      <c r="B37" s="734"/>
      <c r="D37" s="1177">
        <v>1</v>
      </c>
      <c r="E37" s="930" t="s">
        <v>772</v>
      </c>
      <c r="F37" s="883" t="s">
        <v>727</v>
      </c>
      <c r="G37" s="780"/>
      <c r="H37" s="742"/>
      <c r="I37" s="780"/>
      <c r="J37" s="742"/>
      <c r="K37" s="512" t="s">
        <v>773</v>
      </c>
    </row>
    <row s="12890" customFormat="1" customHeight="1" ht="22.5" hidden="1">
      <c r="A38" s="2517"/>
      <c r="B38" s="734"/>
      <c r="D38" s="892" t="s">
        <v>109</v>
      </c>
      <c r="E38" s="1256" t="s">
        <v>774</v>
      </c>
      <c r="F38" s="1260" t="s">
        <v>549</v>
      </c>
      <c r="G38" s="1260" t="s">
        <v>549</v>
      </c>
      <c r="H38" s="1254"/>
      <c r="I38" s="1260" t="s">
        <v>549</v>
      </c>
      <c r="J38" s="1254"/>
      <c r="K38" s="1255"/>
    </row>
    <row s="12890" customFormat="1" customHeight="1" ht="33.75" hidden="1">
      <c r="A39" s="2517"/>
      <c r="B39" s="734"/>
      <c r="D39" s="888" t="s">
        <v>628</v>
      </c>
      <c r="E39" s="946" t="s">
        <v>775</v>
      </c>
      <c r="F39" s="883" t="s">
        <v>776</v>
      </c>
      <c r="G39" s="891"/>
      <c r="H39" s="1247"/>
      <c r="I39" s="891"/>
      <c r="J39" s="1247"/>
      <c r="K39" s="512" t="s">
        <v>777</v>
      </c>
    </row>
    <row s="12890" customFormat="1" customHeight="1" ht="33.75" hidden="1">
      <c r="A40" s="2517"/>
      <c r="B40" s="734"/>
      <c r="D40" s="888" t="s">
        <v>631</v>
      </c>
      <c r="E40" s="946" t="s">
        <v>778</v>
      </c>
      <c r="F40" s="1251" t="s">
        <v>779</v>
      </c>
      <c r="G40" s="964"/>
      <c r="H40" s="1247"/>
      <c r="I40" s="964"/>
      <c r="J40" s="1247"/>
      <c r="K40" s="512" t="s">
        <v>780</v>
      </c>
    </row>
    <row s="12890" customFormat="1" customHeight="1" ht="22.5" hidden="1">
      <c r="A41" s="2517"/>
      <c r="B41" s="734"/>
      <c r="D41" s="888" t="s">
        <v>89</v>
      </c>
      <c r="E41" s="945" t="s">
        <v>781</v>
      </c>
      <c r="F41" s="883" t="s">
        <v>549</v>
      </c>
      <c r="G41" s="883" t="s">
        <v>549</v>
      </c>
      <c r="H41" s="1248"/>
      <c r="I41" s="883" t="s">
        <v>549</v>
      </c>
      <c r="J41" s="1248"/>
      <c r="K41" s="525"/>
    </row>
    <row s="12890" customFormat="1" customHeight="1" ht="45" hidden="1">
      <c r="A42" s="2517"/>
      <c r="B42" s="734"/>
      <c r="D42" s="888" t="s">
        <v>325</v>
      </c>
      <c r="E42" s="946" t="s">
        <v>782</v>
      </c>
      <c r="F42" s="883" t="s">
        <v>561</v>
      </c>
      <c r="G42" s="780"/>
      <c r="H42" s="1248"/>
      <c r="I42" s="780"/>
      <c r="J42" s="1248"/>
      <c r="K42" s="525" t="s">
        <v>783</v>
      </c>
    </row>
    <row s="12890" customFormat="1" customHeight="1" ht="45" hidden="1">
      <c r="A43" s="2517"/>
      <c r="B43" s="734"/>
      <c r="D43" s="888" t="s">
        <v>333</v>
      </c>
      <c r="E43" s="890" t="s">
        <v>784</v>
      </c>
      <c r="F43" s="1252" t="s">
        <v>561</v>
      </c>
      <c r="G43" s="965"/>
      <c r="H43" s="1247"/>
      <c r="I43" s="965"/>
      <c r="J43" s="1247"/>
      <c r="K43" s="525" t="s">
        <v>785</v>
      </c>
    </row>
    <row s="12890" customFormat="1" customHeight="1" ht="11.25" hidden="1">
      <c r="A44" s="2517"/>
      <c r="B44" s="734"/>
      <c r="D44" s="888" t="s">
        <v>90</v>
      </c>
      <c r="E44" s="889" t="s">
        <v>786</v>
      </c>
      <c r="F44" s="883" t="s">
        <v>776</v>
      </c>
      <c r="G44" s="891"/>
      <c r="H44" s="1247"/>
      <c r="I44" s="891"/>
      <c r="J44" s="1247"/>
      <c r="K44" s="512"/>
    </row>
    <row s="12890" customFormat="1" customHeight="1" ht="11.25" hidden="1">
      <c r="A45" s="2517"/>
      <c r="B45" s="734"/>
      <c r="D45" s="888" t="s">
        <v>670</v>
      </c>
      <c r="E45" s="890" t="s">
        <v>787</v>
      </c>
      <c r="F45" s="883" t="s">
        <v>776</v>
      </c>
      <c r="G45" s="891"/>
      <c r="H45" s="1247"/>
      <c r="I45" s="891"/>
      <c r="J45" s="1247"/>
      <c r="K45" s="512"/>
    </row>
    <row s="12890" customFormat="1" customHeight="1" ht="11.25" hidden="1">
      <c r="A46" s="2517"/>
      <c r="B46" s="734"/>
      <c r="D46" s="888" t="s">
        <v>713</v>
      </c>
      <c r="E46" s="890" t="s">
        <v>788</v>
      </c>
      <c r="F46" s="883" t="s">
        <v>776</v>
      </c>
      <c r="G46" s="891"/>
      <c r="H46" s="1247"/>
      <c r="I46" s="891"/>
      <c r="J46" s="1247"/>
      <c r="K46" s="512"/>
    </row>
    <row s="12890" customFormat="1" customHeight="1" ht="11.25" hidden="1">
      <c r="A47" s="2517"/>
      <c r="B47" s="734"/>
      <c r="D47" s="888" t="s">
        <v>716</v>
      </c>
      <c r="E47" s="890" t="s">
        <v>789</v>
      </c>
      <c r="F47" s="883" t="s">
        <v>776</v>
      </c>
      <c r="G47" s="891"/>
      <c r="H47" s="1247"/>
      <c r="I47" s="891"/>
      <c r="J47" s="1247"/>
      <c r="K47" s="512"/>
    </row>
    <row s="12890" customFormat="1" customHeight="1" ht="11.25" hidden="1">
      <c r="A48" s="2517"/>
      <c r="B48" s="734"/>
      <c r="D48" s="888" t="s">
        <v>790</v>
      </c>
      <c r="E48" s="894" t="s">
        <v>791</v>
      </c>
      <c r="F48" s="883" t="s">
        <v>776</v>
      </c>
      <c r="G48" s="891"/>
      <c r="H48" s="1247"/>
      <c r="I48" s="891"/>
      <c r="J48" s="1247"/>
      <c r="K48" s="512"/>
    </row>
    <row s="12890" customFormat="1" customHeight="1" ht="11.25" hidden="1">
      <c r="A49" s="2517"/>
      <c r="B49" s="734"/>
      <c r="D49" s="888" t="s">
        <v>792</v>
      </c>
      <c r="E49" s="894" t="s">
        <v>793</v>
      </c>
      <c r="F49" s="883" t="s">
        <v>776</v>
      </c>
      <c r="G49" s="891"/>
      <c r="H49" s="1247"/>
      <c r="I49" s="891"/>
      <c r="J49" s="1247"/>
      <c r="K49" s="512"/>
    </row>
    <row s="12890" customFormat="1" customHeight="1" ht="11.25" hidden="1">
      <c r="A50" s="2517"/>
      <c r="B50" s="734"/>
      <c r="D50" s="888" t="s">
        <v>794</v>
      </c>
      <c r="E50" s="890" t="s">
        <v>795</v>
      </c>
      <c r="F50" s="883" t="s">
        <v>776</v>
      </c>
      <c r="G50" s="891"/>
      <c r="H50" s="1247"/>
      <c r="I50" s="891"/>
      <c r="J50" s="1247"/>
      <c r="K50" s="512"/>
    </row>
    <row s="12890" customFormat="1" customHeight="1" ht="11.25" hidden="1">
      <c r="A51" s="2517"/>
      <c r="B51" s="734"/>
      <c r="D51" s="888" t="s">
        <v>796</v>
      </c>
      <c r="E51" s="890" t="s">
        <v>797</v>
      </c>
      <c r="F51" s="883" t="s">
        <v>776</v>
      </c>
      <c r="G51" s="891"/>
      <c r="H51" s="1247"/>
      <c r="I51" s="891"/>
      <c r="J51" s="1247"/>
      <c r="K51" s="512"/>
    </row>
    <row s="12890" customFormat="1" customHeight="1" ht="45" hidden="1">
      <c r="A52" s="2517"/>
      <c r="B52" s="734"/>
      <c r="D52" s="888" t="s">
        <v>110</v>
      </c>
      <c r="E52" s="889" t="s">
        <v>798</v>
      </c>
      <c r="F52" s="883" t="s">
        <v>776</v>
      </c>
      <c r="G52" s="891"/>
      <c r="H52" s="1247"/>
      <c r="I52" s="891"/>
      <c r="J52" s="1247"/>
      <c r="K52" s="512"/>
    </row>
    <row s="12890" customFormat="1" customHeight="1" ht="11.25" hidden="1">
      <c r="A53" s="2517"/>
      <c r="B53" s="734"/>
      <c r="D53" s="888" t="s">
        <v>314</v>
      </c>
      <c r="E53" s="890" t="s">
        <v>787</v>
      </c>
      <c r="F53" s="883" t="s">
        <v>776</v>
      </c>
      <c r="G53" s="891"/>
      <c r="H53" s="1247"/>
      <c r="I53" s="891"/>
      <c r="J53" s="1247"/>
      <c r="K53" s="512"/>
    </row>
    <row s="12890" customFormat="1" customHeight="1" ht="11.25" hidden="1">
      <c r="A54" s="2517"/>
      <c r="B54" s="734"/>
      <c r="D54" s="888" t="s">
        <v>799</v>
      </c>
      <c r="E54" s="890" t="s">
        <v>788</v>
      </c>
      <c r="F54" s="883" t="s">
        <v>776</v>
      </c>
      <c r="G54" s="891"/>
      <c r="H54" s="1247"/>
      <c r="I54" s="891"/>
      <c r="J54" s="1247"/>
      <c r="K54" s="512"/>
    </row>
    <row s="12890" customFormat="1" customHeight="1" ht="11.25" hidden="1">
      <c r="A55" s="2517"/>
      <c r="B55" s="734"/>
      <c r="D55" s="888" t="s">
        <v>800</v>
      </c>
      <c r="E55" s="890" t="s">
        <v>789</v>
      </c>
      <c r="F55" s="883" t="s">
        <v>776</v>
      </c>
      <c r="G55" s="891"/>
      <c r="H55" s="1247"/>
      <c r="I55" s="891"/>
      <c r="J55" s="1247"/>
      <c r="K55" s="512"/>
    </row>
    <row s="12890" customFormat="1" customHeight="1" ht="11.25" hidden="1">
      <c r="A56" s="2517"/>
      <c r="B56" s="734"/>
      <c r="D56" s="888" t="s">
        <v>801</v>
      </c>
      <c r="E56" s="894" t="s">
        <v>791</v>
      </c>
      <c r="F56" s="883" t="s">
        <v>776</v>
      </c>
      <c r="G56" s="891"/>
      <c r="H56" s="1247"/>
      <c r="I56" s="891"/>
      <c r="J56" s="1247"/>
      <c r="K56" s="512"/>
    </row>
    <row s="12890" customFormat="1" customHeight="1" ht="11.25" hidden="1">
      <c r="A57" s="2517"/>
      <c r="B57" s="734"/>
      <c r="D57" s="888" t="s">
        <v>802</v>
      </c>
      <c r="E57" s="894" t="s">
        <v>793</v>
      </c>
      <c r="F57" s="883" t="s">
        <v>776</v>
      </c>
      <c r="G57" s="891"/>
      <c r="H57" s="1247"/>
      <c r="I57" s="891"/>
      <c r="J57" s="1247"/>
      <c r="K57" s="512"/>
    </row>
    <row s="12890" customFormat="1" customHeight="1" ht="11.25" hidden="1">
      <c r="A58" s="2517"/>
      <c r="B58" s="734"/>
      <c r="D58" s="888" t="s">
        <v>803</v>
      </c>
      <c r="E58" s="890" t="s">
        <v>795</v>
      </c>
      <c r="F58" s="883" t="s">
        <v>776</v>
      </c>
      <c r="G58" s="891"/>
      <c r="H58" s="1247"/>
      <c r="I58" s="891"/>
      <c r="J58" s="1247"/>
      <c r="K58" s="512"/>
    </row>
    <row s="12890" customFormat="1" customHeight="1" ht="11.25" hidden="1">
      <c r="A59" s="2517"/>
      <c r="B59" s="734"/>
      <c r="D59" s="888" t="s">
        <v>804</v>
      </c>
      <c r="E59" s="890" t="s">
        <v>797</v>
      </c>
      <c r="F59" s="883" t="s">
        <v>776</v>
      </c>
      <c r="G59" s="891"/>
      <c r="H59" s="1247"/>
      <c r="I59" s="891"/>
      <c r="J59" s="1247"/>
      <c r="K59" s="512"/>
    </row>
    <row s="12890" customFormat="1" customHeight="1" ht="33.75" hidden="1">
      <c r="A60" s="2517"/>
      <c r="B60" s="734"/>
      <c r="D60" s="888" t="s">
        <v>91</v>
      </c>
      <c r="E60" s="889" t="s">
        <v>805</v>
      </c>
      <c r="F60" s="944" t="s">
        <v>561</v>
      </c>
      <c r="G60" s="965"/>
      <c r="H60" s="1247"/>
      <c r="I60" s="965"/>
      <c r="J60" s="1247"/>
      <c r="K60" s="525" t="s">
        <v>806</v>
      </c>
    </row>
    <row s="12890" customFormat="1" customHeight="1" ht="33.75" hidden="1">
      <c r="A61" s="2517"/>
      <c r="B61" s="734"/>
      <c r="D61" s="888" t="s">
        <v>92</v>
      </c>
      <c r="E61" s="889" t="s">
        <v>807</v>
      </c>
      <c r="F61" s="949" t="s">
        <v>737</v>
      </c>
      <c r="G61" s="891"/>
      <c r="H61" s="1247"/>
      <c r="I61" s="891"/>
      <c r="J61" s="1247"/>
      <c r="K61" s="512"/>
    </row>
    <row s="12890" customFormat="1" customHeight="1" ht="22.5" hidden="1">
      <c r="A62" s="2517"/>
      <c r="B62" s="734" t="s">
        <v>591</v>
      </c>
      <c r="D62" s="888" t="s">
        <v>111</v>
      </c>
      <c r="E62" s="889" t="s">
        <v>808</v>
      </c>
      <c r="F62" s="949" t="s">
        <v>307</v>
      </c>
      <c r="G62" s="605"/>
      <c r="H62" s="1247"/>
      <c r="I62" s="605"/>
      <c r="J62" s="1247"/>
      <c r="K62" s="512" t="s">
        <v>809</v>
      </c>
    </row>
    <row s="12890" customFormat="1" customHeight="1" ht="45" hidden="1">
      <c r="A63" s="2517"/>
      <c r="B63" s="734" t="s">
        <v>591</v>
      </c>
      <c r="D63" s="888" t="s">
        <v>810</v>
      </c>
      <c r="E63" s="890" t="s">
        <v>811</v>
      </c>
      <c r="F63" s="944" t="s">
        <v>307</v>
      </c>
      <c r="G63" s="605"/>
      <c r="H63" s="1247"/>
      <c r="I63" s="605"/>
      <c r="J63" s="1247"/>
      <c r="K63" s="512" t="s">
        <v>809</v>
      </c>
    </row>
    <row s="16777" customFormat="1" customHeight="1" ht="11.25">
      <c r="A64" s="1257"/>
      <c r="B64" s="741"/>
      <c r="D64" s="1258"/>
      <c r="E64" s="1259"/>
    </row>
    <row s="12890" customFormat="1" customHeight="1" ht="22.5">
      <c r="A65" s="2517" t="s">
        <v>812</v>
      </c>
      <c r="B65" s="734"/>
      <c r="D65" s="888">
        <v>1</v>
      </c>
      <c r="E65" s="967" t="s">
        <v>813</v>
      </c>
      <c r="F65" s="963" t="s">
        <v>727</v>
      </c>
      <c r="G65" s="964"/>
      <c r="H65" s="1253"/>
      <c r="I65" s="964"/>
      <c r="J65" s="1253"/>
      <c r="K65" s="524" t="s">
        <v>814</v>
      </c>
    </row>
    <row s="12890" customFormat="1" customHeight="1" ht="56.25">
      <c r="A66" s="2517"/>
      <c r="B66" s="734"/>
      <c r="D66" s="966" t="s">
        <v>109</v>
      </c>
      <c r="E66" s="930" t="s">
        <v>815</v>
      </c>
      <c r="F66" s="883" t="s">
        <v>549</v>
      </c>
      <c r="G66" s="883" t="s">
        <v>549</v>
      </c>
      <c r="H66" s="742"/>
      <c r="I66" s="883" t="s">
        <v>549</v>
      </c>
      <c r="J66" s="742"/>
      <c r="K66" s="512"/>
    </row>
    <row s="12890" customFormat="1" customHeight="1" ht="33.75">
      <c r="A67" s="2517"/>
      <c r="B67" s="734"/>
      <c r="D67" s="966" t="s">
        <v>625</v>
      </c>
      <c r="E67" s="1178" t="s">
        <v>816</v>
      </c>
      <c r="F67" s="883" t="s">
        <v>779</v>
      </c>
      <c r="G67" s="950"/>
      <c r="H67" s="742"/>
      <c r="I67" s="950"/>
      <c r="J67" s="742"/>
      <c r="K67" s="512"/>
    </row>
    <row s="12890" customFormat="1" customHeight="1" ht="22.5">
      <c r="A68" s="2517"/>
      <c r="B68" s="734"/>
      <c r="D68" s="966" t="s">
        <v>308</v>
      </c>
      <c r="E68" s="1178" t="s">
        <v>817</v>
      </c>
      <c r="F68" s="883" t="s">
        <v>779</v>
      </c>
      <c r="G68" s="950"/>
      <c r="H68" s="742"/>
      <c r="I68" s="950"/>
      <c r="J68" s="742"/>
      <c r="K68" s="512"/>
    </row>
    <row s="12890" customFormat="1" customHeight="1" ht="22.5">
      <c r="A69" s="2517"/>
      <c r="B69" s="734"/>
      <c r="D69" s="966" t="s">
        <v>311</v>
      </c>
      <c r="E69" s="1178" t="s">
        <v>818</v>
      </c>
      <c r="F69" s="944" t="s">
        <v>561</v>
      </c>
      <c r="G69" s="965"/>
      <c r="H69" s="742"/>
      <c r="I69" s="965"/>
      <c r="J69" s="742"/>
      <c r="K69" s="512"/>
    </row>
    <row s="12890" customFormat="1" customHeight="1" ht="22.5">
      <c r="A70" s="2517"/>
      <c r="B70" s="734"/>
      <c r="D70" s="966" t="s">
        <v>645</v>
      </c>
      <c r="E70" s="1178" t="s">
        <v>819</v>
      </c>
      <c r="F70" s="944" t="s">
        <v>561</v>
      </c>
      <c r="G70" s="965"/>
      <c r="H70" s="742"/>
      <c r="I70" s="965"/>
      <c r="J70" s="742"/>
      <c r="K70" s="512"/>
    </row>
    <row s="12890" customFormat="1" customHeight="1" ht="22.5">
      <c r="A71" s="2517"/>
      <c r="B71" s="734"/>
      <c r="D71" s="888" t="s">
        <v>89</v>
      </c>
      <c r="E71" s="889" t="s">
        <v>820</v>
      </c>
      <c r="F71" s="883" t="s">
        <v>779</v>
      </c>
      <c r="G71" s="780"/>
      <c r="H71" s="1254"/>
      <c r="I71" s="780"/>
      <c r="J71" s="1254"/>
      <c r="K71" s="525"/>
    </row>
    <row s="12890" customFormat="1" customHeight="1" ht="56.25">
      <c r="A72" s="2517"/>
      <c r="B72" s="734"/>
      <c r="D72" s="888" t="s">
        <v>90</v>
      </c>
      <c r="E72" s="889" t="s">
        <v>821</v>
      </c>
      <c r="F72" s="944" t="s">
        <v>561</v>
      </c>
      <c r="G72" s="965"/>
      <c r="H72" s="1247"/>
      <c r="I72" s="965"/>
      <c r="J72" s="1247"/>
      <c r="K72" s="525"/>
    </row>
    <row s="12890" customFormat="1" customHeight="1" ht="33.75">
      <c r="A73" s="2517"/>
      <c r="B73" s="734"/>
      <c r="D73" s="888" t="s">
        <v>110</v>
      </c>
      <c r="E73" s="889" t="s">
        <v>822</v>
      </c>
      <c r="F73" s="949" t="s">
        <v>737</v>
      </c>
      <c r="G73" s="891"/>
      <c r="H73" s="1247"/>
      <c r="I73" s="891"/>
      <c r="J73" s="1247"/>
      <c r="K73" s="512"/>
    </row>
    <row s="12890" customFormat="1" customHeight="1" ht="22.5">
      <c r="A74" s="2517"/>
      <c r="B74" s="734" t="s">
        <v>591</v>
      </c>
      <c r="D74" s="888" t="s">
        <v>91</v>
      </c>
      <c r="E74" s="889" t="s">
        <v>823</v>
      </c>
      <c r="F74" s="949" t="s">
        <v>307</v>
      </c>
      <c r="G74" s="605"/>
      <c r="H74" s="1247"/>
      <c r="I74" s="605"/>
      <c r="J74" s="1247"/>
      <c r="K74" s="512" t="s">
        <v>809</v>
      </c>
    </row>
    <row s="12890" customFormat="1" customHeight="1" ht="45">
      <c r="A75" s="2517"/>
      <c r="B75" s="734" t="s">
        <v>591</v>
      </c>
      <c r="D75" s="888" t="s">
        <v>824</v>
      </c>
      <c r="E75" s="890" t="s">
        <v>825</v>
      </c>
      <c r="F75" s="944" t="s">
        <v>307</v>
      </c>
      <c r="G75" s="605"/>
      <c r="H75" s="1247"/>
      <c r="I75" s="605"/>
      <c r="J75" s="1247"/>
      <c r="K75" s="512" t="s">
        <v>809</v>
      </c>
    </row>
    <row s="16777" customFormat="1" customHeight="1" ht="11.25">
      <c r="A76" s="1257"/>
      <c r="B76" s="741"/>
      <c r="D76" s="1258"/>
      <c r="E76" s="1259"/>
    </row>
    <row s="12890" customFormat="1" customHeight="1" ht="11.25" hidden="1">
      <c r="A77" s="2517" t="s">
        <v>826</v>
      </c>
      <c r="B77" s="734"/>
      <c r="D77" s="888">
        <v>1</v>
      </c>
      <c r="E77" s="889" t="s">
        <v>827</v>
      </c>
      <c r="F77" s="944" t="s">
        <v>727</v>
      </c>
      <c r="G77" s="947"/>
      <c r="H77" s="1247"/>
      <c r="I77" s="947"/>
      <c r="J77" s="1247"/>
      <c r="K77" s="512" t="s">
        <v>828</v>
      </c>
    </row>
    <row s="12890" customFormat="1" customHeight="1" ht="11.25" hidden="1">
      <c r="A78" s="2517"/>
      <c r="B78" s="734"/>
      <c r="D78" s="888" t="s">
        <v>109</v>
      </c>
      <c r="E78" s="889" t="s">
        <v>829</v>
      </c>
      <c r="F78" s="944" t="s">
        <v>727</v>
      </c>
      <c r="G78" s="947"/>
      <c r="H78" s="1247"/>
      <c r="I78" s="947"/>
      <c r="J78" s="1247"/>
      <c r="K78" s="512" t="s">
        <v>830</v>
      </c>
    </row>
    <row s="12890" customFormat="1" customHeight="1" ht="22.5" hidden="1">
      <c r="A79" s="2517"/>
      <c r="B79" s="734"/>
      <c r="D79" s="888" t="s">
        <v>89</v>
      </c>
      <c r="E79" s="945" t="s">
        <v>831</v>
      </c>
      <c r="F79" s="883" t="s">
        <v>776</v>
      </c>
      <c r="G79" s="947"/>
      <c r="H79" s="1247"/>
      <c r="I79" s="947"/>
      <c r="J79" s="1247"/>
      <c r="K79" s="512" t="s">
        <v>832</v>
      </c>
    </row>
    <row s="12890" customFormat="1" customHeight="1" ht="11.25" hidden="1">
      <c r="A80" s="2517"/>
      <c r="B80" s="734"/>
      <c r="D80" s="888" t="s">
        <v>325</v>
      </c>
      <c r="E80" s="946" t="s">
        <v>833</v>
      </c>
      <c r="F80" s="883" t="s">
        <v>776</v>
      </c>
      <c r="G80" s="947"/>
      <c r="H80" s="1247"/>
      <c r="I80" s="947"/>
      <c r="J80" s="1247"/>
      <c r="K80" s="512"/>
    </row>
    <row s="12890" customFormat="1" customHeight="1" ht="11.25" hidden="1">
      <c r="A81" s="2517"/>
      <c r="B81" s="734"/>
      <c r="D81" s="888" t="s">
        <v>333</v>
      </c>
      <c r="E81" s="946" t="s">
        <v>834</v>
      </c>
      <c r="F81" s="883" t="s">
        <v>776</v>
      </c>
      <c r="G81" s="947"/>
      <c r="H81" s="1247"/>
      <c r="I81" s="947"/>
      <c r="J81" s="1247"/>
      <c r="K81" s="512"/>
    </row>
    <row s="12890" customFormat="1" customHeight="1" ht="11.25" hidden="1">
      <c r="A82" s="2517"/>
      <c r="B82" s="734"/>
      <c r="D82" s="888" t="s">
        <v>335</v>
      </c>
      <c r="E82" s="946" t="s">
        <v>835</v>
      </c>
      <c r="F82" s="883" t="s">
        <v>776</v>
      </c>
      <c r="G82" s="947"/>
      <c r="H82" s="1247"/>
      <c r="I82" s="947"/>
      <c r="J82" s="1247"/>
      <c r="K82" s="512"/>
    </row>
    <row s="12890" customFormat="1" customHeight="1" ht="11.25" hidden="1">
      <c r="A83" s="2517"/>
      <c r="B83" s="734"/>
      <c r="D83" s="888" t="s">
        <v>337</v>
      </c>
      <c r="E83" s="946" t="s">
        <v>836</v>
      </c>
      <c r="F83" s="883" t="s">
        <v>776</v>
      </c>
      <c r="G83" s="947"/>
      <c r="H83" s="1247"/>
      <c r="I83" s="947"/>
      <c r="J83" s="1247"/>
      <c r="K83" s="512"/>
    </row>
    <row s="12890" customFormat="1" customHeight="1" ht="11.25" hidden="1">
      <c r="A84" s="2517"/>
      <c r="B84" s="734"/>
      <c r="D84" s="888" t="s">
        <v>837</v>
      </c>
      <c r="E84" s="946" t="s">
        <v>838</v>
      </c>
      <c r="F84" s="883" t="s">
        <v>776</v>
      </c>
      <c r="G84" s="947"/>
      <c r="H84" s="1247"/>
      <c r="I84" s="947"/>
      <c r="J84" s="1247"/>
      <c r="K84" s="512"/>
    </row>
    <row s="12890" customFormat="1" customHeight="1" ht="11.25" hidden="1">
      <c r="A85" s="2517"/>
      <c r="B85" s="734"/>
      <c r="D85" s="888" t="s">
        <v>839</v>
      </c>
      <c r="E85" s="946" t="s">
        <v>840</v>
      </c>
      <c r="F85" s="883" t="s">
        <v>776</v>
      </c>
      <c r="G85" s="947"/>
      <c r="H85" s="1247"/>
      <c r="I85" s="947"/>
      <c r="J85" s="1247"/>
      <c r="K85" s="512"/>
    </row>
    <row s="12890" customFormat="1" customHeight="1" ht="11.25" hidden="1">
      <c r="A86" s="2517"/>
      <c r="B86" s="734"/>
      <c r="D86" s="888" t="s">
        <v>841</v>
      </c>
      <c r="E86" s="946" t="s">
        <v>842</v>
      </c>
      <c r="F86" s="883" t="s">
        <v>776</v>
      </c>
      <c r="G86" s="947"/>
      <c r="H86" s="1247"/>
      <c r="I86" s="947"/>
      <c r="J86" s="1247"/>
      <c r="K86" s="512"/>
    </row>
    <row s="12890" customFormat="1" customHeight="1" ht="45" hidden="1">
      <c r="A87" s="2517"/>
      <c r="B87" s="734"/>
      <c r="D87" s="888" t="s">
        <v>90</v>
      </c>
      <c r="E87" s="889" t="s">
        <v>843</v>
      </c>
      <c r="F87" s="883" t="s">
        <v>776</v>
      </c>
      <c r="G87" s="947"/>
      <c r="H87" s="1247"/>
      <c r="I87" s="947"/>
      <c r="J87" s="1247"/>
      <c r="K87" s="512" t="s">
        <v>844</v>
      </c>
    </row>
    <row s="12890" customFormat="1" customHeight="1" ht="11.25" hidden="1">
      <c r="A88" s="2517"/>
      <c r="B88" s="734"/>
      <c r="D88" s="888" t="s">
        <v>670</v>
      </c>
      <c r="E88" s="946" t="s">
        <v>833</v>
      </c>
      <c r="F88" s="883" t="s">
        <v>776</v>
      </c>
      <c r="G88" s="947"/>
      <c r="H88" s="1247"/>
      <c r="I88" s="947"/>
      <c r="J88" s="1247"/>
      <c r="K88" s="512"/>
    </row>
    <row s="12890" customFormat="1" customHeight="1" ht="11.25" hidden="1">
      <c r="A89" s="2517"/>
      <c r="B89" s="734"/>
      <c r="D89" s="888" t="s">
        <v>713</v>
      </c>
      <c r="E89" s="946" t="s">
        <v>834</v>
      </c>
      <c r="F89" s="883" t="s">
        <v>776</v>
      </c>
      <c r="G89" s="947"/>
      <c r="H89" s="1247"/>
      <c r="I89" s="947"/>
      <c r="J89" s="1247"/>
      <c r="K89" s="512"/>
    </row>
    <row s="12890" customFormat="1" customHeight="1" ht="11.25" hidden="1">
      <c r="A90" s="2517"/>
      <c r="B90" s="734"/>
      <c r="D90" s="888" t="s">
        <v>716</v>
      </c>
      <c r="E90" s="946" t="s">
        <v>835</v>
      </c>
      <c r="F90" s="883" t="s">
        <v>776</v>
      </c>
      <c r="G90" s="947"/>
      <c r="H90" s="1247"/>
      <c r="I90" s="947"/>
      <c r="J90" s="1247"/>
      <c r="K90" s="512"/>
    </row>
    <row s="12890" customFormat="1" customHeight="1" ht="11.25" hidden="1">
      <c r="A91" s="2517"/>
      <c r="B91" s="734"/>
      <c r="D91" s="888" t="s">
        <v>794</v>
      </c>
      <c r="E91" s="946" t="s">
        <v>836</v>
      </c>
      <c r="F91" s="883" t="s">
        <v>776</v>
      </c>
      <c r="G91" s="947"/>
      <c r="H91" s="1247"/>
      <c r="I91" s="947"/>
      <c r="J91" s="1247"/>
      <c r="K91" s="512"/>
    </row>
    <row s="12890" customFormat="1" customHeight="1" ht="11.25" hidden="1">
      <c r="A92" s="2517"/>
      <c r="B92" s="734"/>
      <c r="D92" s="888" t="s">
        <v>796</v>
      </c>
      <c r="E92" s="946" t="s">
        <v>838</v>
      </c>
      <c r="F92" s="883" t="s">
        <v>776</v>
      </c>
      <c r="G92" s="947"/>
      <c r="H92" s="1247"/>
      <c r="I92" s="947"/>
      <c r="J92" s="1247"/>
      <c r="K92" s="512"/>
    </row>
    <row s="12890" customFormat="1" customHeight="1" ht="11.25" hidden="1">
      <c r="A93" s="2517"/>
      <c r="B93" s="734"/>
      <c r="D93" s="888" t="s">
        <v>845</v>
      </c>
      <c r="E93" s="946" t="s">
        <v>840</v>
      </c>
      <c r="F93" s="883" t="s">
        <v>776</v>
      </c>
      <c r="G93" s="947"/>
      <c r="H93" s="1247"/>
      <c r="I93" s="947"/>
      <c r="J93" s="1247"/>
      <c r="K93" s="512"/>
    </row>
    <row s="12890" customFormat="1" customHeight="1" ht="11.25" hidden="1">
      <c r="A94" s="2517"/>
      <c r="B94" s="734"/>
      <c r="D94" s="888" t="s">
        <v>846</v>
      </c>
      <c r="E94" s="946" t="s">
        <v>842</v>
      </c>
      <c r="F94" s="883" t="s">
        <v>776</v>
      </c>
      <c r="G94" s="947"/>
      <c r="H94" s="1247"/>
      <c r="I94" s="947"/>
      <c r="J94" s="1247"/>
      <c r="K94" s="512"/>
    </row>
    <row s="12890" customFormat="1" customHeight="1" ht="24.75" hidden="1">
      <c r="A95" s="2517"/>
      <c r="B95" s="734"/>
      <c r="D95" s="888" t="s">
        <v>110</v>
      </c>
      <c r="E95" s="889" t="s">
        <v>847</v>
      </c>
      <c r="F95" s="948" t="s">
        <v>561</v>
      </c>
      <c r="G95" s="950"/>
      <c r="H95" s="1247"/>
      <c r="I95" s="950"/>
      <c r="J95" s="1247"/>
      <c r="K95" s="512" t="s">
        <v>848</v>
      </c>
    </row>
    <row s="12890" customFormat="1" customHeight="1" ht="33.75" hidden="1">
      <c r="A96" s="2517"/>
      <c r="B96" s="734"/>
      <c r="D96" s="888" t="s">
        <v>91</v>
      </c>
      <c r="E96" s="889" t="s">
        <v>849</v>
      </c>
      <c r="F96" s="949" t="s">
        <v>737</v>
      </c>
      <c r="G96" s="951"/>
      <c r="H96" s="1247"/>
      <c r="I96" s="951"/>
      <c r="J96" s="1247"/>
      <c r="K96" s="512"/>
    </row>
    <row s="12890" customFormat="1" customHeight="1" ht="22.5" hidden="1">
      <c r="A97" s="2517"/>
      <c r="B97" s="734" t="s">
        <v>591</v>
      </c>
      <c r="D97" s="888" t="s">
        <v>92</v>
      </c>
      <c r="E97" s="889" t="s">
        <v>850</v>
      </c>
      <c r="F97" s="949" t="s">
        <v>307</v>
      </c>
      <c r="G97" s="608"/>
      <c r="H97" s="1247"/>
      <c r="I97" s="608"/>
      <c r="J97" s="1247"/>
      <c r="K97" s="512" t="s">
        <v>809</v>
      </c>
    </row>
    <row s="12890" customFormat="1" customHeight="1" ht="45" hidden="1">
      <c r="A98" s="2517"/>
      <c r="B98" s="734" t="s">
        <v>591</v>
      </c>
      <c r="D98" s="888" t="s">
        <v>851</v>
      </c>
      <c r="E98" s="890" t="s">
        <v>852</v>
      </c>
      <c r="F98" s="944" t="s">
        <v>307</v>
      </c>
      <c r="G98" s="608"/>
      <c r="H98" s="1247"/>
      <c r="I98" s="608"/>
      <c r="J98" s="1247"/>
      <c r="K98" s="512" t="s">
        <v>809</v>
      </c>
    </row>
    <row s="12890" customFormat="1" customHeight="1" ht="95.25" hidden="1">
      <c r="A99" s="2517"/>
      <c r="B99" s="734" t="s">
        <v>591</v>
      </c>
      <c r="D99" s="888" t="s">
        <v>111</v>
      </c>
      <c r="E99" s="889" t="s">
        <v>853</v>
      </c>
      <c r="F99" s="944" t="s">
        <v>307</v>
      </c>
      <c r="G99" s="608"/>
      <c r="H99" s="1247"/>
      <c r="I99" s="608"/>
      <c r="J99" s="1247"/>
      <c r="K99" s="512" t="s">
        <v>809</v>
      </c>
    </row>
    <row s="12890" customFormat="1" customHeight="1" ht="22.5" hidden="1">
      <c r="A100" s="2517"/>
      <c r="B100" s="734" t="s">
        <v>591</v>
      </c>
      <c r="D100" s="888" t="s">
        <v>147</v>
      </c>
      <c r="E100" s="889" t="s">
        <v>854</v>
      </c>
      <c r="F100" s="944" t="s">
        <v>307</v>
      </c>
      <c r="G100" s="608"/>
      <c r="H100" s="1247"/>
      <c r="I100" s="608"/>
      <c r="J100" s="1247"/>
      <c r="K100" s="512" t="s">
        <v>809</v>
      </c>
    </row>
    <row s="16777" customFormat="1" customHeight="1" ht="11.25">
      <c r="A101" s="1257"/>
      <c r="B101" s="741"/>
      <c r="D101" s="1258"/>
      <c r="E101" s="1259"/>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97A2E-73A3-3BDF-86FF-45002F68C2BA}"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3385" width="9.140625" hidden="1" customWidth="1"/>
    <col min="2" max="2" style="13388" width="9.140625" hidden="1" customWidth="1"/>
    <col min="3" max="3" style="16964" width="4.7109375" customWidth="1"/>
    <col min="4" max="4" style="13388" width="6.28125" customWidth="1"/>
    <col min="5" max="5" style="13388" width="36.7109375" customWidth="1"/>
    <col min="6" max="6" style="13388" width="9.57421875" customWidth="1"/>
    <col min="7" max="7" style="12890" width="25.7109375" hidden="1" customWidth="1"/>
    <col min="8" max="8" style="12890" width="33.7109375" hidden="1" customWidth="1"/>
    <col min="9" max="9" style="13388" width="25.7109375" customWidth="1"/>
    <col min="10" max="10" style="13388" width="33.7109375" customWidth="1"/>
    <col min="11" max="11" style="12891" width="93.421875" customWidth="1"/>
    <col min="12" max="20" style="13388" width="10.57421875"/>
    <col min="21" max="21" style="16965" width="10.57421875"/>
  </cols>
  <sheetData>
    <row s="12891" customFormat="1" customHeight="1" ht="15" hidden="1">
      <c r="C1" s="895"/>
      <c r="G1" s="640">
        <v>4</v>
      </c>
      <c r="I1" s="640">
        <v>4</v>
      </c>
      <c r="U1" s="643"/>
    </row>
    <row s="12891" customFormat="1" customHeight="1" ht="15" hidden="1">
      <c r="C2" s="895"/>
      <c r="U2" s="643"/>
    </row>
    <row customHeight="1" ht="22.5" hidden="1">
      <c r="A3" s="728"/>
      <c r="B3" s="2519"/>
      <c r="C3" s="2520" t="s">
        <v>531</v>
      </c>
      <c r="D3" s="912" t="str">
        <f>B3&amp;".1"</f>
        <v>.1</v>
      </c>
      <c r="E3" s="913" t="s">
        <v>855</v>
      </c>
      <c r="F3" s="914" t="s">
        <v>307</v>
      </c>
      <c r="G3" s="909"/>
      <c r="H3" s="624"/>
      <c r="I3" s="909"/>
      <c r="J3" s="624"/>
      <c r="K3" s="512" t="s">
        <v>856</v>
      </c>
    </row>
    <row customHeight="1" ht="15" hidden="1">
      <c r="A4" s="728"/>
      <c r="B4" s="2519"/>
      <c r="C4" s="2520"/>
      <c r="D4" s="912" t="str">
        <f>B3&amp;".2"</f>
        <v>.2</v>
      </c>
      <c r="E4" s="913" t="s">
        <v>857</v>
      </c>
      <c r="F4" s="914" t="s">
        <v>307</v>
      </c>
      <c r="G4" s="1966" t="s">
        <v>24</v>
      </c>
      <c r="H4" s="624"/>
      <c r="I4" s="1966" t="s">
        <v>24</v>
      </c>
      <c r="J4" s="624"/>
      <c r="K4" s="512" t="s">
        <v>858</v>
      </c>
    </row>
    <row s="12891" customFormat="1" customHeight="1" ht="15" hidden="1">
      <c r="C5" s="895"/>
      <c r="U5" s="643"/>
    </row>
    <row customHeight="1" ht="22.5" hidden="1">
      <c r="A6" s="728"/>
      <c r="B6" s="2519"/>
      <c r="C6" s="2520" t="s">
        <v>531</v>
      </c>
      <c r="D6" s="912" t="str">
        <f>B6&amp;".1"</f>
        <v>.1</v>
      </c>
      <c r="E6" s="913" t="s">
        <v>859</v>
      </c>
      <c r="F6" s="914" t="s">
        <v>307</v>
      </c>
      <c r="G6" s="909"/>
      <c r="H6" s="624"/>
      <c r="I6" s="909"/>
      <c r="J6" s="624"/>
      <c r="K6" s="512" t="s">
        <v>860</v>
      </c>
    </row>
    <row customHeight="1" ht="15" hidden="1">
      <c r="A7" s="728"/>
      <c r="B7" s="2519"/>
      <c r="C7" s="2520"/>
      <c r="D7" s="912" t="str">
        <f>B6&amp;".2"</f>
        <v>.2</v>
      </c>
      <c r="E7" s="913" t="s">
        <v>857</v>
      </c>
      <c r="F7" s="914" t="s">
        <v>307</v>
      </c>
      <c r="G7" s="1966" t="s">
        <v>24</v>
      </c>
      <c r="H7" s="624"/>
      <c r="I7" s="1966" t="s">
        <v>24</v>
      </c>
      <c r="J7" s="624"/>
      <c r="K7" s="512" t="s">
        <v>858</v>
      </c>
    </row>
    <row s="12891" customFormat="1" customHeight="1" ht="15" hidden="1">
      <c r="C8" s="895"/>
      <c r="U8" s="643"/>
    </row>
    <row customHeight="1" ht="22.5" hidden="1">
      <c r="A9" s="728"/>
      <c r="B9" s="2519"/>
      <c r="C9" s="2520" t="s">
        <v>531</v>
      </c>
      <c r="D9" s="912" t="str">
        <f>B9&amp;".1"</f>
        <v>.1</v>
      </c>
      <c r="E9" s="913" t="s">
        <v>861</v>
      </c>
      <c r="F9" s="914" t="s">
        <v>307</v>
      </c>
      <c r="G9" s="920" t="s">
        <v>24</v>
      </c>
      <c r="H9" s="624" t="s">
        <v>24</v>
      </c>
      <c r="I9" s="920" t="s">
        <v>24</v>
      </c>
      <c r="J9" s="624" t="s">
        <v>24</v>
      </c>
      <c r="K9" s="512"/>
    </row>
    <row customHeight="1" ht="15" hidden="1">
      <c r="A10" s="728"/>
      <c r="B10" s="2519"/>
      <c r="C10" s="2520"/>
      <c r="D10" s="912" t="str">
        <f>B9&amp;".2"</f>
        <v>.2</v>
      </c>
      <c r="E10" s="913" t="s">
        <v>862</v>
      </c>
      <c r="F10" s="914" t="s">
        <v>307</v>
      </c>
      <c r="G10" s="1960" t="s">
        <v>24</v>
      </c>
      <c r="H10" s="624" t="s">
        <v>24</v>
      </c>
      <c r="I10" s="1960" t="s">
        <v>24</v>
      </c>
      <c r="J10" s="624" t="s">
        <v>24</v>
      </c>
      <c r="K10" s="512" t="s">
        <v>863</v>
      </c>
    </row>
    <row customHeight="1" ht="15" hidden="1">
      <c r="A11" s="728"/>
      <c r="B11" s="2519"/>
      <c r="C11" s="2520"/>
      <c r="D11" s="912" t="str">
        <f>B9&amp;".3"</f>
        <v>.3</v>
      </c>
      <c r="E11" s="913" t="s">
        <v>864</v>
      </c>
      <c r="F11" s="914" t="s">
        <v>307</v>
      </c>
      <c r="G11" s="1960" t="s">
        <v>24</v>
      </c>
      <c r="H11" s="624" t="s">
        <v>24</v>
      </c>
      <c r="I11" s="1960" t="s">
        <v>24</v>
      </c>
      <c r="J11" s="624" t="s">
        <v>24</v>
      </c>
      <c r="K11" s="512" t="s">
        <v>865</v>
      </c>
    </row>
    <row s="12891" customFormat="1" customHeight="1" ht="15" hidden="1">
      <c r="C12" s="895"/>
      <c r="U12" s="643"/>
    </row>
    <row customHeight="1" ht="33.75" hidden="1">
      <c r="A13" s="728"/>
      <c r="B13" s="2519"/>
      <c r="C13" s="2520" t="s">
        <v>531</v>
      </c>
      <c r="D13" s="912" t="str">
        <f>B13&amp;".1"</f>
        <v>.1</v>
      </c>
      <c r="E13" s="913" t="s">
        <v>866</v>
      </c>
      <c r="F13" s="914" t="s">
        <v>307</v>
      </c>
      <c r="G13" s="920" t="s">
        <v>24</v>
      </c>
      <c r="H13" s="624" t="s">
        <v>24</v>
      </c>
      <c r="I13" s="920" t="s">
        <v>24</v>
      </c>
      <c r="J13" s="624" t="s">
        <v>24</v>
      </c>
      <c r="K13" s="512" t="s">
        <v>867</v>
      </c>
    </row>
    <row customHeight="1" ht="15" hidden="1">
      <c r="B14" s="2519"/>
      <c r="C14" s="2520"/>
      <c r="D14" s="912" t="str">
        <f>B13&amp;".2"</f>
        <v>.2</v>
      </c>
      <c r="E14" s="913" t="s">
        <v>868</v>
      </c>
      <c r="F14" s="914" t="s">
        <v>307</v>
      </c>
      <c r="G14" s="1960" t="s">
        <v>24</v>
      </c>
      <c r="H14" s="624" t="s">
        <v>24</v>
      </c>
      <c r="I14" s="1960" t="s">
        <v>24</v>
      </c>
      <c r="J14" s="624" t="s">
        <v>24</v>
      </c>
      <c r="K14" s="512" t="s">
        <v>869</v>
      </c>
    </row>
    <row s="12891" customFormat="1" customHeight="1" ht="15" hidden="1">
      <c r="C15" s="895"/>
      <c r="U15" s="643"/>
    </row>
    <row s="12891" customFormat="1" customHeight="1" ht="15" hidden="1">
      <c r="C16" s="895"/>
      <c r="U16" s="643"/>
    </row>
    <row s="12891" customFormat="1" customHeight="1" ht="15" hidden="1">
      <c r="C17" s="895"/>
      <c r="U17" s="643"/>
    </row>
    <row s="12891" customFormat="1" customHeight="1" ht="15" hidden="1">
      <c r="C18" s="895"/>
      <c r="U18" s="643"/>
    </row>
    <row s="12891" customFormat="1" customHeight="1" ht="15" hidden="1">
      <c r="C19" s="895"/>
      <c r="U19" s="643"/>
    </row>
    <row s="12891" customFormat="1" customHeight="1" ht="15" hidden="1">
      <c r="C20" s="895"/>
      <c r="U20" s="643"/>
    </row>
    <row customHeight="1" ht="15">
      <c r="C21" s="400"/>
      <c r="D21" s="732"/>
      <c r="E21" s="732"/>
      <c r="F21" s="732"/>
      <c r="G21" s="732"/>
      <c r="H21" s="732"/>
      <c r="I21" s="732"/>
      <c r="J21" s="732"/>
    </row>
    <row customHeight="1" ht="22.5">
      <c r="C22" s="400"/>
      <c r="D22" s="23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67"/>
      <c r="F22" s="2367"/>
      <c r="G22" s="2367"/>
      <c r="H22" s="2367"/>
      <c r="I22" s="2367"/>
      <c r="J22" s="899"/>
      <c r="K22" s="760"/>
    </row>
    <row customHeight="1" ht="15">
      <c r="C23" s="400"/>
      <c r="D23" s="2336" t="str">
        <f>IF(org=0,"Не определено",org)</f>
        <v>ООО "Новая Энергетика"</v>
      </c>
      <c r="E23" s="2336"/>
      <c r="F23" s="2336"/>
      <c r="G23" s="2336"/>
      <c r="H23" s="2336"/>
      <c r="I23" s="2336"/>
      <c r="J23" s="899"/>
      <c r="K23" s="760"/>
    </row>
    <row customHeight="1" ht="15">
      <c r="C24" s="400"/>
      <c r="D24" s="732"/>
      <c r="E24" s="732"/>
      <c r="F24" s="732"/>
      <c r="G24" s="760">
        <v>22</v>
      </c>
      <c r="H24" s="975"/>
      <c r="I24" s="760">
        <v>22</v>
      </c>
      <c r="J24" s="975"/>
    </row>
    <row s="12890" customFormat="1" customHeight="1" ht="0.75">
      <c r="A25" s="982"/>
      <c r="C25" s="400"/>
      <c r="D25" s="732"/>
      <c r="E25" s="732"/>
      <c r="F25" s="732"/>
      <c r="G25" s="760"/>
      <c r="H25" s="975"/>
      <c r="I25" s="760" t="s">
        <v>116</v>
      </c>
      <c r="J25" s="975"/>
      <c r="K25" s="640"/>
      <c r="U25" s="898"/>
    </row>
    <row customHeight="1" ht="15">
      <c r="C26" s="400"/>
      <c r="D26" s="934"/>
      <c r="E26" s="2498" t="s">
        <v>104</v>
      </c>
      <c r="F26" s="2499"/>
      <c r="G26" s="2521" t="str">
        <f>IF(G25="","",INDEX(DIFFERENTIATION_UNMERGE_VD,MATCH(G25,DIFFERENTIATION_ID_DIFF,0)))</f>
        <v/>
      </c>
      <c r="H26" s="2522"/>
      <c r="I26" s="2521">
        <f>IF(I25="","",INDEX(DIFFERENTIATION_UNMERGE_VD,MATCH(I25,DIFFERENTIATION_ID_DIFF,0)))</f>
        <v>0</v>
      </c>
      <c r="J26" s="2522"/>
      <c r="K26" s="2311" t="s">
        <v>302</v>
      </c>
    </row>
    <row s="12890" customFormat="1" customHeight="1" ht="15">
      <c r="A27" s="982"/>
      <c r="C27" s="400"/>
      <c r="D27" s="934"/>
      <c r="E27" s="2498" t="s">
        <v>567</v>
      </c>
      <c r="F27" s="2499"/>
      <c r="G27" s="2521" t="str">
        <f>IF(G25="","",INDEX(DIFFERENTIATION_UNMERGE_AREA,MATCH(G25,DIFFERENTIATION_ID_DIFF,0)))</f>
        <v/>
      </c>
      <c r="H27" s="2522"/>
      <c r="I27" s="2521" t="str">
        <f>IF(I25="","",INDEX(DIFFERENTIATION_UNMERGE_AREA,MATCH(I25,DIFFERENTIATION_ID_DIFF,0)))</f>
        <v/>
      </c>
      <c r="J27" s="2522"/>
      <c r="K27" s="2315"/>
      <c r="U27" s="898"/>
    </row>
    <row s="12890" customFormat="1" customHeight="1" ht="15">
      <c r="A28" s="982"/>
      <c r="C28" s="400"/>
      <c r="D28" s="934"/>
      <c r="E28" s="2498" t="s">
        <v>568</v>
      </c>
      <c r="F28" s="2499"/>
      <c r="G28" s="2521" t="str">
        <f>IF(G25="","",INDEX(DIFFERENTIATION_UNMERGE_SYSTEM,MATCH(G25,DIFFERENTIATION_ID_DIFF,0)))</f>
        <v/>
      </c>
      <c r="H28" s="2522"/>
      <c r="I28" s="2521" t="str">
        <f>IF(I25="","",INDEX(DIFFERENTIATION_UNMERGE_SYSTEM,MATCH(I25,DIFFERENTIATION_ID_DIFF,0)))</f>
        <v>без дифференциации</v>
      </c>
      <c r="J28" s="2522"/>
      <c r="K28" s="2315"/>
      <c r="U28" s="898"/>
    </row>
    <row s="12890" customFormat="1" customHeight="1" ht="15">
      <c r="A29" s="982"/>
      <c r="C29" s="400"/>
      <c r="D29" s="2500" t="s">
        <v>301</v>
      </c>
      <c r="E29" s="2501"/>
      <c r="F29" s="2501"/>
      <c r="G29" s="1110"/>
      <c r="H29" s="1110"/>
      <c r="I29" s="1110"/>
      <c r="J29" s="1111"/>
      <c r="K29" s="2315"/>
      <c r="U29" s="898"/>
    </row>
    <row customHeight="1" ht="33.75">
      <c r="C30" s="400"/>
      <c r="D30" s="984" t="s">
        <v>87</v>
      </c>
      <c r="E30" s="983" t="s">
        <v>303</v>
      </c>
      <c r="F30" s="983" t="s">
        <v>569</v>
      </c>
      <c r="G30" s="1031" t="s">
        <v>304</v>
      </c>
      <c r="H30" s="1030" t="s">
        <v>391</v>
      </c>
      <c r="I30" s="907" t="s">
        <v>304</v>
      </c>
      <c r="J30" s="688" t="s">
        <v>391</v>
      </c>
      <c r="K30" s="2321"/>
    </row>
    <row customHeight="1" ht="15" hidden="1">
      <c r="C31" s="400"/>
      <c r="D31" s="816"/>
      <c r="E31" s="816"/>
      <c r="F31" s="816"/>
      <c r="G31" s="882"/>
      <c r="H31" s="882"/>
      <c r="I31" s="882"/>
      <c r="J31" s="882"/>
      <c r="K31" s="512"/>
    </row>
    <row customHeight="1" ht="22.5">
      <c r="A32" s="728"/>
      <c r="B32" s="728" t="s">
        <v>870</v>
      </c>
      <c r="C32" s="749"/>
      <c r="D32" s="915">
        <v>1</v>
      </c>
      <c r="E32" s="916" t="s">
        <v>871</v>
      </c>
      <c r="F32" s="914" t="s">
        <v>307</v>
      </c>
      <c r="G32" s="1036" t="s">
        <v>307</v>
      </c>
      <c r="H32" s="1036" t="s">
        <v>307</v>
      </c>
      <c r="I32" s="914" t="s">
        <v>307</v>
      </c>
      <c r="J32" s="914" t="s">
        <v>307</v>
      </c>
      <c r="K32" s="512"/>
    </row>
    <row customHeight="1" ht="11.25">
      <c r="A33" s="728"/>
      <c r="C33" s="728"/>
      <c r="D33" s="570"/>
      <c r="E33" s="803" t="s">
        <v>589</v>
      </c>
      <c r="F33" s="795"/>
      <c r="G33" s="795"/>
      <c r="H33" s="795"/>
      <c r="I33" s="795"/>
      <c r="J33" s="795"/>
      <c r="K33" s="796"/>
      <c r="U33" s="728"/>
    </row>
    <row customHeight="1" ht="22.5">
      <c r="A34" s="728"/>
      <c r="B34" s="804" t="s">
        <v>872</v>
      </c>
      <c r="C34" s="749"/>
      <c r="D34" s="915">
        <v>2</v>
      </c>
      <c r="E34" s="916" t="s">
        <v>873</v>
      </c>
      <c r="F34" s="1043" t="s">
        <v>307</v>
      </c>
      <c r="G34" s="1043" t="s">
        <v>307</v>
      </c>
      <c r="H34" s="1043" t="s">
        <v>307</v>
      </c>
      <c r="I34" s="914"/>
      <c r="J34" s="914"/>
      <c r="K34" s="512"/>
    </row>
    <row customHeight="1" ht="11.25">
      <c r="A35" s="728"/>
      <c r="C35" s="728"/>
      <c r="D35" s="570"/>
      <c r="E35" s="803" t="s">
        <v>874</v>
      </c>
      <c r="F35" s="795"/>
      <c r="G35" s="917"/>
      <c r="H35" s="795"/>
      <c r="I35" s="917"/>
      <c r="J35" s="795"/>
      <c r="K35" s="796"/>
      <c r="U35" s="728"/>
    </row>
    <row customHeight="1" ht="67.5">
      <c r="A36" s="728"/>
      <c r="B36" s="728" t="s">
        <v>875</v>
      </c>
      <c r="C36" s="749"/>
      <c r="D36" s="915">
        <v>3</v>
      </c>
      <c r="E36" s="916" t="s">
        <v>876</v>
      </c>
      <c r="F36" s="918" t="s">
        <v>307</v>
      </c>
      <c r="G36" s="1037" t="s">
        <v>877</v>
      </c>
      <c r="H36" s="1036" t="s">
        <v>307</v>
      </c>
      <c r="I36" s="747" t="s">
        <v>877</v>
      </c>
      <c r="J36" s="914" t="s">
        <v>307</v>
      </c>
      <c r="K36" s="512" t="s">
        <v>878</v>
      </c>
    </row>
    <row customHeight="1" ht="11.25">
      <c r="A37" s="728"/>
      <c r="C37" s="728"/>
      <c r="D37" s="570"/>
      <c r="E37" s="803" t="s">
        <v>879</v>
      </c>
      <c r="F37" s="795"/>
      <c r="G37" s="917"/>
      <c r="H37" s="917"/>
      <c r="I37" s="917"/>
      <c r="J37" s="917"/>
      <c r="K37" s="796"/>
      <c r="U37" s="728"/>
    </row>
    <row customHeight="1" ht="67.5">
      <c r="A38" s="728"/>
      <c r="B38" s="728" t="s">
        <v>880</v>
      </c>
      <c r="C38" s="749"/>
      <c r="D38" s="915">
        <v>4</v>
      </c>
      <c r="E38" s="916" t="s">
        <v>881</v>
      </c>
      <c r="F38" s="918" t="s">
        <v>307</v>
      </c>
      <c r="G38" s="1037" t="s">
        <v>877</v>
      </c>
      <c r="H38" s="1038" t="s">
        <v>307</v>
      </c>
      <c r="I38" s="747" t="s">
        <v>877</v>
      </c>
      <c r="J38" s="744" t="s">
        <v>307</v>
      </c>
      <c r="K38" s="902" t="s">
        <v>882</v>
      </c>
    </row>
    <row customHeight="1" ht="11.25">
      <c r="A39" s="728"/>
      <c r="C39" s="728"/>
      <c r="D39" s="570"/>
      <c r="E39" s="803" t="s">
        <v>883</v>
      </c>
      <c r="F39" s="795"/>
      <c r="G39" s="795"/>
      <c r="H39" s="919"/>
      <c r="I39" s="795"/>
      <c r="J39" s="919"/>
      <c r="K39" s="796"/>
      <c r="U39" s="728"/>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9F408-BC04-A429-D9E9-7DA48B8F64A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6991" width="6.7109375" hidden="1" customWidth="1"/>
    <col min="4" max="4" style="12891" width="6.7109375" hidden="1" customWidth="1"/>
    <col min="5" max="5" style="16777" width="3.7109375" customWidth="1"/>
    <col min="6" max="6" style="12890" width="6.28125" customWidth="1"/>
    <col min="7" max="7" style="12890" width="37.7109375" customWidth="1"/>
    <col min="8" max="8" style="13619" width="16.57421875" customWidth="1"/>
    <col min="9" max="10" style="12890" width="19.7109375" customWidth="1"/>
    <col min="11" max="11" style="12890" width="25.00390625" customWidth="1"/>
    <col min="12" max="13" style="12890" width="25.7109375" customWidth="1"/>
    <col min="14" max="16" style="12890" width="17.7109375" customWidth="1"/>
    <col min="17" max="24" style="12890" width="19.7109375" customWidth="1"/>
    <col min="25" max="25" style="12890" width="8.00390625" customWidth="1"/>
    <col min="26" max="26" style="12890" width="3.28125" customWidth="1"/>
    <col min="27" max="27" style="12890" width="6.28125" customWidth="1"/>
    <col min="28" max="28" style="12890" width="34.140625" customWidth="1"/>
    <col min="29" max="30" style="12890" width="9.140625"/>
  </cols>
  <sheetData>
    <row s="12891" customFormat="1" customHeight="1" ht="10.5" hidden="1">
      <c r="A1" s="1118"/>
      <c r="B1" s="1118"/>
      <c r="C1" s="1118"/>
      <c r="E1" s="760"/>
      <c r="H1" s="1385"/>
    </row>
    <row customHeight="1" ht="10.5" hidden="1"/>
    <row s="16967" customFormat="1" customHeight="1" ht="10.5" hidden="1">
      <c r="A3" s="1118"/>
      <c r="B3" s="1118"/>
      <c r="C3" s="1118"/>
      <c r="D3" s="640"/>
      <c r="E3" s="585"/>
      <c r="H3" s="1381"/>
    </row>
    <row customHeight="1" ht="3"/>
    <row customHeight="1" ht="25.5">
      <c r="F5" s="2422" t="str">
        <f>IP_NAME_FORM</f>
        <v>Форма 7. Информация об инвестиционных программах организации горячего водоснабжения и отчетах об их исполнении</v>
      </c>
      <c r="G5" s="2422"/>
      <c r="H5" s="2422"/>
      <c r="I5" s="2422"/>
      <c r="J5" s="2422"/>
      <c r="K5" s="2422"/>
      <c r="M5" s="805"/>
      <c r="AB5" s="1129"/>
    </row>
    <row s="13661" customFormat="1" customHeight="1" ht="15.75">
      <c r="A6" s="1391"/>
      <c r="B6" s="1391"/>
      <c r="C6" s="1391"/>
      <c r="D6" s="1385"/>
      <c r="E6" s="1863"/>
      <c r="F6" s="2423" t="str">
        <f>IF(org=0,"Не определено",org)</f>
        <v>ООО "Новая Энергетика"</v>
      </c>
      <c r="G6" s="2423"/>
      <c r="H6" s="2423"/>
      <c r="I6" s="2423"/>
      <c r="J6" s="2423"/>
      <c r="K6" s="2423"/>
      <c r="M6" s="805"/>
      <c r="AB6" s="1373"/>
    </row>
    <row r="8" customHeight="1" ht="10.5">
      <c r="A8" s="1275"/>
      <c r="B8" s="1275"/>
      <c r="C8" s="1275"/>
      <c r="F8" s="2238" t="s">
        <v>301</v>
      </c>
      <c r="G8" s="2239"/>
      <c r="H8" s="2239"/>
      <c r="I8" s="2239"/>
      <c r="J8" s="2239"/>
      <c r="K8" s="2239"/>
      <c r="L8" s="2239"/>
      <c r="M8" s="2239"/>
      <c r="N8" s="2239"/>
      <c r="O8" s="2239"/>
      <c r="P8" s="2239"/>
      <c r="Q8" s="2239"/>
      <c r="R8" s="2239"/>
      <c r="S8" s="2239"/>
      <c r="T8" s="2239"/>
      <c r="U8" s="2239"/>
      <c r="V8" s="2239"/>
      <c r="W8" s="2239"/>
      <c r="X8" s="2239"/>
      <c r="Y8" s="2239"/>
      <c r="Z8" s="2239"/>
      <c r="AA8" s="2239"/>
      <c r="AB8" s="2240"/>
    </row>
    <row customHeight="1" ht="41.25">
      <c r="A9" s="1128"/>
      <c r="B9" s="1128"/>
      <c r="C9" s="1128"/>
      <c r="F9" s="2254" t="s">
        <v>87</v>
      </c>
      <c r="G9" s="2254" t="s">
        <v>884</v>
      </c>
      <c r="H9" s="2311" t="s">
        <v>885</v>
      </c>
      <c r="I9" s="2254" t="s">
        <v>886</v>
      </c>
      <c r="J9" s="2254" t="s">
        <v>887</v>
      </c>
      <c r="K9" s="2254" t="s">
        <v>888</v>
      </c>
      <c r="L9" s="2254" t="s">
        <v>889</v>
      </c>
      <c r="M9" s="2254" t="s">
        <v>890</v>
      </c>
      <c r="N9" s="2344" t="s">
        <v>891</v>
      </c>
      <c r="O9" s="2344"/>
      <c r="P9" s="2344"/>
      <c r="Q9" s="2527" t="s">
        <v>892</v>
      </c>
      <c r="R9" s="2528"/>
      <c r="S9" s="2528"/>
      <c r="T9" s="2529"/>
      <c r="U9" s="2527" t="s">
        <v>893</v>
      </c>
      <c r="V9" s="2528"/>
      <c r="W9" s="2528"/>
      <c r="X9" s="2529"/>
      <c r="Y9" s="2238" t="s">
        <v>894</v>
      </c>
      <c r="Z9" s="2239"/>
      <c r="AA9" s="2239"/>
      <c r="AB9" s="2240"/>
    </row>
    <row customHeight="1" ht="41.25">
      <c r="A10" s="1128"/>
      <c r="B10" s="1128"/>
      <c r="C10" s="1128"/>
      <c r="F10" s="2311"/>
      <c r="G10" s="2311"/>
      <c r="H10" s="2372"/>
      <c r="I10" s="2311"/>
      <c r="J10" s="2311"/>
      <c r="K10" s="2311"/>
      <c r="L10" s="2311"/>
      <c r="M10" s="2311"/>
      <c r="N10" s="1126" t="s">
        <v>895</v>
      </c>
      <c r="O10" s="1126" t="s">
        <v>896</v>
      </c>
      <c r="P10" s="1127" t="s">
        <v>897</v>
      </c>
      <c r="Q10" s="1138" t="s">
        <v>88</v>
      </c>
      <c r="R10" s="1138" t="s">
        <v>898</v>
      </c>
      <c r="S10" s="1138" t="s">
        <v>899</v>
      </c>
      <c r="T10" s="1139" t="s">
        <v>900</v>
      </c>
      <c r="U10" s="1138" t="s">
        <v>88</v>
      </c>
      <c r="V10" s="1138" t="s">
        <v>901</v>
      </c>
      <c r="W10" s="1138" t="s">
        <v>899</v>
      </c>
      <c r="X10" s="1139" t="s">
        <v>900</v>
      </c>
      <c r="Y10" s="524" t="s">
        <v>902</v>
      </c>
      <c r="Z10" s="2238" t="s">
        <v>87</v>
      </c>
      <c r="AA10" s="2240"/>
      <c r="AB10" s="1273" t="s">
        <v>903</v>
      </c>
    </row>
    <row s="13606" customFormat="1" customHeight="1" ht="5.25" hidden="1">
      <c r="A11" s="1276"/>
      <c r="B11" s="1276"/>
      <c r="C11" s="1276"/>
      <c r="E11" s="1274"/>
      <c r="F11" s="2525" t="s">
        <v>377</v>
      </c>
      <c r="G11" s="2530"/>
      <c r="H11" s="2523"/>
      <c r="I11" s="2523"/>
      <c r="J11" s="2523"/>
      <c r="K11" s="2526"/>
      <c r="L11" s="2526"/>
      <c r="M11" s="2526"/>
      <c r="N11" s="2523"/>
      <c r="O11" s="2523"/>
      <c r="P11" s="2254"/>
      <c r="Q11" s="2324"/>
      <c r="R11" s="2324"/>
      <c r="S11" s="2324"/>
      <c r="T11" s="2523"/>
      <c r="U11" s="2324"/>
      <c r="V11" s="2324"/>
      <c r="W11" s="2324"/>
      <c r="X11" s="2523"/>
      <c r="Y11" s="2265"/>
      <c r="Z11" s="2265"/>
      <c r="AA11" s="2265"/>
      <c r="AB11" s="2265"/>
      <c r="AD11" s="734" t="s">
        <v>904</v>
      </c>
    </row>
    <row s="13606" customFormat="1" customHeight="1" ht="5.25" hidden="1">
      <c r="A12" s="1119"/>
      <c r="B12" s="1119"/>
      <c r="C12" s="1119"/>
      <c r="E12" s="741"/>
      <c r="F12" s="2525"/>
      <c r="G12" s="2530"/>
      <c r="H12" s="2523"/>
      <c r="I12" s="2523"/>
      <c r="J12" s="2523"/>
      <c r="K12" s="2526"/>
      <c r="L12" s="2526"/>
      <c r="M12" s="2526"/>
      <c r="N12" s="2523"/>
      <c r="O12" s="2523"/>
      <c r="P12" s="2254"/>
      <c r="Q12" s="2324"/>
      <c r="R12" s="2324"/>
      <c r="S12" s="2324"/>
      <c r="T12" s="2523"/>
      <c r="U12" s="2324"/>
      <c r="V12" s="2324"/>
      <c r="W12" s="2324"/>
      <c r="X12" s="2523"/>
      <c r="Y12" s="2524"/>
      <c r="Z12" s="2524"/>
      <c r="AA12" s="2524"/>
      <c r="AB12" s="2524"/>
    </row>
    <row customHeight="1" ht="10.5">
      <c r="F13" s="1125"/>
      <c r="G13" s="873" t="s">
        <v>905</v>
      </c>
      <c r="H13" s="1393"/>
      <c r="I13" s="795"/>
      <c r="J13" s="795"/>
      <c r="K13" s="795"/>
      <c r="L13" s="795"/>
      <c r="M13" s="795"/>
      <c r="N13" s="795"/>
      <c r="O13" s="795"/>
      <c r="P13" s="795"/>
      <c r="Q13" s="795"/>
      <c r="R13" s="795"/>
      <c r="S13" s="795"/>
      <c r="T13" s="795"/>
      <c r="U13" s="795"/>
      <c r="V13" s="795"/>
      <c r="W13" s="795"/>
      <c r="X13" s="795"/>
      <c r="Y13" s="795"/>
      <c r="Z13" s="919"/>
      <c r="AA13" s="919"/>
      <c r="AB13" s="1140"/>
    </row>
    <row r="15" s="13606" customFormat="1" customHeight="1" ht="10.5">
      <c r="A15" s="1392"/>
      <c r="B15" s="1392"/>
      <c r="C15" s="1392"/>
      <c r="E15" s="741"/>
      <c r="H15" s="734">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C9DAE-4E22-6D2C-C8F1-20B35AA7436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6991" width="4.140625" hidden="1" customWidth="1"/>
    <col min="4" max="4" style="12891" width="4.140625" hidden="1" customWidth="1"/>
    <col min="5" max="5" style="16777" width="3.7109375" customWidth="1"/>
    <col min="6" max="6" style="12890" width="14.421875" customWidth="1"/>
    <col min="7" max="7" style="12890" width="3.7109375" customWidth="1"/>
    <col min="8" max="8" style="13619" width="7.7109375" customWidth="1"/>
    <col min="9" max="10" style="12890" width="16.7109375" customWidth="1"/>
    <col min="11" max="11" style="12890" width="25.7109375" customWidth="1"/>
    <col min="12" max="12" style="17021" width="8.00390625" customWidth="1"/>
    <col min="13" max="13" style="17021" width="15.57421875" customWidth="1"/>
    <col min="14" max="14" style="12890" width="3.28125" customWidth="1"/>
    <col min="15" max="15" style="12890" width="4.7109375" customWidth="1"/>
    <col min="16" max="16" style="12890" width="9.00390625" customWidth="1"/>
    <col min="17" max="17" style="12890" width="21.7109375" customWidth="1"/>
    <col min="18" max="18" style="12890" width="14.7109375" customWidth="1"/>
    <col min="19" max="20" style="12890" width="17.7109375" customWidth="1"/>
    <col min="21" max="21" style="12890" width="9.7109375" customWidth="1"/>
    <col min="22" max="22" style="12890" width="12.7109375" customWidth="1"/>
    <col min="23" max="23" style="12890" width="9.7109375" customWidth="1"/>
    <col min="24" max="24" style="12890" width="21.7109375" customWidth="1"/>
    <col min="25" max="25" style="12890" width="12.7109375" customWidth="1"/>
    <col min="26" max="26" style="12890" width="3.28125" customWidth="1"/>
    <col min="27" max="27" style="12890" width="7.140625" customWidth="1"/>
    <col min="28" max="28" style="12890" width="38.421875" customWidth="1"/>
    <col min="29" max="29" style="12890" width="15.7109375" customWidth="1"/>
    <col min="30" max="30" style="17021" width="37.57421875" hidden="1" customWidth="1"/>
    <col min="31" max="31" style="12890" width="15.7109375" hidden="1" customWidth="1"/>
    <col min="32" max="33" style="12890" width="16.7109375" customWidth="1"/>
    <col min="34" max="34" style="17043" width="16.7109375" customWidth="1"/>
    <col min="35" max="35" style="17044" width="16.7109375" hidden="1" customWidth="1"/>
    <col min="36" max="37" style="12890" width="16.7109375" hidden="1" customWidth="1"/>
    <col min="38" max="58" style="12890" width="9.140625"/>
  </cols>
  <sheetData>
    <row s="12891" customFormat="1" customHeight="1" ht="10.5" hidden="1">
      <c r="A1" s="1118"/>
      <c r="B1" s="1118"/>
      <c r="C1" s="1118"/>
      <c r="E1" s="760"/>
      <c r="H1" s="1385"/>
      <c r="L1" s="1353"/>
      <c r="M1" s="1353"/>
      <c r="AD1" s="1353"/>
      <c r="AH1" s="1372"/>
      <c r="AI1" s="1365"/>
    </row>
    <row customHeight="1" ht="10.5" hidden="1"/>
    <row s="16967" customFormat="1" customHeight="1" ht="10.5" hidden="1">
      <c r="A3" s="1118"/>
      <c r="B3" s="1118"/>
      <c r="C3" s="1118"/>
      <c r="D3" s="640"/>
      <c r="E3" s="585"/>
      <c r="H3" s="1381"/>
      <c r="L3" s="1351"/>
      <c r="M3" s="1351"/>
      <c r="AD3" s="1351"/>
      <c r="AH3" s="1370"/>
      <c r="AI3" s="1363"/>
    </row>
    <row customHeight="1" ht="3"/>
    <row customHeight="1" ht="25.5">
      <c r="F5" s="2422" t="str">
        <f>IP_NAME_FORM</f>
        <v>Форма 7. Информация об инвестиционных программах организации горячего водоснабжения и отчетах об их исполнении</v>
      </c>
      <c r="G5" s="2422"/>
      <c r="H5" s="2422"/>
      <c r="I5" s="2422"/>
      <c r="J5" s="2422"/>
      <c r="K5" s="2422"/>
      <c r="L5" s="1360"/>
      <c r="M5" s="1360"/>
      <c r="AG5" s="1129"/>
      <c r="AH5" s="1373"/>
    </row>
    <row customHeight="1" ht="10.5">
      <c r="F6" s="2336" t="str">
        <f>IF(org=0,"Не определено",org)</f>
        <v>ООО "Новая Энергетика"</v>
      </c>
      <c r="G6" s="2336"/>
      <c r="H6" s="2336"/>
      <c r="I6" s="2336"/>
      <c r="J6" s="2336"/>
      <c r="K6" s="2336"/>
      <c r="L6" s="1361"/>
      <c r="M6" s="1361"/>
    </row>
    <row customHeight="1" ht="11.25">
      <c r="E7" s="1131"/>
      <c r="F7" s="1142"/>
      <c r="G7" s="1142"/>
      <c r="H7" s="1411"/>
      <c r="I7" s="1142"/>
      <c r="J7" s="1142"/>
      <c r="K7" s="1144"/>
      <c r="L7" s="1358"/>
      <c r="M7" s="1358"/>
      <c r="N7" s="1142"/>
      <c r="O7" s="1142"/>
      <c r="P7" s="1142"/>
      <c r="Q7" s="1144"/>
      <c r="R7" s="1142"/>
      <c r="S7" s="1142"/>
      <c r="T7" s="1142"/>
      <c r="U7" s="1142"/>
      <c r="V7" s="1142"/>
      <c r="W7" s="1142"/>
      <c r="X7" s="1142"/>
      <c r="Y7" s="1142"/>
      <c r="Z7" s="1142"/>
      <c r="AA7" s="1142"/>
      <c r="AB7" s="1142"/>
      <c r="AC7" s="1143"/>
      <c r="AD7" s="1357"/>
      <c r="AE7" s="1143"/>
      <c r="AF7" s="1142"/>
      <c r="AG7" s="1142"/>
      <c r="AH7" s="1375"/>
      <c r="AI7" s="1368"/>
      <c r="AJ7" s="1142"/>
      <c r="AK7" s="1142"/>
      <c r="AL7" s="1133"/>
      <c r="AM7" s="1133"/>
      <c r="AN7" s="1133"/>
      <c r="AO7" s="1130"/>
      <c r="AP7" s="1130"/>
      <c r="AQ7" s="1130"/>
      <c r="AR7" s="1130"/>
      <c r="AS7" s="1130"/>
      <c r="AT7" s="1130"/>
      <c r="AU7" s="1130"/>
      <c r="AV7" s="1130"/>
      <c r="AW7" s="1130"/>
      <c r="AX7" s="1130"/>
      <c r="AY7" s="1130"/>
      <c r="AZ7" s="1130"/>
      <c r="BA7" s="1130"/>
      <c r="BB7" s="1130"/>
      <c r="BC7" s="1130"/>
      <c r="BD7" s="1130"/>
      <c r="BE7" s="1130"/>
      <c r="BF7" s="1130"/>
    </row>
    <row customHeight="1" ht="10.5">
      <c r="E8" s="1131"/>
      <c r="F8" s="2540" t="s">
        <v>301</v>
      </c>
      <c r="G8" s="2541"/>
      <c r="H8" s="2541"/>
      <c r="I8" s="2541"/>
      <c r="J8" s="2541"/>
      <c r="K8" s="2541"/>
      <c r="L8" s="2541"/>
      <c r="M8" s="2541"/>
      <c r="N8" s="2541"/>
      <c r="O8" s="2541"/>
      <c r="P8" s="2541"/>
      <c r="Q8" s="2541"/>
      <c r="R8" s="2541"/>
      <c r="S8" s="2541"/>
      <c r="T8" s="2541"/>
      <c r="U8" s="2541"/>
      <c r="V8" s="2541"/>
      <c r="W8" s="2541"/>
      <c r="X8" s="2541"/>
      <c r="Y8" s="2541"/>
      <c r="Z8" s="2541"/>
      <c r="AA8" s="2541"/>
      <c r="AB8" s="2541"/>
      <c r="AC8" s="2541"/>
      <c r="AD8" s="2541"/>
      <c r="AE8" s="2541"/>
      <c r="AF8" s="2541"/>
      <c r="AG8" s="2541"/>
      <c r="AH8" s="2541"/>
      <c r="AI8" s="2541"/>
      <c r="AJ8" s="2541"/>
      <c r="AK8" s="2542"/>
      <c r="AL8" s="1132"/>
      <c r="AM8" s="1130"/>
      <c r="AN8" s="1130"/>
      <c r="AO8" s="1130"/>
      <c r="AP8" s="1130"/>
      <c r="AQ8" s="1130"/>
      <c r="AR8" s="1130"/>
      <c r="AS8" s="1130"/>
      <c r="AT8" s="1130"/>
      <c r="AU8" s="1130"/>
      <c r="AV8" s="1130"/>
      <c r="AW8" s="1130"/>
      <c r="AX8" s="1130"/>
      <c r="AY8" s="1130"/>
      <c r="AZ8" s="1130"/>
      <c r="BA8" s="1130"/>
      <c r="BB8" s="1130"/>
      <c r="BC8" s="1130"/>
      <c r="BD8" s="1130"/>
      <c r="BE8" s="1130"/>
      <c r="BF8" s="1130"/>
    </row>
    <row customHeight="1" ht="23.25">
      <c r="A9" s="1128"/>
      <c r="B9" s="1128"/>
      <c r="C9" s="1128"/>
      <c r="E9" s="1131"/>
      <c r="F9" s="2533" t="s">
        <v>906</v>
      </c>
      <c r="G9" s="2534" t="s">
        <v>907</v>
      </c>
      <c r="H9" s="2535"/>
      <c r="I9" s="2254" t="s">
        <v>908</v>
      </c>
      <c r="J9" s="2254"/>
      <c r="K9" s="2254" t="s">
        <v>909</v>
      </c>
      <c r="L9" s="2254"/>
      <c r="M9" s="2254"/>
      <c r="N9" s="2254"/>
      <c r="O9" s="2254"/>
      <c r="P9" s="2254"/>
      <c r="Q9" s="2254"/>
      <c r="R9" s="2254"/>
      <c r="S9" s="2254"/>
      <c r="T9" s="2254"/>
      <c r="U9" s="2254"/>
      <c r="V9" s="2254"/>
      <c r="W9" s="2254"/>
      <c r="X9" s="2254"/>
      <c r="Y9" s="2254"/>
      <c r="Z9" s="2312" t="s">
        <v>910</v>
      </c>
      <c r="AA9" s="2313"/>
      <c r="AB9" s="2254" t="s">
        <v>911</v>
      </c>
      <c r="AC9" s="2254"/>
      <c r="AD9" s="2254"/>
      <c r="AE9" s="2254"/>
      <c r="AF9" s="2311" t="s">
        <v>912</v>
      </c>
      <c r="AG9" s="2254" t="s">
        <v>913</v>
      </c>
      <c r="AH9" s="2254"/>
      <c r="AI9" s="2311" t="s">
        <v>914</v>
      </c>
      <c r="AJ9" s="2254" t="s">
        <v>915</v>
      </c>
      <c r="AK9" s="2254"/>
      <c r="AL9" s="1367"/>
      <c r="AM9" s="1130"/>
      <c r="AN9" s="1130"/>
      <c r="AO9" s="1130"/>
      <c r="AP9" s="1130"/>
      <c r="AQ9" s="1130"/>
      <c r="AR9" s="1130"/>
      <c r="AS9" s="1130"/>
      <c r="AT9" s="1130"/>
      <c r="AU9" s="1130"/>
      <c r="AV9" s="1130"/>
      <c r="AW9" s="1130"/>
      <c r="AX9" s="1130"/>
      <c r="AY9" s="1130"/>
      <c r="AZ9" s="1130"/>
      <c r="BA9" s="1130"/>
      <c r="BB9" s="1130"/>
      <c r="BC9" s="1130"/>
      <c r="BD9" s="1130"/>
      <c r="BE9" s="1130"/>
      <c r="BF9" s="1130"/>
    </row>
    <row customHeight="1" ht="23.25">
      <c r="A10" s="1128"/>
      <c r="B10" s="1128"/>
      <c r="C10" s="1128"/>
      <c r="E10" s="1135"/>
      <c r="F10" s="2533"/>
      <c r="G10" s="2536"/>
      <c r="H10" s="2537"/>
      <c r="I10" s="2254"/>
      <c r="J10" s="2254"/>
      <c r="K10" s="2254" t="s">
        <v>916</v>
      </c>
      <c r="L10" s="2238" t="s">
        <v>917</v>
      </c>
      <c r="M10" s="2240"/>
      <c r="N10" s="2254" t="s">
        <v>918</v>
      </c>
      <c r="O10" s="2254"/>
      <c r="P10" s="2254"/>
      <c r="Q10" s="2254"/>
      <c r="R10" s="2254"/>
      <c r="S10" s="2254"/>
      <c r="T10" s="2254"/>
      <c r="U10" s="2254"/>
      <c r="V10" s="2254"/>
      <c r="W10" s="2254"/>
      <c r="X10" s="2254"/>
      <c r="Y10" s="2254"/>
      <c r="Z10" s="2314"/>
      <c r="AA10" s="2315"/>
      <c r="AB10" s="2254"/>
      <c r="AC10" s="2254"/>
      <c r="AD10" s="2254"/>
      <c r="AE10" s="2254"/>
      <c r="AF10" s="2319"/>
      <c r="AG10" s="2254"/>
      <c r="AH10" s="2254"/>
      <c r="AI10" s="2319"/>
      <c r="AJ10" s="2254"/>
      <c r="AK10" s="2254"/>
      <c r="AL10" s="1367"/>
      <c r="AM10" s="1136"/>
      <c r="AN10" s="1136"/>
      <c r="AO10" s="1136"/>
      <c r="AP10" s="1136"/>
      <c r="AQ10" s="1136"/>
      <c r="AR10" s="1136"/>
      <c r="AS10" s="1136"/>
      <c r="AT10" s="1136"/>
      <c r="AU10" s="1136"/>
      <c r="AV10" s="1136"/>
      <c r="AW10" s="1136"/>
      <c r="AX10" s="1136"/>
      <c r="AY10" s="1136"/>
      <c r="AZ10" s="1136"/>
      <c r="BA10" s="1136"/>
      <c r="BB10" s="1136"/>
      <c r="BC10" s="1136"/>
      <c r="BD10" s="1136"/>
      <c r="BE10" s="1136"/>
      <c r="BF10" s="1136"/>
    </row>
    <row s="17021" customFormat="1" customHeight="1" ht="23.25">
      <c r="A11" s="1354"/>
      <c r="B11" s="1354"/>
      <c r="C11" s="1354"/>
      <c r="D11" s="1353"/>
      <c r="E11" s="1355"/>
      <c r="F11" s="2533"/>
      <c r="G11" s="2536"/>
      <c r="H11" s="2537"/>
      <c r="I11" s="2254"/>
      <c r="J11" s="2254"/>
      <c r="K11" s="2254"/>
      <c r="L11" s="2311" t="s">
        <v>919</v>
      </c>
      <c r="M11" s="2311" t="s">
        <v>920</v>
      </c>
      <c r="N11" s="2254" t="s">
        <v>921</v>
      </c>
      <c r="O11" s="2254"/>
      <c r="P11" s="2531" t="s">
        <v>902</v>
      </c>
      <c r="Q11" s="2531" t="s">
        <v>922</v>
      </c>
      <c r="R11" s="2531" t="s">
        <v>923</v>
      </c>
      <c r="S11" s="2531" t="s">
        <v>924</v>
      </c>
      <c r="T11" s="2531"/>
      <c r="U11" s="2531"/>
      <c r="V11" s="2531"/>
      <c r="W11" s="2531"/>
      <c r="X11" s="2531"/>
      <c r="Y11" s="2531"/>
      <c r="Z11" s="2314"/>
      <c r="AA11" s="2315"/>
      <c r="AB11" s="2254" t="s">
        <v>925</v>
      </c>
      <c r="AC11" s="2254"/>
      <c r="AD11" s="2238" t="s">
        <v>926</v>
      </c>
      <c r="AE11" s="2240"/>
      <c r="AF11" s="2319"/>
      <c r="AG11" s="2254"/>
      <c r="AH11" s="2254"/>
      <c r="AI11" s="2319"/>
      <c r="AJ11" s="2254"/>
      <c r="AK11" s="2254"/>
      <c r="AL11" s="1367"/>
      <c r="AM11" s="1352"/>
      <c r="AN11" s="1352"/>
      <c r="AO11" s="1352"/>
      <c r="AP11" s="1352"/>
      <c r="AQ11" s="1352"/>
      <c r="AR11" s="1352"/>
      <c r="AS11" s="1352"/>
      <c r="AT11" s="1352"/>
      <c r="AU11" s="1352"/>
      <c r="AV11" s="1352"/>
      <c r="AW11" s="1352"/>
      <c r="AX11" s="1352"/>
      <c r="AY11" s="1352"/>
      <c r="AZ11" s="1352"/>
      <c r="BA11" s="1352"/>
      <c r="BB11" s="1352"/>
      <c r="BC11" s="1352"/>
      <c r="BD11" s="1352"/>
      <c r="BE11" s="1352"/>
      <c r="BF11" s="1352"/>
    </row>
    <row customHeight="1" ht="33.75">
      <c r="A12" s="1128"/>
      <c r="B12" s="1128"/>
      <c r="C12" s="1128"/>
      <c r="E12" s="1131"/>
      <c r="F12" s="2533"/>
      <c r="G12" s="2538"/>
      <c r="H12" s="2539"/>
      <c r="I12" s="1378" t="s">
        <v>88</v>
      </c>
      <c r="J12" s="1378" t="s">
        <v>927</v>
      </c>
      <c r="K12" s="2254"/>
      <c r="L12" s="2372"/>
      <c r="M12" s="2372"/>
      <c r="N12" s="2254"/>
      <c r="O12" s="2254"/>
      <c r="P12" s="2531"/>
      <c r="Q12" s="2531"/>
      <c r="R12" s="2531"/>
      <c r="S12" s="1359" t="s">
        <v>85</v>
      </c>
      <c r="T12" s="1359" t="s">
        <v>86</v>
      </c>
      <c r="U12" s="1359" t="s">
        <v>84</v>
      </c>
      <c r="V12" s="1359" t="s">
        <v>928</v>
      </c>
      <c r="W12" s="1359" t="s">
        <v>84</v>
      </c>
      <c r="X12" s="1359" t="s">
        <v>929</v>
      </c>
      <c r="Y12" s="1359" t="s">
        <v>930</v>
      </c>
      <c r="Z12" s="2320"/>
      <c r="AA12" s="2321"/>
      <c r="AB12" s="1366" t="s">
        <v>931</v>
      </c>
      <c r="AC12" s="1366" t="s">
        <v>932</v>
      </c>
      <c r="AD12" s="1366" t="s">
        <v>931</v>
      </c>
      <c r="AE12" s="1366" t="s">
        <v>932</v>
      </c>
      <c r="AF12" s="2372"/>
      <c r="AG12" s="1379" t="s">
        <v>933</v>
      </c>
      <c r="AH12" s="1379" t="s">
        <v>934</v>
      </c>
      <c r="AI12" s="2372"/>
      <c r="AJ12" s="1379" t="s">
        <v>933</v>
      </c>
      <c r="AK12" s="1379" t="s">
        <v>934</v>
      </c>
      <c r="AL12" s="1367"/>
      <c r="AM12" s="1130"/>
      <c r="AN12" s="1130"/>
      <c r="AO12" s="1130"/>
      <c r="AP12" s="1130"/>
      <c r="AQ12" s="1130"/>
      <c r="AR12" s="1130"/>
      <c r="AS12" s="1130"/>
      <c r="AT12" s="1130"/>
      <c r="AU12" s="1130"/>
      <c r="AV12" s="1130"/>
      <c r="AW12" s="1130"/>
      <c r="AX12" s="1130"/>
      <c r="AY12" s="1130"/>
      <c r="AZ12" s="1130"/>
      <c r="BA12" s="1130"/>
      <c r="BB12" s="1130"/>
      <c r="BC12" s="1130"/>
      <c r="BD12" s="1130"/>
      <c r="BE12" s="1130"/>
      <c r="BF12" s="1130"/>
    </row>
    <row customHeight="1" ht="0.75">
      <c r="E13" s="1131"/>
      <c r="F13" s="1349">
        <v>0</v>
      </c>
      <c r="G13" s="1349"/>
      <c r="H13" s="1349"/>
      <c r="I13" s="1349"/>
      <c r="J13" s="1349"/>
      <c r="K13" s="1356"/>
      <c r="L13" s="1356"/>
      <c r="M13" s="1356"/>
      <c r="N13" s="1356"/>
      <c r="O13" s="1356"/>
      <c r="P13" s="1356"/>
      <c r="Q13" s="1356"/>
      <c r="R13" s="1356"/>
      <c r="S13" s="1356"/>
      <c r="T13" s="1356"/>
      <c r="U13" s="1356"/>
      <c r="V13" s="1356"/>
      <c r="W13" s="1356"/>
      <c r="X13" s="1356"/>
      <c r="Y13" s="1356"/>
      <c r="Z13" s="1356"/>
      <c r="AA13" s="1356"/>
      <c r="AB13" s="1356"/>
      <c r="AC13" s="1356"/>
      <c r="AD13" s="1356"/>
      <c r="AE13" s="1356"/>
      <c r="AF13" s="1356"/>
      <c r="AG13" s="1356"/>
      <c r="AH13" s="1374"/>
      <c r="AI13" s="1367"/>
      <c r="AJ13" s="1356"/>
      <c r="AK13" s="1356"/>
      <c r="AL13" s="1132"/>
      <c r="AM13" s="1130"/>
      <c r="AN13" s="1130"/>
      <c r="AO13" s="1130"/>
      <c r="AP13" s="1130"/>
      <c r="AQ13" s="1130"/>
      <c r="AR13" s="1130"/>
      <c r="AS13" s="1130"/>
      <c r="AT13" s="1130"/>
      <c r="AU13" s="1130"/>
      <c r="AV13" s="1130"/>
      <c r="AW13" s="1130"/>
      <c r="AX13" s="1130"/>
      <c r="AY13" s="1130"/>
      <c r="AZ13" s="1130"/>
      <c r="BA13" s="1130"/>
      <c r="BB13" s="1130"/>
      <c r="BC13" s="1130"/>
      <c r="BD13" s="1130"/>
      <c r="BE13" s="1130"/>
      <c r="BF13" s="1130"/>
    </row>
    <row customHeight="1" ht="10.5">
      <c r="E14" s="1130"/>
      <c r="F14" s="1141"/>
      <c r="G14" s="1141"/>
      <c r="H14" s="1398"/>
      <c r="I14" s="1141"/>
      <c r="J14" s="1141"/>
      <c r="K14" s="1141"/>
      <c r="L14" s="1356"/>
      <c r="M14" s="1356"/>
      <c r="N14" s="1141"/>
      <c r="O14" s="1141"/>
      <c r="P14" s="1141"/>
      <c r="Q14" s="1141"/>
      <c r="R14" s="1141"/>
      <c r="S14" s="1141"/>
      <c r="T14" s="1141"/>
      <c r="U14" s="1141"/>
      <c r="V14" s="1141"/>
      <c r="W14" s="1141"/>
      <c r="X14" s="1141"/>
      <c r="Y14" s="1141"/>
      <c r="Z14" s="1141"/>
      <c r="AA14" s="1141"/>
      <c r="AB14" s="1141"/>
      <c r="AC14" s="1141"/>
      <c r="AD14" s="1356"/>
      <c r="AE14" s="1141"/>
      <c r="AF14" s="1141"/>
      <c r="AG14" s="1141"/>
      <c r="AH14" s="1374"/>
      <c r="AI14" s="1367"/>
      <c r="AJ14" s="1141"/>
      <c r="AK14" s="1141"/>
      <c r="AL14" s="1130"/>
      <c r="AM14" s="1130"/>
      <c r="AN14" s="1130"/>
      <c r="AO14" s="1130"/>
      <c r="AP14" s="1130"/>
      <c r="AQ14" s="1130"/>
      <c r="AR14" s="1130"/>
      <c r="AS14" s="1130"/>
      <c r="AT14" s="1130"/>
      <c r="AU14" s="1130"/>
      <c r="AV14" s="1130"/>
      <c r="AW14" s="1130"/>
      <c r="AX14" s="1130"/>
      <c r="AY14" s="1130"/>
      <c r="AZ14" s="1130"/>
      <c r="BA14" s="1130"/>
      <c r="BB14" s="1130"/>
      <c r="BC14" s="1130"/>
      <c r="BD14" s="1130"/>
      <c r="BE14" s="1130"/>
      <c r="BF14" s="1130"/>
    </row>
    <row customHeight="1" ht="12.75">
      <c r="E15" s="1130"/>
      <c r="F15" s="1137" t="s">
        <v>935</v>
      </c>
      <c r="G15" s="1137"/>
      <c r="H15" s="1397"/>
      <c r="I15" s="1137"/>
      <c r="J15" s="1137"/>
      <c r="K15" s="1134"/>
      <c r="L15" s="1352"/>
      <c r="M15" s="1352"/>
      <c r="N15" s="1136"/>
      <c r="O15" s="1136"/>
      <c r="P15" s="1136"/>
      <c r="Q15" s="1136"/>
      <c r="R15" s="1136"/>
      <c r="S15" s="1136"/>
      <c r="T15" s="1136"/>
      <c r="U15" s="1136"/>
      <c r="V15" s="1136"/>
      <c r="W15" s="1136"/>
      <c r="X15" s="1136"/>
      <c r="Y15" s="1136"/>
      <c r="Z15" s="1134"/>
      <c r="AA15" s="1134"/>
      <c r="AB15" s="1134"/>
      <c r="AC15" s="1134"/>
      <c r="AD15" s="1352"/>
      <c r="AE15" s="1134"/>
      <c r="AF15" s="1134"/>
      <c r="AG15" s="1134"/>
      <c r="AH15" s="1371"/>
      <c r="AI15" s="1364"/>
      <c r="AJ15" s="1134"/>
      <c r="AK15" s="1134"/>
      <c r="AL15" s="1130"/>
      <c r="AM15" s="1130"/>
      <c r="AN15" s="1130"/>
      <c r="AO15" s="1130"/>
      <c r="AP15" s="1130"/>
      <c r="AQ15" s="1130"/>
      <c r="AR15" s="1130"/>
      <c r="AS15" s="1130"/>
      <c r="AT15" s="1130"/>
      <c r="AU15" s="1130"/>
      <c r="AV15" s="1130"/>
      <c r="AW15" s="1130"/>
      <c r="AX15" s="1130"/>
      <c r="AY15" s="1130"/>
      <c r="AZ15" s="1130"/>
      <c r="BA15" s="1130"/>
      <c r="BB15" s="1130"/>
      <c r="BC15" s="1130"/>
      <c r="BD15" s="1130"/>
      <c r="BE15" s="1130"/>
      <c r="BF15" s="1130"/>
    </row>
    <row r="17" customHeight="1" ht="10.5">
      <c r="E17" s="1130"/>
      <c r="F17" s="2532"/>
      <c r="G17" s="2532"/>
      <c r="H17" s="2532"/>
      <c r="I17" s="2532"/>
      <c r="J17" s="2532"/>
      <c r="K17" s="1134"/>
      <c r="L17" s="1352"/>
      <c r="M17" s="1352"/>
      <c r="N17" s="1136"/>
      <c r="O17" s="1136"/>
      <c r="P17" s="1136"/>
      <c r="Q17" s="1136"/>
      <c r="R17" s="1136"/>
      <c r="S17" s="1136"/>
      <c r="T17" s="1136"/>
      <c r="U17" s="1136"/>
      <c r="V17" s="1136"/>
      <c r="W17" s="1136"/>
      <c r="X17" s="1136"/>
      <c r="Y17" s="1136"/>
      <c r="Z17" s="1134"/>
      <c r="AA17" s="1134"/>
      <c r="AB17" s="1134"/>
      <c r="AC17" s="1134"/>
      <c r="AD17" s="1352"/>
      <c r="AE17" s="1134"/>
      <c r="AF17" s="1134"/>
      <c r="AG17" s="1134"/>
      <c r="AH17" s="1371"/>
      <c r="AI17" s="1364"/>
      <c r="AJ17" s="1134"/>
      <c r="AK17" s="1134"/>
      <c r="AL17" s="1130"/>
      <c r="AM17" s="1130"/>
      <c r="AN17" s="1130"/>
      <c r="AO17" s="1130"/>
      <c r="AP17" s="1130"/>
      <c r="AQ17" s="1130"/>
      <c r="AR17" s="1130"/>
      <c r="AS17" s="1130"/>
      <c r="AT17" s="1130"/>
      <c r="AU17" s="1130"/>
      <c r="AV17" s="1130"/>
      <c r="AW17" s="1130"/>
      <c r="AX17" s="1130"/>
      <c r="AY17" s="1130"/>
      <c r="AZ17" s="1130"/>
      <c r="BA17" s="1130"/>
      <c r="BB17" s="1130"/>
      <c r="BC17" s="1130"/>
      <c r="BD17" s="1130"/>
      <c r="BE17" s="1130"/>
      <c r="BF17" s="1130"/>
    </row>
    <row customHeight="1" ht="10.5">
      <c r="E18" s="1130"/>
      <c r="F18" s="2532"/>
      <c r="G18" s="2532"/>
      <c r="H18" s="2532"/>
      <c r="I18" s="2532"/>
      <c r="J18" s="2532"/>
      <c r="K18" s="1134"/>
      <c r="L18" s="1352"/>
      <c r="M18" s="1352"/>
      <c r="N18" s="1136"/>
      <c r="O18" s="1136"/>
      <c r="P18" s="1136"/>
      <c r="Q18" s="1136"/>
      <c r="R18" s="1136"/>
      <c r="S18" s="1136"/>
      <c r="T18" s="1136"/>
      <c r="U18" s="1136"/>
      <c r="V18" s="1136"/>
      <c r="W18" s="1136"/>
      <c r="X18" s="1136"/>
      <c r="Y18" s="1136"/>
      <c r="Z18" s="1134"/>
      <c r="AA18" s="1134"/>
      <c r="AB18" s="1134"/>
      <c r="AC18" s="1134"/>
      <c r="AD18" s="1352"/>
      <c r="AE18" s="1134"/>
      <c r="AF18" s="1134"/>
      <c r="AG18" s="1134"/>
      <c r="AH18" s="1371"/>
      <c r="AI18" s="1364"/>
      <c r="AJ18" s="1134"/>
      <c r="AK18" s="1134"/>
      <c r="AL18" s="1130"/>
      <c r="AM18" s="1130"/>
      <c r="AN18" s="1130"/>
      <c r="AO18" s="1130"/>
      <c r="AP18" s="1130"/>
      <c r="AQ18" s="1130"/>
      <c r="AR18" s="1130"/>
      <c r="AS18" s="1130"/>
      <c r="AT18" s="1130"/>
      <c r="AU18" s="1130"/>
      <c r="AV18" s="1130"/>
      <c r="AW18" s="1130"/>
      <c r="AX18" s="1130"/>
      <c r="AY18" s="1130"/>
      <c r="AZ18" s="1130"/>
      <c r="BA18" s="1130"/>
      <c r="BB18" s="1130"/>
      <c r="BC18" s="1130"/>
      <c r="BD18" s="1130"/>
      <c r="BE18" s="1130"/>
      <c r="BF18" s="1130"/>
    </row>
    <row customHeight="1" ht="10.5">
      <c r="E19" s="1130"/>
      <c r="F19" s="2532"/>
      <c r="G19" s="2532"/>
      <c r="H19" s="2532"/>
      <c r="I19" s="2532"/>
      <c r="J19" s="2532"/>
      <c r="K19" s="1134"/>
      <c r="L19" s="1352"/>
      <c r="M19" s="1352"/>
      <c r="N19" s="1136"/>
      <c r="O19" s="1136"/>
      <c r="P19" s="1136"/>
      <c r="Q19" s="1136"/>
      <c r="R19" s="1136"/>
      <c r="S19" s="1136"/>
      <c r="T19" s="1136"/>
      <c r="U19" s="1136"/>
      <c r="V19" s="1136"/>
      <c r="W19" s="1136"/>
      <c r="X19" s="1136"/>
      <c r="Y19" s="1136"/>
      <c r="Z19" s="1134"/>
      <c r="AA19" s="1134"/>
      <c r="AB19" s="1134"/>
      <c r="AC19" s="1134"/>
      <c r="AD19" s="1352"/>
      <c r="AE19" s="1134"/>
      <c r="AF19" s="1134"/>
      <c r="AG19" s="1134"/>
      <c r="AH19" s="1371"/>
      <c r="AI19" s="1364"/>
      <c r="AJ19" s="1134"/>
      <c r="AK19" s="1134"/>
      <c r="AL19" s="1130"/>
      <c r="AM19" s="1130"/>
      <c r="AN19" s="1130"/>
      <c r="AO19" s="1130"/>
      <c r="AP19" s="1130"/>
      <c r="AQ19" s="1130"/>
      <c r="AR19" s="1130"/>
      <c r="AS19" s="1130"/>
      <c r="AT19" s="1130"/>
      <c r="AU19" s="1130"/>
      <c r="AV19" s="1130"/>
      <c r="AW19" s="1130"/>
      <c r="AX19" s="1130"/>
      <c r="AY19" s="1130"/>
      <c r="AZ19" s="1130"/>
      <c r="BA19" s="1130"/>
      <c r="BB19" s="1130"/>
      <c r="BC19" s="1130"/>
      <c r="BD19" s="1130"/>
      <c r="BE19" s="1130"/>
      <c r="BF19" s="1130"/>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581CF-CF1C-B608-77CC-170007737B55}"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7074" width="4.140625" hidden="1" customWidth="1"/>
    <col min="4" max="4" style="13533" width="4.140625" hidden="1" customWidth="1"/>
    <col min="5" max="5" style="16777" width="3.7109375" customWidth="1"/>
    <col min="6" max="6" style="13619" width="6.28125" customWidth="1"/>
    <col min="7" max="7" style="13619" width="60.140625" customWidth="1"/>
    <col min="8" max="9" style="13619" width="21.7109375" hidden="1" customWidth="1"/>
    <col min="10" max="10" style="13619" width="0.140625" customWidth="1"/>
    <col min="11" max="11" style="13619" width="1.7109375" customWidth="1"/>
    <col min="12" max="22" style="13619" width="9.140625"/>
  </cols>
  <sheetData>
    <row s="13533" customFormat="1" customHeight="1" ht="10.5" hidden="1">
      <c r="A1" s="1391"/>
      <c r="B1" s="1391"/>
      <c r="C1" s="1391"/>
      <c r="E1" s="760"/>
    </row>
    <row customHeight="1" ht="10.5" hidden="1"/>
    <row s="17045" customFormat="1" customHeight="1" ht="10.5" hidden="1">
      <c r="A3" s="1391"/>
      <c r="B3" s="1391"/>
      <c r="C3" s="1391"/>
      <c r="D3" s="1385"/>
      <c r="E3" s="585"/>
    </row>
    <row customHeight="1" ht="3"/>
    <row customHeight="1" ht="25.5">
      <c r="F5" s="242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22"/>
      <c r="H5" s="2422"/>
      <c r="I5" s="2422"/>
      <c r="J5" s="2422"/>
    </row>
    <row customHeight="1" ht="10.5">
      <c r="F6" s="2336" t="str">
        <f>IF(org=0,"Не определено",org)</f>
        <v>ООО "Новая Энергетика"</v>
      </c>
      <c r="G6" s="2336"/>
      <c r="H6" s="2336"/>
      <c r="I6" s="2336"/>
      <c r="J6" s="2336"/>
    </row>
    <row customHeight="1" ht="11.25">
      <c r="E7" s="1395"/>
      <c r="F7" s="1454"/>
      <c r="G7" s="1454"/>
      <c r="H7" s="1454"/>
      <c r="I7" s="1454"/>
      <c r="J7" s="1454"/>
      <c r="K7" s="1382"/>
      <c r="L7" s="1382"/>
      <c r="M7" s="1382"/>
      <c r="N7" s="1382"/>
      <c r="O7" s="1382"/>
      <c r="P7" s="1382"/>
      <c r="Q7" s="1382"/>
      <c r="R7" s="1382"/>
      <c r="S7" s="1382"/>
      <c r="T7" s="1382"/>
      <c r="U7" s="1382"/>
      <c r="V7" s="1382"/>
    </row>
    <row s="13606" customFormat="1" customHeight="1" ht="5.25">
      <c r="A8" s="1392"/>
      <c r="B8" s="1392"/>
      <c r="C8" s="1392"/>
      <c r="E8" s="1455"/>
      <c r="F8" s="1456"/>
      <c r="G8" s="1456"/>
      <c r="H8" s="1456"/>
      <c r="I8" s="1456"/>
      <c r="J8" s="1456"/>
      <c r="K8" s="1455"/>
      <c r="L8" s="1455"/>
      <c r="M8" s="1455"/>
      <c r="N8" s="1455"/>
      <c r="O8" s="1455"/>
      <c r="P8" s="1455"/>
      <c r="Q8" s="1455"/>
      <c r="R8" s="1455"/>
      <c r="S8" s="1455"/>
      <c r="T8" s="1455"/>
      <c r="U8" s="1455"/>
      <c r="V8" s="1455"/>
    </row>
    <row customHeight="1" ht="10.5">
      <c r="E9" s="1395"/>
      <c r="F9" s="2543" t="s">
        <v>301</v>
      </c>
      <c r="G9" s="2544"/>
      <c r="H9" s="2544"/>
      <c r="I9" s="2544"/>
      <c r="J9" s="2544"/>
      <c r="K9" s="1467"/>
      <c r="L9" s="1382"/>
      <c r="M9" s="1382"/>
      <c r="N9" s="1382"/>
      <c r="O9" s="1382"/>
      <c r="P9" s="1382"/>
      <c r="Q9" s="1382"/>
      <c r="R9" s="1382"/>
      <c r="S9" s="1382"/>
      <c r="T9" s="1382"/>
      <c r="U9" s="1382"/>
      <c r="V9" s="1382"/>
    </row>
    <row customHeight="1" ht="24">
      <c r="E10" s="1382"/>
      <c r="F10" s="2547" t="s">
        <v>87</v>
      </c>
      <c r="G10" s="2552" t="s">
        <v>936</v>
      </c>
      <c r="H10" s="2550" t="s">
        <v>937</v>
      </c>
      <c r="I10" s="2550"/>
      <c r="J10" s="2550"/>
      <c r="K10" s="1460"/>
      <c r="L10" s="1382"/>
      <c r="M10" s="1382"/>
      <c r="N10" s="1382"/>
      <c r="O10" s="1382"/>
      <c r="P10" s="1382"/>
      <c r="Q10" s="1382"/>
      <c r="R10" s="1382"/>
      <c r="S10" s="1382"/>
      <c r="T10" s="1382"/>
      <c r="U10" s="1382"/>
      <c r="V10" s="1382"/>
    </row>
    <row customHeight="1" ht="24">
      <c r="E11" s="1382"/>
      <c r="F11" s="2548"/>
      <c r="G11" s="2552"/>
      <c r="H11" s="2551">
        <f>INDEX(IP_MAIN_LIST_NAME_IP,MATCH(H8,IP_MAIN_LIST_IP_ID,0))&amp;" ("&amp;INDEX(IP_MAIN_START_DATE,MATCH(H8,IP_MAIN_LIST_IP_ID,0))&amp;"-"&amp;INDEX(IP_MAIN_END_DATE,MATCH(H8,IP_MAIN_LIST_IP_ID,0))&amp;")"</f>
      </c>
      <c r="I11" s="2551"/>
      <c r="J11" s="2551"/>
      <c r="K11" s="1460"/>
      <c r="L11" s="1382"/>
      <c r="M11" s="1382"/>
      <c r="N11" s="1382"/>
      <c r="O11" s="1382"/>
      <c r="P11" s="1382"/>
      <c r="Q11" s="1382"/>
      <c r="R11" s="1382"/>
      <c r="S11" s="1382"/>
      <c r="T11" s="1382"/>
      <c r="U11" s="1382"/>
      <c r="V11" s="1382"/>
    </row>
    <row customHeight="1" ht="10.5">
      <c r="F12" s="2549"/>
      <c r="G12" s="2552"/>
      <c r="H12" s="1453" t="s">
        <v>938</v>
      </c>
      <c r="I12" s="1459"/>
      <c r="J12" s="1453"/>
      <c r="K12" s="1461"/>
    </row>
    <row customHeight="1" ht="10.5" hidden="1">
      <c r="F13" s="1453">
        <v>1</v>
      </c>
      <c r="G13" s="1453">
        <v>2</v>
      </c>
      <c r="H13" s="1453">
        <v>3</v>
      </c>
      <c r="I13" s="1453">
        <v>4</v>
      </c>
      <c r="J13" s="1453">
        <v>5</v>
      </c>
      <c r="K13" s="1461"/>
    </row>
    <row customHeight="1" ht="11.25">
      <c r="F14" s="1452" t="s">
        <v>939</v>
      </c>
      <c r="G14" s="2545" t="s">
        <v>940</v>
      </c>
      <c r="H14" s="2545"/>
      <c r="I14" s="2545"/>
      <c r="J14" s="2545"/>
      <c r="K14" s="1461"/>
    </row>
    <row customHeight="1" ht="11.25">
      <c r="F15" s="1457">
        <v>1</v>
      </c>
      <c r="G15" s="913" t="s">
        <v>941</v>
      </c>
      <c r="H15" s="1463">
        <f>SUM(I15:J15)</f>
        <v>0</v>
      </c>
      <c r="I15" s="1463">
        <f>SUM(I16:I27)</f>
        <v>0</v>
      </c>
      <c r="J15" s="1452"/>
      <c r="K15" s="1461"/>
    </row>
    <row customHeight="1" ht="22.5">
      <c r="F16" s="1457" t="s">
        <v>942</v>
      </c>
      <c r="G16" s="1464" t="s">
        <v>943</v>
      </c>
      <c r="H16" s="1463">
        <f>SUM(I16:J16)</f>
        <v>0</v>
      </c>
      <c r="I16" s="1462"/>
      <c r="J16" s="1452"/>
      <c r="K16" s="1461"/>
    </row>
    <row customHeight="1" ht="22.5">
      <c r="F17" s="1457" t="s">
        <v>944</v>
      </c>
      <c r="G17" s="1464" t="s">
        <v>945</v>
      </c>
      <c r="H17" s="1463">
        <f>SUM(I17:J17)</f>
        <v>0</v>
      </c>
      <c r="I17" s="1462"/>
      <c r="J17" s="1452"/>
      <c r="K17" s="1461"/>
    </row>
    <row customHeight="1" ht="33.75">
      <c r="F18" s="1457" t="s">
        <v>946</v>
      </c>
      <c r="G18" s="1464" t="s">
        <v>947</v>
      </c>
      <c r="H18" s="1463">
        <f>SUM(I18:J18)</f>
        <v>0</v>
      </c>
      <c r="I18" s="1462"/>
      <c r="J18" s="1452"/>
      <c r="K18" s="1461"/>
    </row>
    <row customHeight="1" ht="33.75">
      <c r="F19" s="1457" t="s">
        <v>948</v>
      </c>
      <c r="G19" s="1464" t="s">
        <v>949</v>
      </c>
      <c r="H19" s="1463">
        <f>SUM(I19:J19)</f>
        <v>0</v>
      </c>
      <c r="I19" s="1462"/>
      <c r="J19" s="1452"/>
      <c r="K19" s="1461"/>
    </row>
    <row customHeight="1" ht="45">
      <c r="F20" s="1457" t="s">
        <v>950</v>
      </c>
      <c r="G20" s="1464" t="s">
        <v>951</v>
      </c>
      <c r="H20" s="1463">
        <f>SUM(I20:J20)</f>
        <v>0</v>
      </c>
      <c r="I20" s="1462"/>
      <c r="J20" s="1452"/>
      <c r="K20" s="1461"/>
    </row>
    <row customHeight="1" ht="33.75">
      <c r="F21" s="1457" t="s">
        <v>952</v>
      </c>
      <c r="G21" s="1464" t="s">
        <v>953</v>
      </c>
      <c r="H21" s="1463">
        <f>SUM(I21:J21)</f>
        <v>0</v>
      </c>
      <c r="I21" s="1462"/>
      <c r="J21" s="1452"/>
      <c r="K21" s="1461"/>
    </row>
    <row customHeight="1" ht="33.75">
      <c r="F22" s="1457" t="s">
        <v>954</v>
      </c>
      <c r="G22" s="1464" t="s">
        <v>955</v>
      </c>
      <c r="H22" s="1463">
        <f>SUM(I22:J22)</f>
        <v>0</v>
      </c>
      <c r="I22" s="1462"/>
      <c r="J22" s="1452"/>
      <c r="K22" s="1461"/>
    </row>
    <row customHeight="1" ht="22.5">
      <c r="F23" s="1457" t="s">
        <v>956</v>
      </c>
      <c r="G23" s="1464" t="s">
        <v>957</v>
      </c>
      <c r="H23" s="1463">
        <f>SUM(I23:J23)</f>
        <v>0</v>
      </c>
      <c r="I23" s="1462"/>
      <c r="J23" s="1452"/>
      <c r="K23" s="1461"/>
    </row>
    <row customHeight="1" ht="22.5">
      <c r="F24" s="1457" t="s">
        <v>958</v>
      </c>
      <c r="G24" s="1464" t="s">
        <v>959</v>
      </c>
      <c r="H24" s="1463">
        <f>SUM(I24:J24)</f>
        <v>0</v>
      </c>
      <c r="I24" s="1462"/>
      <c r="J24" s="1452"/>
      <c r="K24" s="1461"/>
    </row>
    <row customHeight="1" ht="33.75">
      <c r="F25" s="1457" t="s">
        <v>960</v>
      </c>
      <c r="G25" s="1464" t="s">
        <v>961</v>
      </c>
      <c r="H25" s="1463">
        <f>SUM(I25:J25)</f>
        <v>0</v>
      </c>
      <c r="I25" s="1462"/>
      <c r="J25" s="1452"/>
      <c r="K25" s="1461"/>
    </row>
    <row customHeight="1" ht="33.75">
      <c r="F26" s="1457" t="s">
        <v>962</v>
      </c>
      <c r="G26" s="1464" t="s">
        <v>963</v>
      </c>
      <c r="H26" s="1463">
        <f>SUM(I26:J26)</f>
        <v>0</v>
      </c>
      <c r="I26" s="1462"/>
      <c r="J26" s="1452"/>
      <c r="K26" s="1461"/>
    </row>
    <row customHeight="1" ht="11.25">
      <c r="F27" s="1457" t="s">
        <v>964</v>
      </c>
      <c r="G27" s="1464" t="s">
        <v>965</v>
      </c>
      <c r="H27" s="1463">
        <f>SUM(I27:J27)</f>
        <v>0</v>
      </c>
      <c r="I27" s="1462"/>
      <c r="J27" s="1452"/>
      <c r="K27" s="1461"/>
    </row>
    <row customHeight="1" ht="11.25">
      <c r="F28" s="1457">
        <v>2</v>
      </c>
      <c r="G28" s="913" t="s">
        <v>966</v>
      </c>
      <c r="H28" s="1463">
        <f>SUM(I28:J28)</f>
        <v>0</v>
      </c>
      <c r="I28" s="1463">
        <f>SUM(I29:I31)</f>
        <v>0</v>
      </c>
      <c r="J28" s="1452"/>
      <c r="K28" s="1461"/>
    </row>
    <row customHeight="1" ht="11.25">
      <c r="F29" s="1457" t="s">
        <v>625</v>
      </c>
      <c r="G29" s="1464" t="s">
        <v>967</v>
      </c>
      <c r="H29" s="1463">
        <f>SUM(I29:J29)</f>
        <v>0</v>
      </c>
      <c r="I29" s="1462"/>
      <c r="J29" s="1452"/>
      <c r="K29" s="1461"/>
    </row>
    <row customHeight="1" ht="11.25">
      <c r="F30" s="1457" t="s">
        <v>308</v>
      </c>
      <c r="G30" s="1464" t="s">
        <v>968</v>
      </c>
      <c r="H30" s="1463">
        <f>SUM(I30:J30)</f>
        <v>0</v>
      </c>
      <c r="I30" s="1462"/>
      <c r="J30" s="1452"/>
      <c r="K30" s="1461"/>
    </row>
    <row customHeight="1" ht="11.25">
      <c r="F31" s="1457" t="s">
        <v>311</v>
      </c>
      <c r="G31" s="1464" t="s">
        <v>969</v>
      </c>
      <c r="H31" s="1463">
        <f>SUM(I31:J31)</f>
        <v>0</v>
      </c>
      <c r="I31" s="1462"/>
      <c r="J31" s="1452"/>
      <c r="K31" s="1461"/>
    </row>
    <row customHeight="1" ht="11.25">
      <c r="F32" s="1457">
        <v>3</v>
      </c>
      <c r="G32" s="913" t="s">
        <v>970</v>
      </c>
      <c r="H32" s="1463">
        <f>SUM(I32:J32)</f>
        <v>0</v>
      </c>
      <c r="I32" s="1463">
        <f>SUM(I33:I34)</f>
        <v>0</v>
      </c>
      <c r="J32" s="1452"/>
      <c r="K32" s="1461"/>
    </row>
    <row customHeight="1" ht="33.75">
      <c r="F33" s="1457" t="s">
        <v>325</v>
      </c>
      <c r="G33" s="1464" t="s">
        <v>971</v>
      </c>
      <c r="H33" s="1463">
        <f>SUM(I33:J33)</f>
        <v>0</v>
      </c>
      <c r="I33" s="1462"/>
      <c r="J33" s="1452"/>
      <c r="K33" s="1461"/>
    </row>
    <row customHeight="1" ht="11.25">
      <c r="F34" s="1457" t="s">
        <v>333</v>
      </c>
      <c r="G34" s="1464" t="s">
        <v>972</v>
      </c>
      <c r="H34" s="1463">
        <f>SUM(I34:J34)</f>
        <v>0</v>
      </c>
      <c r="I34" s="1462"/>
      <c r="J34" s="1452"/>
      <c r="K34" s="1461"/>
    </row>
    <row customHeight="1" ht="11.25">
      <c r="F35" s="1457">
        <v>4</v>
      </c>
      <c r="G35" s="913" t="s">
        <v>973</v>
      </c>
      <c r="H35" s="1463">
        <f>SUM(I35:J35)</f>
        <v>0</v>
      </c>
      <c r="I35" s="1462"/>
      <c r="J35" s="1452"/>
      <c r="K35" s="1461"/>
    </row>
    <row customHeight="1" ht="11.25">
      <c r="F36" s="1457"/>
      <c r="G36" s="916" t="s">
        <v>974</v>
      </c>
      <c r="H36" s="1463">
        <f>SUM(I36:J36)</f>
        <v>0</v>
      </c>
      <c r="I36" s="1463">
        <f>SUM(I15,I28,I32,I35)</f>
        <v>0</v>
      </c>
      <c r="J36" s="1452"/>
      <c r="K36" s="1461"/>
    </row>
    <row customHeight="1" ht="27.75">
      <c r="F37" s="1458" t="s">
        <v>975</v>
      </c>
      <c r="G37" s="2546" t="s">
        <v>976</v>
      </c>
      <c r="H37" s="2546"/>
      <c r="I37" s="2546"/>
      <c r="J37" s="2546"/>
      <c r="K37" s="1461"/>
    </row>
    <row customHeight="1" ht="22.5">
      <c r="F38" s="1457" t="s">
        <v>108</v>
      </c>
      <c r="G38" s="913" t="s">
        <v>977</v>
      </c>
      <c r="H38" s="1463">
        <f>SUM(I38:J38)</f>
        <v>0</v>
      </c>
      <c r="I38" s="1463">
        <f>SUM(I39,I44,I47)</f>
        <v>0</v>
      </c>
      <c r="J38" s="1452"/>
      <c r="K38" s="1461"/>
    </row>
    <row customHeight="1" ht="11.25">
      <c r="F39" s="1457" t="s">
        <v>942</v>
      </c>
      <c r="G39" s="1464" t="s">
        <v>941</v>
      </c>
      <c r="H39" s="1463">
        <f>SUM(I39:J39)</f>
        <v>0</v>
      </c>
      <c r="I39" s="1463">
        <f>SUM(I40:I43)</f>
        <v>0</v>
      </c>
      <c r="J39" s="1452"/>
      <c r="K39" s="1461"/>
    </row>
    <row customHeight="1" ht="22.5">
      <c r="F40" s="1457" t="s">
        <v>978</v>
      </c>
      <c r="G40" s="1465" t="s">
        <v>979</v>
      </c>
      <c r="H40" s="1463">
        <f>SUM(I40:J40)</f>
        <v>0</v>
      </c>
      <c r="I40" s="1462"/>
      <c r="J40" s="1452"/>
      <c r="K40" s="1461"/>
    </row>
    <row customHeight="1" ht="11.25">
      <c r="F41" s="1457" t="s">
        <v>980</v>
      </c>
      <c r="G41" s="1465" t="s">
        <v>981</v>
      </c>
      <c r="H41" s="1463">
        <f>SUM(I41:J41)</f>
        <v>0</v>
      </c>
      <c r="I41" s="1462"/>
      <c r="J41" s="1452"/>
      <c r="K41" s="1461"/>
    </row>
    <row customHeight="1" ht="11.25">
      <c r="F42" s="1457" t="s">
        <v>982</v>
      </c>
      <c r="G42" s="1465" t="s">
        <v>983</v>
      </c>
      <c r="H42" s="1463">
        <f>SUM(I42:J42)</f>
        <v>0</v>
      </c>
      <c r="I42" s="1462"/>
      <c r="J42" s="1452"/>
      <c r="K42" s="1461"/>
    </row>
    <row customHeight="1" ht="33.75">
      <c r="F43" s="1457" t="s">
        <v>984</v>
      </c>
      <c r="G43" s="1465" t="s">
        <v>985</v>
      </c>
      <c r="H43" s="1463">
        <f>SUM(I43:J43)</f>
        <v>0</v>
      </c>
      <c r="I43" s="1462"/>
      <c r="J43" s="1452"/>
      <c r="K43" s="1461"/>
    </row>
    <row customHeight="1" ht="11.25">
      <c r="F44" s="1457" t="s">
        <v>944</v>
      </c>
      <c r="G44" s="1464" t="s">
        <v>970</v>
      </c>
      <c r="H44" s="1463">
        <f>SUM(I44:J44)</f>
        <v>0</v>
      </c>
      <c r="I44" s="1463">
        <f>SUM(I45:I46)</f>
        <v>0</v>
      </c>
      <c r="J44" s="1452"/>
      <c r="K44" s="1461"/>
    </row>
    <row customHeight="1" ht="45">
      <c r="F45" s="1457" t="s">
        <v>986</v>
      </c>
      <c r="G45" s="1465" t="s">
        <v>971</v>
      </c>
      <c r="H45" s="1463">
        <f>SUM(I45:J45)</f>
        <v>0</v>
      </c>
      <c r="I45" s="1462"/>
      <c r="J45" s="1452"/>
      <c r="K45" s="1461"/>
    </row>
    <row customHeight="1" ht="11.25">
      <c r="F46" s="1457" t="s">
        <v>987</v>
      </c>
      <c r="G46" s="1465" t="s">
        <v>972</v>
      </c>
      <c r="H46" s="1463">
        <f>SUM(I46:J46)</f>
        <v>0</v>
      </c>
      <c r="I46" s="1462"/>
      <c r="J46" s="1452"/>
      <c r="K46" s="1461"/>
    </row>
    <row customHeight="1" ht="11.25">
      <c r="F47" s="1457" t="s">
        <v>946</v>
      </c>
      <c r="G47" s="1464" t="s">
        <v>988</v>
      </c>
      <c r="H47" s="1463">
        <f>SUM(I47:J47)</f>
        <v>0</v>
      </c>
      <c r="I47" s="1462"/>
      <c r="J47" s="1452"/>
      <c r="K47" s="1461"/>
    </row>
    <row customHeight="1" ht="22.5">
      <c r="F48" s="1457" t="s">
        <v>109</v>
      </c>
      <c r="G48" s="913" t="s">
        <v>989</v>
      </c>
      <c r="H48" s="1463">
        <f>SUM(I48:J48)</f>
        <v>0</v>
      </c>
      <c r="I48" s="1463">
        <f>SUM(I49,I54,I57)</f>
        <v>0</v>
      </c>
      <c r="J48" s="1452"/>
      <c r="K48" s="1461"/>
    </row>
    <row customHeight="1" ht="11.25">
      <c r="F49" s="1457" t="s">
        <v>625</v>
      </c>
      <c r="G49" s="1464" t="s">
        <v>941</v>
      </c>
      <c r="H49" s="1463">
        <f>SUM(I49:J49)</f>
        <v>0</v>
      </c>
      <c r="I49" s="1463">
        <f>SUM(I50:I53)</f>
        <v>0</v>
      </c>
      <c r="J49" s="1452"/>
      <c r="K49" s="1461"/>
    </row>
    <row customHeight="1" ht="22.5">
      <c r="F50" s="1457" t="s">
        <v>628</v>
      </c>
      <c r="G50" s="1465" t="s">
        <v>979</v>
      </c>
      <c r="H50" s="1463">
        <f>SUM(I50:J50)</f>
        <v>0</v>
      </c>
      <c r="I50" s="1462"/>
      <c r="J50" s="1452"/>
      <c r="K50" s="1461"/>
    </row>
    <row customHeight="1" ht="11.25">
      <c r="F51" s="1457" t="s">
        <v>631</v>
      </c>
      <c r="G51" s="1465" t="s">
        <v>981</v>
      </c>
      <c r="H51" s="1463">
        <f>SUM(I51:J51)</f>
        <v>0</v>
      </c>
      <c r="I51" s="1462"/>
      <c r="J51" s="1452"/>
      <c r="K51" s="1461"/>
    </row>
    <row customHeight="1" ht="11.25">
      <c r="F52" s="1457" t="s">
        <v>990</v>
      </c>
      <c r="G52" s="1465" t="s">
        <v>983</v>
      </c>
      <c r="H52" s="1463">
        <f>SUM(I52:J52)</f>
        <v>0</v>
      </c>
      <c r="I52" s="1462"/>
      <c r="J52" s="1452"/>
      <c r="K52" s="1461"/>
    </row>
    <row customHeight="1" ht="33.75">
      <c r="F53" s="1457" t="s">
        <v>991</v>
      </c>
      <c r="G53" s="1465" t="s">
        <v>985</v>
      </c>
      <c r="H53" s="1463">
        <f>SUM(I53:J53)</f>
        <v>0</v>
      </c>
      <c r="I53" s="1462"/>
      <c r="J53" s="1452"/>
      <c r="K53" s="1461"/>
    </row>
    <row customHeight="1" ht="11.25">
      <c r="F54" s="1457" t="s">
        <v>308</v>
      </c>
      <c r="G54" s="1464" t="s">
        <v>970</v>
      </c>
      <c r="H54" s="1463">
        <f>SUM(I54:J54)</f>
        <v>0</v>
      </c>
      <c r="I54" s="1463">
        <f>SUM(I55:I56)</f>
        <v>0</v>
      </c>
      <c r="J54" s="1452"/>
      <c r="K54" s="1461"/>
    </row>
    <row customHeight="1" ht="45">
      <c r="F55" s="1457" t="s">
        <v>635</v>
      </c>
      <c r="G55" s="1465" t="s">
        <v>971</v>
      </c>
      <c r="H55" s="1463">
        <f>SUM(I55:J55)</f>
        <v>0</v>
      </c>
      <c r="I55" s="1462"/>
      <c r="J55" s="1452"/>
      <c r="K55" s="1461"/>
    </row>
    <row customHeight="1" ht="11.25">
      <c r="F56" s="1457" t="s">
        <v>637</v>
      </c>
      <c r="G56" s="1465" t="s">
        <v>972</v>
      </c>
      <c r="H56" s="1463">
        <f>SUM(I56:J56)</f>
        <v>0</v>
      </c>
      <c r="I56" s="1462"/>
      <c r="J56" s="1452"/>
      <c r="K56" s="1461"/>
    </row>
    <row customHeight="1" ht="11.25">
      <c r="F57" s="1457" t="s">
        <v>311</v>
      </c>
      <c r="G57" s="1464" t="s">
        <v>988</v>
      </c>
      <c r="H57" s="1463">
        <f>SUM(I57:J57)</f>
        <v>0</v>
      </c>
      <c r="I57" s="1462"/>
      <c r="J57" s="1452"/>
      <c r="K57" s="1461"/>
    </row>
    <row customHeight="1" ht="11.25">
      <c r="F58" s="1457"/>
      <c r="G58" s="1466" t="s">
        <v>974</v>
      </c>
      <c r="H58" s="1463">
        <f>SUM(I58:J58)</f>
        <v>0</v>
      </c>
      <c r="I58" s="1463">
        <f>SUM(I38,I48)</f>
        <v>0</v>
      </c>
      <c r="J58" s="1452"/>
      <c r="K58" s="146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3244A-FB36-84BE-2E53-8759532823F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7149" width="4.7109375" hidden="1" customWidth="1"/>
    <col min="2" max="2" style="17150" width="4.7109375" hidden="1" customWidth="1"/>
    <col min="3" max="4" style="17149" width="4.7109375" hidden="1" customWidth="1"/>
    <col min="5" max="5" style="17149" width="3.57421875" customWidth="1"/>
    <col min="6" max="6" style="17149" width="6.7109375" customWidth="1"/>
    <col min="7" max="7" style="17149" width="18.7109375" customWidth="1"/>
    <col min="8" max="8" style="17149" width="27.28125" customWidth="1"/>
    <col min="9" max="9" style="17149" width="18.7109375" customWidth="1"/>
    <col min="10" max="14" style="17149" width="0.8515625" hidden="1" customWidth="1"/>
    <col min="15" max="28" style="17149" width="21.7109375" hidden="1" customWidth="1"/>
    <col min="29" max="71" style="17149" width="0.8515625" hidden="1" customWidth="1"/>
    <col min="72" max="79" style="17149" width="21.7109375" customWidth="1"/>
    <col min="80" max="81" style="17149" width="29.140625" customWidth="1"/>
    <col min="82" max="89" style="17149" width="21.7109375" customWidth="1"/>
    <col min="90" max="102" style="17149" width="0.7109375" customWidth="1"/>
    <col min="103" max="114" style="17149" width="21.7109375" hidden="1" customWidth="1"/>
    <col min="115" max="178" style="17149" width="0.7109375" hidden="1" customWidth="1"/>
    <col min="179" max="179" style="17149" width="0.140625" customWidth="1"/>
    <col min="180" max="184" style="17149" width="9.140625"/>
  </cols>
  <sheetData>
    <row s="17075" customFormat="1" customHeight="1" ht="12" hidden="1">
      <c r="B1" s="1146"/>
      <c r="C1" s="1147"/>
      <c r="D1" s="1147"/>
    </row>
    <row s="17075" customFormat="1" customHeight="1" ht="12" hidden="1">
      <c r="B2" s="1146"/>
      <c r="C2" s="1147"/>
      <c r="D2" s="1147"/>
      <c r="E2" s="1147"/>
      <c r="F2" s="1147"/>
      <c r="G2" s="1147"/>
      <c r="H2" s="1147"/>
      <c r="I2" s="1147"/>
      <c r="J2" s="1147"/>
      <c r="K2" s="1147"/>
      <c r="L2" s="1147"/>
      <c r="M2" s="1147"/>
      <c r="N2" s="1147"/>
      <c r="O2" s="1147"/>
      <c r="P2" s="1147"/>
      <c r="Q2" s="1147"/>
      <c r="R2" s="1147"/>
      <c r="S2" s="1147"/>
      <c r="T2" s="1147"/>
      <c r="U2" s="1147"/>
      <c r="V2" s="1147"/>
      <c r="W2" s="1147"/>
      <c r="X2" s="1147"/>
      <c r="Y2" s="1147"/>
      <c r="Z2" s="1147"/>
      <c r="AA2" s="1147"/>
      <c r="AB2" s="1148"/>
      <c r="AC2" s="1147"/>
      <c r="AD2" s="1147"/>
      <c r="AE2" s="1147"/>
      <c r="AF2" s="1147"/>
      <c r="AG2" s="1147"/>
      <c r="AH2" s="1147"/>
      <c r="AI2" s="1147"/>
      <c r="AJ2" s="1147"/>
      <c r="AK2" s="1147"/>
      <c r="AL2" s="1147"/>
      <c r="AM2" s="1147"/>
      <c r="AN2" s="1147"/>
      <c r="AO2" s="1147"/>
      <c r="AP2" s="1147"/>
      <c r="AQ2" s="1147"/>
      <c r="AR2" s="1147"/>
      <c r="AS2" s="1147"/>
      <c r="AT2" s="1147"/>
      <c r="AU2" s="1147"/>
      <c r="AV2" s="1147"/>
      <c r="AW2" s="1147"/>
      <c r="AX2" s="1147"/>
      <c r="AY2" s="1147"/>
      <c r="AZ2" s="1147"/>
      <c r="BA2" s="1147"/>
      <c r="BB2" s="1147"/>
      <c r="BC2" s="1147"/>
      <c r="BD2" s="1147"/>
      <c r="BE2" s="1147"/>
      <c r="BF2" s="1147"/>
      <c r="BG2" s="1147"/>
      <c r="BH2" s="1147"/>
      <c r="BI2" s="1147"/>
      <c r="BJ2" s="1147"/>
      <c r="BK2" s="1147"/>
      <c r="BL2" s="1147"/>
      <c r="BM2" s="1147"/>
      <c r="BN2" s="1147"/>
      <c r="BO2" s="1147"/>
      <c r="BP2" s="1147"/>
      <c r="BQ2" s="1147"/>
      <c r="BR2" s="1147"/>
      <c r="BS2" s="1147"/>
      <c r="BT2" s="1147"/>
      <c r="BU2" s="1147"/>
      <c r="BV2" s="1147"/>
      <c r="BW2" s="1147"/>
      <c r="BX2" s="1147"/>
      <c r="BY2" s="1147"/>
      <c r="BZ2" s="1147"/>
      <c r="CA2" s="1147"/>
      <c r="CB2" s="1147"/>
      <c r="CC2" s="1147"/>
      <c r="CD2" s="1147"/>
      <c r="CE2" s="1147"/>
      <c r="CF2" s="1147"/>
      <c r="CG2" s="1147"/>
      <c r="CH2" s="1147"/>
      <c r="CI2" s="1147"/>
      <c r="CJ2" s="1147"/>
      <c r="CK2" s="1147"/>
      <c r="CL2" s="1147"/>
      <c r="CM2" s="1147"/>
      <c r="CN2" s="1147"/>
      <c r="CO2" s="1147"/>
      <c r="CP2" s="1147"/>
      <c r="CQ2" s="1147"/>
      <c r="CR2" s="1147"/>
      <c r="CS2" s="1147"/>
      <c r="CT2" s="1147"/>
      <c r="CU2" s="1147"/>
      <c r="CV2" s="1147"/>
      <c r="CW2" s="1147"/>
      <c r="CX2" s="1147"/>
      <c r="CY2" s="1147"/>
      <c r="CZ2" s="1147"/>
      <c r="DA2" s="1147"/>
      <c r="DB2" s="1147"/>
      <c r="DC2" s="1147"/>
      <c r="DD2" s="1147"/>
      <c r="DE2" s="1147"/>
      <c r="DF2" s="1147"/>
      <c r="DG2" s="1147"/>
      <c r="DH2" s="1147"/>
      <c r="DI2" s="1147"/>
      <c r="DJ2" s="1147"/>
      <c r="DK2" s="1147"/>
      <c r="DL2" s="1147"/>
      <c r="DM2" s="1147"/>
      <c r="DN2" s="1147"/>
      <c r="DO2" s="1147"/>
      <c r="DP2" s="1147"/>
      <c r="DQ2" s="1147"/>
      <c r="DR2" s="1147"/>
      <c r="DS2" s="1147"/>
      <c r="DT2" s="1147"/>
      <c r="DU2" s="1147"/>
      <c r="DV2" s="1147"/>
      <c r="DW2" s="1147"/>
      <c r="DX2" s="1147"/>
      <c r="DY2" s="1147"/>
      <c r="DZ2" s="1147"/>
      <c r="EA2" s="1147"/>
      <c r="EB2" s="1147"/>
      <c r="EC2" s="1147"/>
      <c r="ED2" s="1147"/>
      <c r="EE2" s="1147"/>
      <c r="EF2" s="1147"/>
      <c r="EG2" s="1147"/>
      <c r="EH2" s="1147"/>
      <c r="EI2" s="1147"/>
      <c r="EJ2" s="1147"/>
      <c r="EK2" s="1147"/>
      <c r="EL2" s="1147"/>
      <c r="EM2" s="1147"/>
      <c r="EN2" s="1147"/>
      <c r="EO2" s="1147"/>
      <c r="EP2" s="1147"/>
      <c r="EQ2" s="1147"/>
      <c r="ER2" s="1147"/>
      <c r="ES2" s="1147"/>
      <c r="ET2" s="1147"/>
      <c r="EU2" s="1147"/>
      <c r="EV2" s="1147"/>
      <c r="EW2" s="1147"/>
      <c r="EX2" s="1147"/>
      <c r="EY2" s="1147"/>
      <c r="EZ2" s="1147"/>
      <c r="FA2" s="1147"/>
      <c r="FB2" s="1147"/>
      <c r="FC2" s="1147"/>
      <c r="FD2" s="1147"/>
      <c r="FE2" s="1147"/>
      <c r="FF2" s="1147"/>
      <c r="FG2" s="1147"/>
      <c r="FH2" s="1147"/>
      <c r="FI2" s="1147"/>
      <c r="FJ2" s="1147"/>
      <c r="FK2" s="1147"/>
      <c r="FL2" s="1147"/>
      <c r="FM2" s="1147"/>
      <c r="FN2" s="1147"/>
      <c r="FO2" s="1147"/>
      <c r="FP2" s="1147"/>
      <c r="FQ2" s="1147"/>
      <c r="FR2" s="1147"/>
      <c r="FS2" s="1147"/>
      <c r="FT2" s="1147"/>
      <c r="FU2" s="1147"/>
      <c r="FV2" s="1147"/>
      <c r="FW2" s="1147"/>
    </row>
    <row s="17075" customFormat="1" customHeight="1" ht="12" hidden="1">
      <c r="B3" s="1146"/>
      <c r="C3" s="1147"/>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8"/>
      <c r="AC3" s="1147"/>
      <c r="AD3" s="1147"/>
      <c r="AE3" s="1147"/>
      <c r="AF3" s="1147"/>
      <c r="AG3" s="1147"/>
      <c r="AH3" s="1147"/>
      <c r="AI3" s="1147"/>
      <c r="AJ3" s="1147"/>
      <c r="AK3" s="1147"/>
      <c r="AL3" s="1147"/>
      <c r="AM3" s="1147"/>
      <c r="AN3" s="1147"/>
      <c r="AO3" s="1147"/>
      <c r="AP3" s="1147"/>
      <c r="AQ3" s="1147"/>
      <c r="AR3" s="1147"/>
      <c r="AS3" s="1147"/>
      <c r="AT3" s="1147"/>
      <c r="AU3" s="1147"/>
      <c r="AV3" s="1147"/>
      <c r="AW3" s="1147"/>
      <c r="AX3" s="1147"/>
      <c r="AY3" s="1147"/>
      <c r="AZ3" s="1147"/>
      <c r="BA3" s="1147"/>
      <c r="BB3" s="1147"/>
      <c r="BC3" s="1147"/>
      <c r="BD3" s="1147"/>
      <c r="BE3" s="1147"/>
      <c r="BF3" s="1147"/>
      <c r="BG3" s="1147"/>
      <c r="BH3" s="1147"/>
      <c r="BI3" s="1147"/>
      <c r="BJ3" s="1147"/>
      <c r="BK3" s="1147"/>
      <c r="BL3" s="1147"/>
      <c r="BM3" s="1147"/>
      <c r="BN3" s="1147"/>
      <c r="BO3" s="1147"/>
      <c r="BP3" s="1147"/>
      <c r="BQ3" s="1147"/>
      <c r="BR3" s="1147"/>
      <c r="BS3" s="1147"/>
      <c r="BT3" s="1147"/>
      <c r="BU3" s="1147"/>
      <c r="BV3" s="1147"/>
      <c r="BW3" s="1147"/>
      <c r="BX3" s="1147"/>
      <c r="BY3" s="1147"/>
      <c r="BZ3" s="1147"/>
      <c r="CA3" s="1147"/>
      <c r="CB3" s="1147"/>
      <c r="CC3" s="1147"/>
      <c r="CD3" s="1147"/>
      <c r="CE3" s="1147"/>
      <c r="CF3" s="1147"/>
      <c r="CG3" s="1147"/>
      <c r="CH3" s="1147"/>
      <c r="CI3" s="1147"/>
      <c r="CJ3" s="1147"/>
      <c r="CK3" s="1147"/>
      <c r="CL3" s="1147"/>
      <c r="CM3" s="1147"/>
      <c r="CN3" s="1147"/>
      <c r="CO3" s="1147"/>
      <c r="CP3" s="1147"/>
      <c r="CQ3" s="1147"/>
      <c r="CR3" s="1147"/>
      <c r="CS3" s="1147"/>
      <c r="CT3" s="1147"/>
      <c r="CU3" s="1147"/>
      <c r="CV3" s="1147"/>
      <c r="CW3" s="1147"/>
      <c r="CX3" s="1147"/>
      <c r="CY3" s="1147"/>
      <c r="CZ3" s="1147"/>
      <c r="DA3" s="1147"/>
      <c r="DB3" s="1147"/>
      <c r="DC3" s="1147"/>
      <c r="DD3" s="1147"/>
      <c r="DE3" s="1147"/>
      <c r="DF3" s="1147"/>
      <c r="DG3" s="1147"/>
      <c r="DH3" s="1147"/>
      <c r="DI3" s="1147"/>
      <c r="DJ3" s="1147"/>
      <c r="DK3" s="1147"/>
      <c r="DL3" s="1147"/>
      <c r="DM3" s="1147"/>
      <c r="DN3" s="1147"/>
      <c r="DO3" s="1147"/>
      <c r="DP3" s="1147"/>
      <c r="DQ3" s="1147"/>
      <c r="DR3" s="1147"/>
      <c r="DS3" s="1147"/>
      <c r="DT3" s="1147"/>
      <c r="DU3" s="1147"/>
      <c r="DV3" s="1147"/>
      <c r="DW3" s="1147"/>
      <c r="DX3" s="1147"/>
      <c r="DY3" s="1147"/>
      <c r="DZ3" s="1147"/>
      <c r="EA3" s="1147"/>
      <c r="EB3" s="1147"/>
      <c r="EC3" s="1147"/>
      <c r="ED3" s="1147"/>
      <c r="EE3" s="1147"/>
      <c r="EF3" s="1147"/>
      <c r="EG3" s="1147"/>
      <c r="EH3" s="1147"/>
      <c r="EI3" s="1147"/>
      <c r="EJ3" s="1147"/>
      <c r="EK3" s="1147"/>
      <c r="EL3" s="1147"/>
      <c r="EM3" s="1147"/>
      <c r="EN3" s="1147"/>
      <c r="EO3" s="1147"/>
      <c r="EP3" s="1147"/>
      <c r="EQ3" s="1147"/>
      <c r="ER3" s="1147"/>
      <c r="ES3" s="1147"/>
      <c r="ET3" s="1147"/>
      <c r="EU3" s="1147"/>
      <c r="EV3" s="1147"/>
      <c r="EW3" s="1147"/>
      <c r="EX3" s="1147"/>
      <c r="EY3" s="1147"/>
      <c r="EZ3" s="1147"/>
      <c r="FA3" s="1147"/>
      <c r="FB3" s="1147"/>
      <c r="FC3" s="1147"/>
      <c r="FD3" s="1147"/>
      <c r="FE3" s="1147"/>
      <c r="FF3" s="1147"/>
      <c r="FG3" s="1147"/>
      <c r="FH3" s="1147"/>
      <c r="FI3" s="1147"/>
      <c r="FJ3" s="1147"/>
      <c r="FK3" s="1147"/>
      <c r="FL3" s="1147"/>
      <c r="FM3" s="1147"/>
      <c r="FN3" s="1147"/>
      <c r="FO3" s="1147"/>
      <c r="FP3" s="1147"/>
      <c r="FQ3" s="1147"/>
      <c r="FR3" s="1147"/>
      <c r="FS3" s="1147"/>
      <c r="FT3" s="1147"/>
      <c r="FU3" s="1147"/>
      <c r="FV3" s="1147"/>
      <c r="FW3" s="1147"/>
    </row>
    <row customHeight="1" ht="10.5">
      <c r="B4" s="1150"/>
      <c r="C4" s="1151"/>
      <c r="D4" s="1151"/>
      <c r="E4" s="1151"/>
      <c r="F4" s="1151"/>
      <c r="G4" s="1151"/>
      <c r="H4" s="1152"/>
      <c r="I4" s="1152"/>
      <c r="J4" s="1152"/>
      <c r="K4" s="1152"/>
      <c r="L4" s="1152"/>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1153"/>
      <c r="BA4" s="1153"/>
      <c r="BB4" s="1153"/>
      <c r="BC4" s="1153"/>
      <c r="BD4" s="1153"/>
      <c r="BE4" s="1153"/>
      <c r="BF4" s="1153"/>
      <c r="BG4" s="1153"/>
      <c r="BH4" s="1153"/>
      <c r="BI4" s="1153"/>
      <c r="BJ4" s="1153"/>
      <c r="BK4" s="1153"/>
      <c r="BL4" s="1153"/>
      <c r="BM4" s="1153"/>
      <c r="BN4" s="1153"/>
      <c r="BO4" s="1153"/>
      <c r="BP4" s="1153"/>
      <c r="BQ4" s="1153"/>
      <c r="BR4" s="1153"/>
      <c r="BS4" s="1153"/>
      <c r="BT4" s="1153"/>
      <c r="BU4" s="1153"/>
      <c r="BV4" s="1153"/>
      <c r="BW4" s="1153"/>
      <c r="BX4" s="1153"/>
      <c r="BY4" s="1153"/>
      <c r="BZ4" s="1153"/>
      <c r="CA4" s="1153"/>
      <c r="CB4" s="1153"/>
      <c r="CC4" s="1153"/>
      <c r="CD4" s="1153"/>
      <c r="CE4" s="1153"/>
      <c r="CF4" s="1153"/>
      <c r="CG4" s="1153"/>
      <c r="CH4" s="1153"/>
      <c r="CI4" s="1153"/>
      <c r="CJ4" s="1153"/>
      <c r="CK4" s="1153"/>
      <c r="CL4" s="1153"/>
      <c r="CM4" s="1153"/>
      <c r="CN4" s="1153"/>
      <c r="CO4" s="1153"/>
      <c r="CP4" s="1153"/>
      <c r="CQ4" s="1153"/>
      <c r="CR4" s="1153"/>
      <c r="CS4" s="1153"/>
      <c r="CT4" s="1153"/>
      <c r="CU4" s="1153"/>
      <c r="CV4" s="1153"/>
      <c r="CW4" s="1153"/>
      <c r="CX4" s="1153"/>
      <c r="CY4" s="1153"/>
      <c r="CZ4" s="1153"/>
      <c r="DA4" s="1153"/>
      <c r="DB4" s="1153"/>
      <c r="DC4" s="1153"/>
      <c r="DD4" s="1153"/>
      <c r="DE4" s="1153"/>
      <c r="DF4" s="1153"/>
      <c r="DG4" s="1153"/>
      <c r="DH4" s="1153"/>
      <c r="DI4" s="1153"/>
      <c r="DJ4" s="1153"/>
      <c r="DK4" s="1153"/>
      <c r="DL4" s="1153"/>
      <c r="DM4" s="1153"/>
      <c r="DN4" s="1153"/>
      <c r="DO4" s="1153"/>
      <c r="DP4" s="1153"/>
      <c r="DQ4" s="1153"/>
      <c r="DR4" s="1153"/>
      <c r="DS4" s="1153"/>
      <c r="DT4" s="1153"/>
      <c r="DU4" s="1153"/>
      <c r="DV4" s="1153"/>
      <c r="DW4" s="1153"/>
      <c r="DX4" s="1153"/>
      <c r="DY4" s="1153"/>
      <c r="DZ4" s="1153"/>
      <c r="EA4" s="1153"/>
      <c r="EB4" s="1153"/>
      <c r="EC4" s="1153"/>
      <c r="ED4" s="1153"/>
      <c r="EE4" s="1153"/>
      <c r="EF4" s="1153"/>
      <c r="EG4" s="1153"/>
      <c r="EH4" s="1153"/>
      <c r="EI4" s="1153"/>
      <c r="EJ4" s="1153"/>
      <c r="EK4" s="1153"/>
      <c r="EL4" s="1153"/>
      <c r="EM4" s="1153"/>
      <c r="EN4" s="1153"/>
      <c r="EO4" s="1153"/>
      <c r="EP4" s="1153"/>
      <c r="EQ4" s="1153"/>
      <c r="ER4" s="1153"/>
      <c r="ES4" s="1153"/>
      <c r="ET4" s="1153"/>
      <c r="EU4" s="1153"/>
      <c r="EV4" s="1153"/>
      <c r="EW4" s="1153"/>
      <c r="EX4" s="1153"/>
      <c r="EY4" s="1153"/>
      <c r="EZ4" s="1153"/>
      <c r="FA4" s="1153"/>
      <c r="FB4" s="1153"/>
      <c r="FC4" s="1153"/>
      <c r="FD4" s="1153"/>
      <c r="FE4" s="1153"/>
      <c r="FF4" s="1153"/>
      <c r="FG4" s="1153"/>
      <c r="FH4" s="1153"/>
      <c r="FI4" s="1153"/>
      <c r="FJ4" s="1153"/>
      <c r="FK4" s="1153"/>
      <c r="FL4" s="1153"/>
      <c r="FM4" s="1153"/>
      <c r="FN4" s="1153"/>
      <c r="FO4" s="1153"/>
      <c r="FP4" s="1153"/>
      <c r="FQ4" s="1153"/>
      <c r="FR4" s="1153"/>
      <c r="FS4" s="1153"/>
      <c r="FT4" s="1153"/>
      <c r="FU4" s="1153"/>
      <c r="FV4" s="1153"/>
      <c r="FW4" s="1153"/>
    </row>
    <row s="17083" customFormat="1" customHeight="1" ht="25.5">
      <c r="B5" s="2101"/>
      <c r="E5" s="2103"/>
      <c r="F5" s="258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298"/>
      <c r="H5" s="2298"/>
      <c r="I5" s="2298"/>
      <c r="J5" s="2298"/>
      <c r="K5" s="2298"/>
      <c r="L5" s="2298"/>
      <c r="M5" s="2298"/>
      <c r="N5" s="2298"/>
      <c r="O5" s="2298"/>
      <c r="P5" s="2298"/>
      <c r="Q5" s="2298"/>
      <c r="R5" s="2298"/>
      <c r="S5" s="2298"/>
      <c r="T5" s="2298"/>
      <c r="U5" s="2298"/>
      <c r="V5" s="2298"/>
      <c r="W5" s="2298"/>
      <c r="X5" s="2298"/>
      <c r="Y5" s="2298"/>
      <c r="Z5" s="2298"/>
      <c r="AA5" s="2298"/>
      <c r="AB5" s="2298"/>
      <c r="AC5" s="2298"/>
      <c r="AD5" s="2298"/>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8"/>
      <c r="BC5" s="2298"/>
      <c r="BD5" s="2298"/>
      <c r="BE5" s="2298"/>
      <c r="BF5" s="2298"/>
      <c r="BG5" s="2298"/>
      <c r="BH5" s="2298"/>
      <c r="BI5" s="2298"/>
      <c r="BJ5" s="2298"/>
      <c r="BK5" s="2298"/>
      <c r="BL5" s="2298"/>
      <c r="BM5" s="2298"/>
      <c r="BN5" s="2298"/>
      <c r="BO5" s="2298"/>
      <c r="BP5" s="2298"/>
      <c r="BQ5" s="2298"/>
      <c r="BR5" s="2298"/>
      <c r="BS5" s="2298"/>
    </row>
    <row s="17087" customFormat="1" customHeight="1" ht="18">
      <c r="B6" s="1167"/>
      <c r="E6" s="1169"/>
      <c r="F6" s="2361" t="str">
        <f>IF(org=0,"Не определено",org)</f>
        <v>ООО "Новая Энергетика"</v>
      </c>
      <c r="G6" s="2362"/>
      <c r="H6" s="2362"/>
      <c r="I6" s="2362"/>
      <c r="J6" s="2362"/>
      <c r="K6" s="2362"/>
      <c r="L6" s="2362"/>
      <c r="M6" s="2362"/>
      <c r="N6" s="2362"/>
      <c r="O6" s="2362"/>
      <c r="P6" s="2362"/>
      <c r="Q6" s="2362"/>
      <c r="R6" s="2362"/>
      <c r="S6" s="2362"/>
      <c r="T6" s="2362"/>
      <c r="U6" s="2362"/>
      <c r="V6" s="2362"/>
      <c r="W6" s="2362"/>
      <c r="X6" s="2362"/>
      <c r="Y6" s="2362"/>
      <c r="Z6" s="2362"/>
      <c r="AA6" s="2362"/>
      <c r="AB6" s="2362"/>
      <c r="AC6" s="2362"/>
      <c r="AD6" s="2362"/>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2"/>
      <c r="BC6" s="2362"/>
      <c r="BD6" s="2362"/>
      <c r="BE6" s="2362"/>
      <c r="BF6" s="2362"/>
      <c r="BG6" s="2362"/>
      <c r="BH6" s="2362"/>
      <c r="BI6" s="2362"/>
      <c r="BJ6" s="2362"/>
      <c r="BK6" s="2362"/>
      <c r="BL6" s="2362"/>
      <c r="BM6" s="2362"/>
      <c r="BN6" s="2362"/>
      <c r="BO6" s="2362"/>
      <c r="BP6" s="2362"/>
      <c r="BQ6" s="2362"/>
      <c r="BR6" s="2362"/>
      <c r="BS6" s="2362"/>
    </row>
    <row s="17090" customFormat="1" customHeight="1" ht="10.5">
      <c r="B7" s="1155"/>
      <c r="E7" s="1156"/>
      <c r="F7" s="1156"/>
      <c r="G7" s="1158"/>
      <c r="H7" s="1152"/>
      <c r="I7" s="1152"/>
      <c r="J7" s="1152"/>
      <c r="K7" s="1152"/>
      <c r="L7" s="1152"/>
      <c r="M7" s="1156"/>
      <c r="N7" s="1156"/>
      <c r="O7" s="1156"/>
      <c r="P7" s="1156"/>
      <c r="Q7" s="1156"/>
      <c r="R7" s="1156"/>
      <c r="S7" s="1156"/>
      <c r="T7" s="1156"/>
      <c r="U7" s="1156"/>
      <c r="V7" s="1156"/>
      <c r="W7" s="1156"/>
      <c r="X7" s="1156"/>
      <c r="Y7" s="1156"/>
      <c r="Z7" s="1156"/>
      <c r="AA7" s="1156"/>
      <c r="AB7" s="1156"/>
      <c r="AC7" s="1156"/>
      <c r="AD7" s="1156"/>
      <c r="AE7" s="1156"/>
      <c r="AF7" s="1156"/>
      <c r="AG7" s="1156"/>
      <c r="AH7" s="1156"/>
      <c r="AI7" s="1156"/>
      <c r="AJ7" s="1156"/>
      <c r="AK7" s="1156"/>
      <c r="AL7" s="1156"/>
      <c r="AM7" s="1156"/>
      <c r="AN7" s="1156"/>
      <c r="AO7" s="1156"/>
      <c r="AP7" s="1156"/>
      <c r="AQ7" s="1156"/>
      <c r="AR7" s="1156"/>
      <c r="AS7" s="1156"/>
      <c r="AT7" s="1156"/>
      <c r="AU7" s="1156"/>
      <c r="AV7" s="1156"/>
      <c r="AW7" s="1156"/>
      <c r="AX7" s="1156"/>
      <c r="AY7" s="1156"/>
      <c r="AZ7" s="1156"/>
      <c r="BA7" s="1156"/>
      <c r="BB7" s="1156"/>
      <c r="BC7" s="1156"/>
      <c r="BD7" s="1156"/>
      <c r="BE7" s="1156"/>
      <c r="BF7" s="1156"/>
      <c r="BG7" s="1156"/>
      <c r="BH7" s="1156"/>
      <c r="BI7" s="1156"/>
      <c r="BJ7" s="1156"/>
      <c r="BK7" s="1156"/>
      <c r="BL7" s="1156"/>
      <c r="BM7" s="1156"/>
      <c r="BN7" s="1156"/>
      <c r="BO7" s="1156"/>
      <c r="BP7" s="1156"/>
      <c r="BQ7" s="1156"/>
      <c r="BR7" s="1156"/>
      <c r="BS7" s="1156"/>
      <c r="BT7" s="1156"/>
      <c r="BU7" s="1156"/>
      <c r="BV7" s="1156"/>
      <c r="BW7" s="1156"/>
      <c r="BX7" s="1156"/>
      <c r="BY7" s="1156"/>
      <c r="BZ7" s="1156"/>
      <c r="CA7" s="1156"/>
      <c r="CB7" s="1156"/>
      <c r="CC7" s="1156"/>
      <c r="CD7" s="1156"/>
      <c r="CE7" s="1156"/>
      <c r="CF7" s="1156"/>
      <c r="CG7" s="1156"/>
      <c r="CH7" s="1156"/>
      <c r="CI7" s="1156"/>
      <c r="CJ7" s="1156"/>
      <c r="CK7" s="1156"/>
      <c r="CL7" s="1156"/>
      <c r="CM7" s="1156"/>
      <c r="CN7" s="1156"/>
      <c r="CO7" s="1156"/>
      <c r="CP7" s="1156"/>
      <c r="CQ7" s="1156"/>
      <c r="CR7" s="1156"/>
      <c r="CS7" s="1156"/>
      <c r="CT7" s="1156"/>
      <c r="CU7" s="1156"/>
      <c r="CV7" s="1156"/>
      <c r="CW7" s="1156"/>
      <c r="CX7" s="1156"/>
      <c r="CY7" s="1156"/>
      <c r="CZ7" s="1156"/>
      <c r="DA7" s="1156"/>
      <c r="DB7" s="1156"/>
      <c r="DC7" s="1156"/>
      <c r="DD7" s="1156"/>
      <c r="DE7" s="1156"/>
      <c r="DF7" s="1156"/>
      <c r="DG7" s="1156"/>
      <c r="DH7" s="1156"/>
      <c r="DI7" s="1156"/>
      <c r="DJ7" s="1156"/>
      <c r="DK7" s="1156"/>
      <c r="DL7" s="1156"/>
      <c r="DM7" s="1156"/>
      <c r="DN7" s="1156"/>
      <c r="DO7" s="1156"/>
      <c r="DP7" s="1156"/>
      <c r="DQ7" s="1156"/>
      <c r="DR7" s="1156"/>
      <c r="DS7" s="1156"/>
      <c r="DT7" s="1156"/>
      <c r="DU7" s="1156"/>
      <c r="DV7" s="1156"/>
      <c r="DW7" s="1156"/>
      <c r="DX7" s="1156"/>
      <c r="DY7" s="1156"/>
      <c r="DZ7" s="1156"/>
      <c r="EA7" s="1156"/>
      <c r="EB7" s="1156"/>
      <c r="EC7" s="1156"/>
      <c r="ED7" s="1156"/>
      <c r="EE7" s="1156"/>
      <c r="EF7" s="1156"/>
      <c r="EG7" s="1156"/>
      <c r="EH7" s="1156"/>
      <c r="EI7" s="1156"/>
      <c r="EJ7" s="1156"/>
      <c r="EK7" s="1156"/>
      <c r="EL7" s="1156"/>
      <c r="EM7" s="1156"/>
      <c r="EN7" s="1156"/>
      <c r="EO7" s="1156"/>
      <c r="EP7" s="1156"/>
      <c r="EQ7" s="1156"/>
      <c r="ER7" s="1156"/>
      <c r="ES7" s="1156"/>
      <c r="ET7" s="1156"/>
      <c r="EU7" s="1156"/>
      <c r="EV7" s="1156"/>
      <c r="EW7" s="1156"/>
      <c r="EX7" s="1156"/>
      <c r="EY7" s="1156"/>
      <c r="EZ7" s="1156"/>
      <c r="FA7" s="1156"/>
      <c r="FB7" s="1156"/>
      <c r="FC7" s="1156"/>
      <c r="FD7" s="1156"/>
      <c r="FE7" s="1156"/>
      <c r="FF7" s="1156"/>
      <c r="FG7" s="1156"/>
      <c r="FH7" s="1156"/>
      <c r="FI7" s="1156"/>
      <c r="FJ7" s="1156"/>
      <c r="FK7" s="1156"/>
      <c r="FL7" s="1156"/>
      <c r="FM7" s="1156"/>
      <c r="FN7" s="1156"/>
      <c r="FO7" s="1156"/>
      <c r="FP7" s="1156"/>
      <c r="FQ7" s="1156"/>
      <c r="FR7" s="1156"/>
      <c r="FS7" s="1156"/>
      <c r="FT7" s="1156"/>
      <c r="FU7" s="1156"/>
      <c r="FV7" s="1156"/>
      <c r="FW7" s="1156"/>
    </row>
    <row s="17094" customFormat="1" customHeight="1" ht="11.25" hidden="1">
      <c r="B8" s="1157"/>
      <c r="F8" s="1280"/>
      <c r="G8" s="986"/>
      <c r="H8" s="583"/>
      <c r="I8" s="583"/>
      <c r="J8" s="583"/>
      <c r="K8" s="583"/>
      <c r="L8" s="583"/>
      <c r="M8" s="1280"/>
      <c r="N8" s="1280"/>
      <c r="O8" s="2566" t="s">
        <v>992</v>
      </c>
      <c r="P8" s="2567"/>
      <c r="Q8" s="2567"/>
      <c r="R8" s="2567"/>
      <c r="S8" s="2567"/>
      <c r="T8" s="2567"/>
      <c r="U8" s="2567"/>
      <c r="V8" s="2567"/>
      <c r="W8" s="2567"/>
      <c r="X8" s="2567"/>
      <c r="Y8" s="2567"/>
      <c r="Z8" s="2567"/>
      <c r="AA8" s="2567"/>
      <c r="AB8" s="2567"/>
      <c r="AC8" s="2567"/>
      <c r="AD8" s="2567"/>
      <c r="AE8" s="2567"/>
      <c r="AF8" s="2567"/>
      <c r="AG8" s="2567"/>
      <c r="AH8" s="2567"/>
      <c r="AI8" s="2567"/>
      <c r="AJ8" s="2567"/>
      <c r="AK8" s="2567"/>
      <c r="AL8" s="2567"/>
      <c r="AM8" s="2567"/>
      <c r="AN8" s="2567"/>
      <c r="AO8" s="2567"/>
      <c r="AP8" s="2567"/>
      <c r="AQ8" s="2567"/>
      <c r="AR8" s="2567"/>
      <c r="AS8" s="2567"/>
      <c r="AT8" s="2567"/>
      <c r="AU8" s="2567"/>
      <c r="AV8" s="2567"/>
      <c r="AW8" s="2567"/>
      <c r="AX8" s="2567"/>
      <c r="AY8" s="2567"/>
      <c r="AZ8" s="2567"/>
      <c r="BA8" s="2567"/>
      <c r="BB8" s="2567"/>
      <c r="BC8" s="2567"/>
      <c r="BD8" s="2567"/>
      <c r="BE8" s="2567"/>
      <c r="BF8" s="2567"/>
      <c r="BG8" s="2567"/>
      <c r="BH8" s="2567"/>
      <c r="BI8" s="2567"/>
      <c r="BJ8" s="2567"/>
      <c r="BK8" s="2567"/>
      <c r="BL8" s="2567"/>
      <c r="BM8" s="2567"/>
      <c r="BN8" s="2567"/>
      <c r="BO8" s="2567"/>
      <c r="BP8" s="2567"/>
      <c r="BQ8" s="2567"/>
      <c r="BR8" s="2567"/>
      <c r="BS8" s="2568"/>
      <c r="BT8" s="2569"/>
      <c r="BU8" s="2570"/>
      <c r="BV8" s="2570"/>
      <c r="BW8" s="2570"/>
      <c r="BX8" s="2570"/>
      <c r="BY8" s="2570"/>
      <c r="BZ8" s="2570"/>
      <c r="CA8" s="2570"/>
      <c r="CB8" s="2570"/>
      <c r="CC8" s="2570"/>
      <c r="CD8" s="2570"/>
      <c r="CE8" s="2570"/>
      <c r="CF8" s="2570"/>
      <c r="CG8" s="2570"/>
      <c r="CH8" s="2570"/>
      <c r="CI8" s="2570"/>
      <c r="CJ8" s="2570"/>
      <c r="CK8" s="2570"/>
      <c r="CL8" s="2570"/>
      <c r="CM8" s="2570"/>
      <c r="CN8" s="2570"/>
      <c r="CO8" s="2570"/>
      <c r="CP8" s="2570"/>
      <c r="CQ8" s="2570"/>
      <c r="CR8" s="2570"/>
      <c r="CS8" s="2570"/>
      <c r="CT8" s="2570"/>
      <c r="CU8" s="2570"/>
      <c r="CV8" s="2570"/>
      <c r="CW8" s="2570"/>
      <c r="CX8" s="2571"/>
      <c r="CY8" s="2572"/>
      <c r="CZ8" s="2573"/>
      <c r="DA8" s="2573"/>
      <c r="DB8" s="2573"/>
      <c r="DC8" s="2573"/>
      <c r="DD8" s="2573"/>
      <c r="DE8" s="2573"/>
      <c r="DF8" s="2573"/>
      <c r="DG8" s="2573"/>
      <c r="DH8" s="2573"/>
      <c r="DI8" s="2573"/>
      <c r="DJ8" s="2573"/>
      <c r="DK8" s="2573"/>
      <c r="DL8" s="2573"/>
      <c r="DM8" s="2573"/>
      <c r="DN8" s="2573"/>
      <c r="DO8" s="2573"/>
      <c r="DP8" s="2573"/>
      <c r="DQ8" s="2573"/>
      <c r="DR8" s="2573"/>
      <c r="DS8" s="2573"/>
      <c r="DT8" s="2573"/>
      <c r="DU8" s="2573"/>
      <c r="DV8" s="2573"/>
      <c r="DW8" s="2573"/>
      <c r="DX8" s="2574"/>
      <c r="DY8" s="2560" t="s">
        <v>993</v>
      </c>
      <c r="DZ8" s="2561"/>
      <c r="EA8" s="2561"/>
      <c r="EB8" s="2561"/>
      <c r="EC8" s="2561"/>
      <c r="ED8" s="2561"/>
      <c r="EE8" s="2561"/>
      <c r="EF8" s="2561"/>
      <c r="EG8" s="2561"/>
      <c r="EH8" s="2561"/>
      <c r="EI8" s="2561"/>
      <c r="EJ8" s="2561"/>
      <c r="EK8" s="2561"/>
      <c r="EL8" s="2561"/>
      <c r="EM8" s="2561"/>
      <c r="EN8" s="2561"/>
      <c r="EO8" s="2561"/>
      <c r="EP8" s="2561"/>
      <c r="EQ8" s="2561"/>
      <c r="ER8" s="2561"/>
      <c r="ES8" s="2561"/>
      <c r="ET8" s="2561"/>
      <c r="EU8" s="2561"/>
      <c r="EV8" s="2561"/>
      <c r="EW8" s="2561"/>
      <c r="EX8" s="2561"/>
      <c r="EY8" s="2561"/>
      <c r="EZ8" s="2561"/>
      <c r="FA8" s="2561"/>
      <c r="FB8" s="2561"/>
      <c r="FC8" s="2561"/>
      <c r="FD8" s="2561"/>
      <c r="FE8" s="2561"/>
      <c r="FF8" s="2561"/>
      <c r="FG8" s="2561"/>
      <c r="FH8" s="2561"/>
      <c r="FI8" s="2561"/>
      <c r="FJ8" s="2561"/>
      <c r="FK8" s="2561"/>
      <c r="FL8" s="2561"/>
      <c r="FM8" s="2561"/>
      <c r="FN8" s="2561"/>
      <c r="FO8" s="2561"/>
      <c r="FP8" s="2561"/>
      <c r="FQ8" s="2561"/>
      <c r="FR8" s="2561"/>
      <c r="FS8" s="2561"/>
      <c r="FT8" s="2561"/>
      <c r="FU8" s="2561"/>
      <c r="FV8" s="2561"/>
      <c r="FW8" s="2562"/>
      <c r="FX8" s="1280"/>
    </row>
    <row s="17094" customFormat="1" customHeight="1" ht="11.25" hidden="1">
      <c r="B9" s="1157"/>
      <c r="F9" s="1280"/>
      <c r="G9" s="986"/>
      <c r="H9" s="583"/>
      <c r="I9" s="583"/>
      <c r="J9" s="583"/>
      <c r="K9" s="583"/>
      <c r="L9" s="583"/>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c r="DF9" s="1280"/>
      <c r="DG9" s="1280"/>
      <c r="DH9" s="1280"/>
      <c r="DI9" s="1280"/>
      <c r="DJ9" s="1280"/>
      <c r="DK9" s="1280"/>
      <c r="DL9" s="1280"/>
      <c r="DM9" s="1280"/>
      <c r="DN9" s="1280"/>
      <c r="DO9" s="1280"/>
      <c r="DP9" s="1280"/>
      <c r="DQ9" s="1280"/>
      <c r="DR9" s="1280"/>
      <c r="DS9" s="1280"/>
      <c r="DT9" s="1280"/>
      <c r="DU9" s="1280"/>
      <c r="DV9" s="1280"/>
      <c r="DW9" s="1280"/>
      <c r="DX9" s="1280"/>
      <c r="DY9" s="1280"/>
      <c r="DZ9" s="1280"/>
      <c r="EA9" s="1280"/>
      <c r="EB9" s="1280"/>
      <c r="EC9" s="1280"/>
      <c r="ED9" s="1280"/>
      <c r="EE9" s="1280"/>
      <c r="EF9" s="1280"/>
      <c r="EG9" s="1280"/>
      <c r="EH9" s="1280"/>
      <c r="EI9" s="1280"/>
      <c r="EJ9" s="1280"/>
      <c r="EK9" s="1280"/>
      <c r="EL9" s="1280"/>
      <c r="EM9" s="1280"/>
      <c r="EN9" s="1280"/>
      <c r="EO9" s="1280"/>
      <c r="EP9" s="1280"/>
      <c r="EQ9" s="1280"/>
      <c r="ER9" s="1280"/>
      <c r="ES9" s="1280"/>
      <c r="ET9" s="1280"/>
      <c r="EU9" s="1280"/>
      <c r="EV9" s="1280"/>
      <c r="EW9" s="1280"/>
      <c r="EX9" s="1280"/>
      <c r="EY9" s="1280"/>
      <c r="EZ9" s="1280"/>
      <c r="FA9" s="1280"/>
      <c r="FB9" s="1280"/>
      <c r="FC9" s="1280"/>
      <c r="FD9" s="1280"/>
      <c r="FE9" s="1280"/>
      <c r="FF9" s="1280"/>
      <c r="FG9" s="1280"/>
      <c r="FH9" s="1280"/>
      <c r="FI9" s="1280"/>
      <c r="FJ9" s="1280"/>
      <c r="FK9" s="1280"/>
      <c r="FL9" s="1280"/>
      <c r="FM9" s="1280"/>
      <c r="FN9" s="1280"/>
      <c r="FO9" s="1280"/>
      <c r="FP9" s="1280"/>
      <c r="FQ9" s="1280"/>
      <c r="FR9" s="1280"/>
      <c r="FS9" s="1280"/>
      <c r="FT9" s="1280"/>
      <c r="FU9" s="1280"/>
      <c r="FV9" s="1280"/>
      <c r="FW9" s="2563"/>
      <c r="FX9" s="1280"/>
    </row>
    <row s="17094" customFormat="1" customHeight="1" ht="11.25">
      <c r="B10" s="1157"/>
      <c r="F10" s="2577" t="s">
        <v>301</v>
      </c>
      <c r="G10" s="2578"/>
      <c r="H10" s="2578"/>
      <c r="I10" s="2578"/>
      <c r="J10" s="2578"/>
      <c r="K10" s="2578"/>
      <c r="L10" s="2578"/>
      <c r="M10" s="2578"/>
      <c r="N10" s="2578"/>
      <c r="O10" s="2578"/>
      <c r="P10" s="2578"/>
      <c r="Q10" s="2578"/>
      <c r="R10" s="2578"/>
      <c r="S10" s="2578"/>
      <c r="T10" s="2578"/>
      <c r="U10" s="2578"/>
      <c r="V10" s="2578"/>
      <c r="W10" s="2578"/>
      <c r="X10" s="2578"/>
      <c r="Y10" s="2578"/>
      <c r="Z10" s="2578"/>
      <c r="AA10" s="2578"/>
      <c r="AB10" s="2578"/>
      <c r="AC10" s="2578"/>
      <c r="AD10" s="2578"/>
      <c r="AE10" s="2578"/>
      <c r="AF10" s="2578"/>
      <c r="AG10" s="2578"/>
      <c r="AH10" s="2578"/>
      <c r="AI10" s="2578"/>
      <c r="AJ10" s="2578"/>
      <c r="AK10" s="2578"/>
      <c r="AL10" s="2578"/>
      <c r="AM10" s="2578"/>
      <c r="AN10" s="2578"/>
      <c r="AO10" s="2578"/>
      <c r="AP10" s="2578"/>
      <c r="AQ10" s="2578"/>
      <c r="AR10" s="2578"/>
      <c r="AS10" s="2578"/>
      <c r="AT10" s="2578"/>
      <c r="AU10" s="2578"/>
      <c r="AV10" s="2578"/>
      <c r="AW10" s="2578"/>
      <c r="AX10" s="2578"/>
      <c r="AY10" s="2578"/>
      <c r="AZ10" s="2578"/>
      <c r="BA10" s="2578"/>
      <c r="BB10" s="2578"/>
      <c r="BC10" s="2578"/>
      <c r="BD10" s="2578"/>
      <c r="BE10" s="2578"/>
      <c r="BF10" s="2578"/>
      <c r="BG10" s="2578"/>
      <c r="BH10" s="2578"/>
      <c r="BI10" s="2578"/>
      <c r="BJ10" s="2578"/>
      <c r="BK10" s="2578"/>
      <c r="BL10" s="2578"/>
      <c r="BM10" s="2578"/>
      <c r="BN10" s="2578"/>
      <c r="BO10" s="2578"/>
      <c r="BP10" s="2578"/>
      <c r="BQ10" s="2578"/>
      <c r="BR10" s="2578"/>
      <c r="BS10" s="2578"/>
      <c r="BT10" s="2578"/>
      <c r="BU10" s="2578"/>
      <c r="BV10" s="2578"/>
      <c r="BW10" s="2578"/>
      <c r="BX10" s="2578"/>
      <c r="BY10" s="2578"/>
      <c r="BZ10" s="2578"/>
      <c r="CA10" s="2578"/>
      <c r="CB10" s="2578"/>
      <c r="CC10" s="2578"/>
      <c r="CD10" s="2578"/>
      <c r="CE10" s="2578"/>
      <c r="CF10" s="2578"/>
      <c r="CG10" s="2578"/>
      <c r="CH10" s="2578"/>
      <c r="CI10" s="2578"/>
      <c r="CJ10" s="2578"/>
      <c r="CK10" s="2578"/>
      <c r="CL10" s="2578"/>
      <c r="CM10" s="2578"/>
      <c r="CN10" s="2578"/>
      <c r="CO10" s="2578"/>
      <c r="CP10" s="2578"/>
      <c r="CQ10" s="2578"/>
      <c r="CR10" s="2578"/>
      <c r="CS10" s="2578"/>
      <c r="CT10" s="2578"/>
      <c r="CU10" s="2578"/>
      <c r="CV10" s="2578"/>
      <c r="CW10" s="2578"/>
      <c r="CX10" s="2578"/>
      <c r="CY10" s="2578"/>
      <c r="CZ10" s="2578"/>
      <c r="DA10" s="2578"/>
      <c r="DB10" s="2578"/>
      <c r="DC10" s="2578"/>
      <c r="DD10" s="2578"/>
      <c r="DE10" s="2578"/>
      <c r="DF10" s="2578"/>
      <c r="DG10" s="2578"/>
      <c r="DH10" s="2578"/>
      <c r="DI10" s="2578"/>
      <c r="DJ10" s="2578"/>
      <c r="DK10" s="2578"/>
      <c r="DL10" s="2578"/>
      <c r="DM10" s="2578"/>
      <c r="DN10" s="2578"/>
      <c r="DO10" s="2578"/>
      <c r="DP10" s="2578"/>
      <c r="DQ10" s="2578"/>
      <c r="DR10" s="2578"/>
      <c r="DS10" s="2578"/>
      <c r="DT10" s="2578"/>
      <c r="DU10" s="2578"/>
      <c r="DV10" s="2578"/>
      <c r="DW10" s="2578"/>
      <c r="DX10" s="2578"/>
      <c r="DY10" s="2578"/>
      <c r="DZ10" s="2578"/>
      <c r="EA10" s="2578"/>
      <c r="EB10" s="2578"/>
      <c r="EC10" s="2578"/>
      <c r="ED10" s="2578"/>
      <c r="EE10" s="2578"/>
      <c r="EF10" s="2578"/>
      <c r="EG10" s="2578"/>
      <c r="EH10" s="2578"/>
      <c r="EI10" s="2578"/>
      <c r="EJ10" s="2578"/>
      <c r="EK10" s="2578"/>
      <c r="EL10" s="2578"/>
      <c r="EM10" s="2578"/>
      <c r="EN10" s="2578"/>
      <c r="EO10" s="2578"/>
      <c r="EP10" s="2578"/>
      <c r="EQ10" s="2578"/>
      <c r="ER10" s="2578"/>
      <c r="ES10" s="2578"/>
      <c r="ET10" s="2578"/>
      <c r="EU10" s="2578"/>
      <c r="EV10" s="2578"/>
      <c r="EW10" s="2578"/>
      <c r="EX10" s="2578"/>
      <c r="EY10" s="2578"/>
      <c r="EZ10" s="2578"/>
      <c r="FA10" s="2578"/>
      <c r="FB10" s="2578"/>
      <c r="FC10" s="2578"/>
      <c r="FD10" s="2578"/>
      <c r="FE10" s="2578"/>
      <c r="FF10" s="2578"/>
      <c r="FG10" s="2578"/>
      <c r="FH10" s="2578"/>
      <c r="FI10" s="2578"/>
      <c r="FJ10" s="2578"/>
      <c r="FK10" s="2578"/>
      <c r="FL10" s="2578"/>
      <c r="FM10" s="2578"/>
      <c r="FN10" s="2578"/>
      <c r="FO10" s="2578"/>
      <c r="FP10" s="2578"/>
      <c r="FQ10" s="2578"/>
      <c r="FR10" s="2578"/>
      <c r="FS10" s="2578"/>
      <c r="FT10" s="2578"/>
      <c r="FU10" s="2578"/>
      <c r="FV10" s="2579"/>
      <c r="FW10" s="2563"/>
      <c r="FX10" s="1280"/>
    </row>
    <row customHeight="1" ht="12">
      <c r="E11" s="1160"/>
      <c r="F11" s="2340" t="s">
        <v>87</v>
      </c>
      <c r="G11" s="2340" t="s">
        <v>994</v>
      </c>
      <c r="H11" s="2576" t="s">
        <v>995</v>
      </c>
      <c r="I11" s="2576" t="s">
        <v>996</v>
      </c>
      <c r="J11" s="2575"/>
      <c r="K11" s="2575"/>
      <c r="L11" s="2575"/>
      <c r="M11" s="2575"/>
      <c r="N11" s="2575"/>
      <c r="O11" s="2344" t="s">
        <v>997</v>
      </c>
      <c r="P11" s="2344"/>
      <c r="Q11" s="2344"/>
      <c r="R11" s="2344"/>
      <c r="S11" s="2344"/>
      <c r="T11" s="2344"/>
      <c r="U11" s="2344"/>
      <c r="V11" s="2344"/>
      <c r="W11" s="2344"/>
      <c r="X11" s="2344"/>
      <c r="Y11" s="2344"/>
      <c r="Z11" s="2344"/>
      <c r="AA11" s="2344"/>
      <c r="AB11" s="2344"/>
      <c r="AC11" s="2557"/>
      <c r="AD11" s="2557"/>
      <c r="AE11" s="2557"/>
      <c r="AF11" s="2557"/>
      <c r="AG11" s="2557"/>
      <c r="AH11" s="2557"/>
      <c r="AI11" s="2557"/>
      <c r="AJ11" s="2557"/>
      <c r="AK11" s="2557"/>
      <c r="AL11" s="2557"/>
      <c r="AM11" s="2557"/>
      <c r="AN11" s="2557"/>
      <c r="AO11" s="2557"/>
      <c r="AP11" s="2557"/>
      <c r="AQ11" s="2557"/>
      <c r="AR11" s="2557"/>
      <c r="AS11" s="2557"/>
      <c r="AT11" s="2557"/>
      <c r="AU11" s="2557"/>
      <c r="AV11" s="2557"/>
      <c r="AW11" s="2557"/>
      <c r="AX11" s="2557"/>
      <c r="AY11" s="2557"/>
      <c r="AZ11" s="2557"/>
      <c r="BA11" s="2557"/>
      <c r="BB11" s="2557"/>
      <c r="BC11" s="2557"/>
      <c r="BD11" s="2557"/>
      <c r="BE11" s="2557"/>
      <c r="BF11" s="2557"/>
      <c r="BG11" s="2557"/>
      <c r="BH11" s="2557"/>
      <c r="BI11" s="2557"/>
      <c r="BJ11" s="2557"/>
      <c r="BK11" s="2557"/>
      <c r="BL11" s="2557"/>
      <c r="BM11" s="2557"/>
      <c r="BN11" s="2557"/>
      <c r="BO11" s="2557"/>
      <c r="BP11" s="2557"/>
      <c r="BQ11" s="2557"/>
      <c r="BR11" s="2557"/>
      <c r="BS11" s="2558"/>
      <c r="BT11" s="2555" t="s">
        <v>997</v>
      </c>
      <c r="BU11" s="2559"/>
      <c r="BV11" s="2559"/>
      <c r="BW11" s="2559"/>
      <c r="BX11" s="2559"/>
      <c r="BY11" s="2559"/>
      <c r="BZ11" s="2559"/>
      <c r="CA11" s="2559"/>
      <c r="CB11" s="2559"/>
      <c r="CC11" s="2559"/>
      <c r="CD11" s="2559"/>
      <c r="CE11" s="2559"/>
      <c r="CF11" s="2559"/>
      <c r="CG11" s="2559"/>
      <c r="CH11" s="2559"/>
      <c r="CI11" s="2559"/>
      <c r="CJ11" s="2559"/>
      <c r="CK11" s="2556"/>
      <c r="CL11" s="2565"/>
      <c r="CM11" s="2557"/>
      <c r="CN11" s="2557"/>
      <c r="CO11" s="2557"/>
      <c r="CP11" s="2557"/>
      <c r="CQ11" s="2557"/>
      <c r="CR11" s="2557"/>
      <c r="CS11" s="2557"/>
      <c r="CT11" s="2557"/>
      <c r="CU11" s="2557"/>
      <c r="CV11" s="2557"/>
      <c r="CW11" s="2557"/>
      <c r="CX11" s="2558"/>
      <c r="CY11" s="2555" t="s">
        <v>997</v>
      </c>
      <c r="CZ11" s="2559"/>
      <c r="DA11" s="2559"/>
      <c r="DB11" s="2559"/>
      <c r="DC11" s="2559"/>
      <c r="DD11" s="2559"/>
      <c r="DE11" s="2559"/>
      <c r="DF11" s="2559"/>
      <c r="DG11" s="2559"/>
      <c r="DH11" s="2559"/>
      <c r="DI11" s="2559"/>
      <c r="DJ11" s="2556"/>
      <c r="DK11" s="2565"/>
      <c r="DL11" s="2557"/>
      <c r="DM11" s="2557"/>
      <c r="DN11" s="2557"/>
      <c r="DO11" s="2557"/>
      <c r="DP11" s="2557"/>
      <c r="DQ11" s="2557"/>
      <c r="DR11" s="2557"/>
      <c r="DS11" s="2557"/>
      <c r="DT11" s="2557"/>
      <c r="DU11" s="2557"/>
      <c r="DV11" s="2557"/>
      <c r="DW11" s="2557"/>
      <c r="DX11" s="2557"/>
      <c r="DY11" s="2557"/>
      <c r="DZ11" s="2557"/>
      <c r="EA11" s="2557"/>
      <c r="EB11" s="2557"/>
      <c r="EC11" s="2557"/>
      <c r="ED11" s="2557"/>
      <c r="EE11" s="2557"/>
      <c r="EF11" s="2557"/>
      <c r="EG11" s="2557"/>
      <c r="EH11" s="2557"/>
      <c r="EI11" s="2557"/>
      <c r="EJ11" s="2557"/>
      <c r="EK11" s="2557"/>
      <c r="EL11" s="2557"/>
      <c r="EM11" s="2557"/>
      <c r="EN11" s="2557"/>
      <c r="EO11" s="2557"/>
      <c r="EP11" s="2557"/>
      <c r="EQ11" s="2557"/>
      <c r="ER11" s="2557"/>
      <c r="ES11" s="2557"/>
      <c r="ET11" s="2557"/>
      <c r="EU11" s="2557"/>
      <c r="EV11" s="2557"/>
      <c r="EW11" s="2557"/>
      <c r="EX11" s="2557"/>
      <c r="EY11" s="2557"/>
      <c r="EZ11" s="2557"/>
      <c r="FA11" s="2557"/>
      <c r="FB11" s="2557"/>
      <c r="FC11" s="2557"/>
      <c r="FD11" s="2557"/>
      <c r="FE11" s="2557"/>
      <c r="FF11" s="2557"/>
      <c r="FG11" s="2557"/>
      <c r="FH11" s="2557"/>
      <c r="FI11" s="2557"/>
      <c r="FJ11" s="2557"/>
      <c r="FK11" s="2557"/>
      <c r="FL11" s="2557"/>
      <c r="FM11" s="2557"/>
      <c r="FN11" s="2557"/>
      <c r="FO11" s="2557"/>
      <c r="FP11" s="2557"/>
      <c r="FQ11" s="2557"/>
      <c r="FR11" s="2557"/>
      <c r="FS11" s="2557"/>
      <c r="FT11" s="2557"/>
      <c r="FU11" s="2557"/>
      <c r="FV11" s="2557"/>
      <c r="FW11" s="2563"/>
      <c r="FX11" s="985"/>
    </row>
    <row customHeight="1" ht="12">
      <c r="D12" s="1161"/>
      <c r="E12" s="1160"/>
      <c r="F12" s="2340"/>
      <c r="G12" s="2340"/>
      <c r="H12" s="2576"/>
      <c r="I12" s="2576"/>
      <c r="J12" s="2575"/>
      <c r="K12" s="2575"/>
      <c r="L12" s="2575"/>
      <c r="M12" s="2575"/>
      <c r="N12" s="2575"/>
      <c r="O12" s="2344" t="s">
        <v>998</v>
      </c>
      <c r="P12" s="2344"/>
      <c r="Q12" s="2344"/>
      <c r="R12" s="2344"/>
      <c r="S12" s="2344" t="s">
        <v>999</v>
      </c>
      <c r="T12" s="2344"/>
      <c r="U12" s="2344"/>
      <c r="V12" s="2344"/>
      <c r="W12" s="2344"/>
      <c r="X12" s="2344"/>
      <c r="Y12" s="2344"/>
      <c r="Z12" s="2344"/>
      <c r="AA12" s="2344"/>
      <c r="AB12" s="2344"/>
      <c r="AC12" s="2557"/>
      <c r="AD12" s="2557"/>
      <c r="AE12" s="2557"/>
      <c r="AF12" s="2557"/>
      <c r="AG12" s="2557"/>
      <c r="AH12" s="2557"/>
      <c r="AI12" s="2557"/>
      <c r="AJ12" s="2557"/>
      <c r="AK12" s="2557"/>
      <c r="AL12" s="2557"/>
      <c r="AM12" s="2557"/>
      <c r="AN12" s="2557"/>
      <c r="AO12" s="2557"/>
      <c r="AP12" s="2557"/>
      <c r="AQ12" s="2557"/>
      <c r="AR12" s="2557"/>
      <c r="AS12" s="2557"/>
      <c r="AT12" s="2557"/>
      <c r="AU12" s="2557"/>
      <c r="AV12" s="2557"/>
      <c r="AW12" s="2557"/>
      <c r="AX12" s="2557"/>
      <c r="AY12" s="2557"/>
      <c r="AZ12" s="2557"/>
      <c r="BA12" s="2557"/>
      <c r="BB12" s="2557"/>
      <c r="BC12" s="2557"/>
      <c r="BD12" s="2557"/>
      <c r="BE12" s="2557"/>
      <c r="BF12" s="2557"/>
      <c r="BG12" s="2557"/>
      <c r="BH12" s="2557"/>
      <c r="BI12" s="2557"/>
      <c r="BJ12" s="2557"/>
      <c r="BK12" s="2557"/>
      <c r="BL12" s="2557"/>
      <c r="BM12" s="2557"/>
      <c r="BN12" s="2557"/>
      <c r="BO12" s="2557"/>
      <c r="BP12" s="2557"/>
      <c r="BQ12" s="2557"/>
      <c r="BR12" s="2557"/>
      <c r="BS12" s="2558"/>
      <c r="BT12" s="2555" t="s">
        <v>1000</v>
      </c>
      <c r="BU12" s="2559"/>
      <c r="BV12" s="2559"/>
      <c r="BW12" s="2556"/>
      <c r="BX12" s="2555" t="s">
        <v>1001</v>
      </c>
      <c r="BY12" s="2559"/>
      <c r="BZ12" s="2559"/>
      <c r="CA12" s="2556"/>
      <c r="CB12" s="2555" t="s">
        <v>1002</v>
      </c>
      <c r="CC12" s="2556"/>
      <c r="CD12" s="2555" t="s">
        <v>1003</v>
      </c>
      <c r="CE12" s="2559"/>
      <c r="CF12" s="2559"/>
      <c r="CG12" s="2559"/>
      <c r="CH12" s="2559"/>
      <c r="CI12" s="2559"/>
      <c r="CJ12" s="2559"/>
      <c r="CK12" s="2556"/>
      <c r="CL12" s="2565"/>
      <c r="CM12" s="2557"/>
      <c r="CN12" s="2557"/>
      <c r="CO12" s="2557"/>
      <c r="CP12" s="2557"/>
      <c r="CQ12" s="2557"/>
      <c r="CR12" s="2557"/>
      <c r="CS12" s="2557"/>
      <c r="CT12" s="2557"/>
      <c r="CU12" s="2557"/>
      <c r="CV12" s="2557"/>
      <c r="CW12" s="2557"/>
      <c r="CX12" s="2558"/>
      <c r="CY12" s="2555" t="s">
        <v>1004</v>
      </c>
      <c r="CZ12" s="2559"/>
      <c r="DA12" s="2559"/>
      <c r="DB12" s="2559"/>
      <c r="DC12" s="2559"/>
      <c r="DD12" s="2556"/>
      <c r="DE12" s="2555" t="s">
        <v>1005</v>
      </c>
      <c r="DF12" s="2556"/>
      <c r="DG12" s="2555" t="s">
        <v>1003</v>
      </c>
      <c r="DH12" s="2559"/>
      <c r="DI12" s="2559"/>
      <c r="DJ12" s="2556"/>
      <c r="DK12" s="2565"/>
      <c r="DL12" s="2557"/>
      <c r="DM12" s="2557"/>
      <c r="DN12" s="2557"/>
      <c r="DO12" s="2557"/>
      <c r="DP12" s="2557"/>
      <c r="DQ12" s="2557"/>
      <c r="DR12" s="2557"/>
      <c r="DS12" s="2557"/>
      <c r="DT12" s="2557"/>
      <c r="DU12" s="2557"/>
      <c r="DV12" s="2557"/>
      <c r="DW12" s="2557"/>
      <c r="DX12" s="2557"/>
      <c r="DY12" s="2557"/>
      <c r="DZ12" s="2557"/>
      <c r="EA12" s="2557"/>
      <c r="EB12" s="2557"/>
      <c r="EC12" s="2557"/>
      <c r="ED12" s="2557"/>
      <c r="EE12" s="2557"/>
      <c r="EF12" s="2557"/>
      <c r="EG12" s="2557"/>
      <c r="EH12" s="2557"/>
      <c r="EI12" s="2557"/>
      <c r="EJ12" s="2557"/>
      <c r="EK12" s="2557"/>
      <c r="EL12" s="2557"/>
      <c r="EM12" s="2557"/>
      <c r="EN12" s="2557"/>
      <c r="EO12" s="2557"/>
      <c r="EP12" s="2557"/>
      <c r="EQ12" s="2557"/>
      <c r="ER12" s="2557"/>
      <c r="ES12" s="2557"/>
      <c r="ET12" s="2557"/>
      <c r="EU12" s="2557"/>
      <c r="EV12" s="2557"/>
      <c r="EW12" s="2557"/>
      <c r="EX12" s="2557"/>
      <c r="EY12" s="2557"/>
      <c r="EZ12" s="2557"/>
      <c r="FA12" s="2557"/>
      <c r="FB12" s="2557"/>
      <c r="FC12" s="2557"/>
      <c r="FD12" s="2557"/>
      <c r="FE12" s="2557"/>
      <c r="FF12" s="2557"/>
      <c r="FG12" s="2557"/>
      <c r="FH12" s="2557"/>
      <c r="FI12" s="2557"/>
      <c r="FJ12" s="2557"/>
      <c r="FK12" s="2557"/>
      <c r="FL12" s="2557"/>
      <c r="FM12" s="2557"/>
      <c r="FN12" s="2557"/>
      <c r="FO12" s="2557"/>
      <c r="FP12" s="2557"/>
      <c r="FQ12" s="2557"/>
      <c r="FR12" s="2557"/>
      <c r="FS12" s="2557"/>
      <c r="FT12" s="2557"/>
      <c r="FU12" s="2557"/>
      <c r="FV12" s="2557"/>
      <c r="FW12" s="2563"/>
      <c r="FX12" s="985"/>
    </row>
    <row customHeight="1" ht="36">
      <c r="D13" s="1161"/>
      <c r="E13" s="1160"/>
      <c r="F13" s="2340"/>
      <c r="G13" s="2340"/>
      <c r="H13" s="2576"/>
      <c r="I13" s="2576"/>
      <c r="J13" s="2575"/>
      <c r="K13" s="2575"/>
      <c r="L13" s="2575"/>
      <c r="M13" s="2575"/>
      <c r="N13" s="2575"/>
      <c r="O13" s="2344" t="s">
        <v>1006</v>
      </c>
      <c r="P13" s="2344"/>
      <c r="Q13" s="2344"/>
      <c r="R13" s="2344"/>
      <c r="S13" s="2471" t="s">
        <v>1007</v>
      </c>
      <c r="T13" s="2553"/>
      <c r="U13" s="2254" t="s">
        <v>1008</v>
      </c>
      <c r="V13" s="2254"/>
      <c r="W13" s="2254"/>
      <c r="X13" s="2254"/>
      <c r="Y13" s="2254" t="s">
        <v>1009</v>
      </c>
      <c r="Z13" s="2254"/>
      <c r="AA13" s="2254"/>
      <c r="AB13" s="2254"/>
      <c r="AC13" s="2557"/>
      <c r="AD13" s="2557"/>
      <c r="AE13" s="2557"/>
      <c r="AF13" s="2557"/>
      <c r="AG13" s="2557"/>
      <c r="AH13" s="2557"/>
      <c r="AI13" s="2557"/>
      <c r="AJ13" s="2557"/>
      <c r="AK13" s="2557"/>
      <c r="AL13" s="2557"/>
      <c r="AM13" s="2557"/>
      <c r="AN13" s="2557"/>
      <c r="AO13" s="2557"/>
      <c r="AP13" s="2557"/>
      <c r="AQ13" s="2557"/>
      <c r="AR13" s="2557"/>
      <c r="AS13" s="2557"/>
      <c r="AT13" s="2557"/>
      <c r="AU13" s="2557"/>
      <c r="AV13" s="2557"/>
      <c r="AW13" s="2557"/>
      <c r="AX13" s="2557"/>
      <c r="AY13" s="2557"/>
      <c r="AZ13" s="2557"/>
      <c r="BA13" s="2557"/>
      <c r="BB13" s="2557"/>
      <c r="BC13" s="2557"/>
      <c r="BD13" s="2557"/>
      <c r="BE13" s="2557"/>
      <c r="BF13" s="2557"/>
      <c r="BG13" s="2557"/>
      <c r="BH13" s="2557"/>
      <c r="BI13" s="2557"/>
      <c r="BJ13" s="2557"/>
      <c r="BK13" s="2557"/>
      <c r="BL13" s="2557"/>
      <c r="BM13" s="2557"/>
      <c r="BN13" s="2557"/>
      <c r="BO13" s="2557"/>
      <c r="BP13" s="2557"/>
      <c r="BQ13" s="2557"/>
      <c r="BR13" s="2557"/>
      <c r="BS13" s="2558"/>
      <c r="BT13" s="2471" t="s">
        <v>1010</v>
      </c>
      <c r="BU13" s="2553"/>
      <c r="BV13" s="2471" t="s">
        <v>1011</v>
      </c>
      <c r="BW13" s="2553"/>
      <c r="BX13" s="2471" t="s">
        <v>1012</v>
      </c>
      <c r="BY13" s="2553"/>
      <c r="BZ13" s="2471" t="s">
        <v>1013</v>
      </c>
      <c r="CA13" s="2553"/>
      <c r="CB13" s="2471" t="s">
        <v>1014</v>
      </c>
      <c r="CC13" s="2553"/>
      <c r="CD13" s="2471" t="s">
        <v>1015</v>
      </c>
      <c r="CE13" s="2553"/>
      <c r="CF13" s="2471" t="s">
        <v>1016</v>
      </c>
      <c r="CG13" s="2553"/>
      <c r="CH13" s="2555" t="s">
        <v>1017</v>
      </c>
      <c r="CI13" s="2559"/>
      <c r="CJ13" s="2559"/>
      <c r="CK13" s="2556"/>
      <c r="CL13" s="2565"/>
      <c r="CM13" s="2557"/>
      <c r="CN13" s="2557"/>
      <c r="CO13" s="2557"/>
      <c r="CP13" s="2557"/>
      <c r="CQ13" s="2557"/>
      <c r="CR13" s="2557"/>
      <c r="CS13" s="2557"/>
      <c r="CT13" s="2557"/>
      <c r="CU13" s="2557"/>
      <c r="CV13" s="2557"/>
      <c r="CW13" s="2557"/>
      <c r="CX13" s="2558"/>
      <c r="CY13" s="2471" t="s">
        <v>1018</v>
      </c>
      <c r="CZ13" s="2553"/>
      <c r="DA13" s="2471" t="s">
        <v>1019</v>
      </c>
      <c r="DB13" s="2553"/>
      <c r="DC13" s="2471" t="s">
        <v>1020</v>
      </c>
      <c r="DD13" s="2553"/>
      <c r="DE13" s="2471" t="s">
        <v>1021</v>
      </c>
      <c r="DF13" s="2553"/>
      <c r="DG13" s="2555" t="s">
        <v>1022</v>
      </c>
      <c r="DH13" s="2559"/>
      <c r="DI13" s="2559"/>
      <c r="DJ13" s="2556"/>
      <c r="DK13" s="2565"/>
      <c r="DL13" s="2557"/>
      <c r="DM13" s="2557"/>
      <c r="DN13" s="2557"/>
      <c r="DO13" s="2557"/>
      <c r="DP13" s="2557"/>
      <c r="DQ13" s="2557"/>
      <c r="DR13" s="2557"/>
      <c r="DS13" s="2557"/>
      <c r="DT13" s="2557"/>
      <c r="DU13" s="2557"/>
      <c r="DV13" s="2557"/>
      <c r="DW13" s="2557"/>
      <c r="DX13" s="2557"/>
      <c r="DY13" s="2557"/>
      <c r="DZ13" s="2557"/>
      <c r="EA13" s="2557"/>
      <c r="EB13" s="2557"/>
      <c r="EC13" s="2557"/>
      <c r="ED13" s="2557"/>
      <c r="EE13" s="2557"/>
      <c r="EF13" s="2557"/>
      <c r="EG13" s="2557"/>
      <c r="EH13" s="2557"/>
      <c r="EI13" s="2557"/>
      <c r="EJ13" s="2557"/>
      <c r="EK13" s="2557"/>
      <c r="EL13" s="2557"/>
      <c r="EM13" s="2557"/>
      <c r="EN13" s="2557"/>
      <c r="EO13" s="2557"/>
      <c r="EP13" s="2557"/>
      <c r="EQ13" s="2557"/>
      <c r="ER13" s="2557"/>
      <c r="ES13" s="2557"/>
      <c r="ET13" s="2557"/>
      <c r="EU13" s="2557"/>
      <c r="EV13" s="2557"/>
      <c r="EW13" s="2557"/>
      <c r="EX13" s="2557"/>
      <c r="EY13" s="2557"/>
      <c r="EZ13" s="2557"/>
      <c r="FA13" s="2557"/>
      <c r="FB13" s="2557"/>
      <c r="FC13" s="2557"/>
      <c r="FD13" s="2557"/>
      <c r="FE13" s="2557"/>
      <c r="FF13" s="2557"/>
      <c r="FG13" s="2557"/>
      <c r="FH13" s="2557"/>
      <c r="FI13" s="2557"/>
      <c r="FJ13" s="2557"/>
      <c r="FK13" s="2557"/>
      <c r="FL13" s="2557"/>
      <c r="FM13" s="2557"/>
      <c r="FN13" s="2557"/>
      <c r="FO13" s="2557"/>
      <c r="FP13" s="2557"/>
      <c r="FQ13" s="2557"/>
      <c r="FR13" s="2557"/>
      <c r="FS13" s="2557"/>
      <c r="FT13" s="2557"/>
      <c r="FU13" s="2557"/>
      <c r="FV13" s="2557"/>
      <c r="FW13" s="2563"/>
      <c r="FX13" s="985"/>
    </row>
    <row customHeight="1" ht="36">
      <c r="D14" s="1161"/>
      <c r="E14" s="1160"/>
      <c r="F14" s="2340"/>
      <c r="G14" s="2340"/>
      <c r="H14" s="2576"/>
      <c r="I14" s="2576"/>
      <c r="J14" s="2575"/>
      <c r="K14" s="2575"/>
      <c r="L14" s="2575"/>
      <c r="M14" s="2575"/>
      <c r="N14" s="2575"/>
      <c r="O14" s="2471" t="s">
        <v>1023</v>
      </c>
      <c r="P14" s="2553"/>
      <c r="Q14" s="2471" t="s">
        <v>1024</v>
      </c>
      <c r="R14" s="2553"/>
      <c r="S14" s="2472"/>
      <c r="T14" s="2348"/>
      <c r="U14" s="2471" t="s">
        <v>753</v>
      </c>
      <c r="V14" s="2553"/>
      <c r="W14" s="2471" t="s">
        <v>756</v>
      </c>
      <c r="X14" s="2553"/>
      <c r="Y14" s="2471" t="s">
        <v>753</v>
      </c>
      <c r="Z14" s="2553"/>
      <c r="AA14" s="2471" t="s">
        <v>763</v>
      </c>
      <c r="AB14" s="2553"/>
      <c r="AC14" s="2557"/>
      <c r="AD14" s="2557"/>
      <c r="AE14" s="2557"/>
      <c r="AF14" s="2557"/>
      <c r="AG14" s="2557"/>
      <c r="AH14" s="2557"/>
      <c r="AI14" s="2557"/>
      <c r="AJ14" s="2557"/>
      <c r="AK14" s="2557"/>
      <c r="AL14" s="2557"/>
      <c r="AM14" s="2557"/>
      <c r="AN14" s="2557"/>
      <c r="AO14" s="2557"/>
      <c r="AP14" s="2557"/>
      <c r="AQ14" s="2557"/>
      <c r="AR14" s="2557"/>
      <c r="AS14" s="2557"/>
      <c r="AT14" s="2557"/>
      <c r="AU14" s="2557"/>
      <c r="AV14" s="2557"/>
      <c r="AW14" s="2557"/>
      <c r="AX14" s="2557"/>
      <c r="AY14" s="2557"/>
      <c r="AZ14" s="2557"/>
      <c r="BA14" s="2557"/>
      <c r="BB14" s="2557"/>
      <c r="BC14" s="2557"/>
      <c r="BD14" s="2557"/>
      <c r="BE14" s="2557"/>
      <c r="BF14" s="2557"/>
      <c r="BG14" s="2557"/>
      <c r="BH14" s="2557"/>
      <c r="BI14" s="2557"/>
      <c r="BJ14" s="2557"/>
      <c r="BK14" s="2557"/>
      <c r="BL14" s="2557"/>
      <c r="BM14" s="2557"/>
      <c r="BN14" s="2557"/>
      <c r="BO14" s="2557"/>
      <c r="BP14" s="2557"/>
      <c r="BQ14" s="2557"/>
      <c r="BR14" s="2557"/>
      <c r="BS14" s="2558"/>
      <c r="BT14" s="2472"/>
      <c r="BU14" s="2348"/>
      <c r="BV14" s="2472"/>
      <c r="BW14" s="2348"/>
      <c r="BX14" s="2472"/>
      <c r="BY14" s="2348"/>
      <c r="BZ14" s="2472"/>
      <c r="CA14" s="2348"/>
      <c r="CB14" s="2472"/>
      <c r="CC14" s="2348"/>
      <c r="CD14" s="2472"/>
      <c r="CE14" s="2348"/>
      <c r="CF14" s="2472"/>
      <c r="CG14" s="2348"/>
      <c r="CH14" s="2471" t="s">
        <v>1025</v>
      </c>
      <c r="CI14" s="2553"/>
      <c r="CJ14" s="2471" t="s">
        <v>1026</v>
      </c>
      <c r="CK14" s="2553"/>
      <c r="CL14" s="2565"/>
      <c r="CM14" s="2557"/>
      <c r="CN14" s="2557"/>
      <c r="CO14" s="2557"/>
      <c r="CP14" s="2557"/>
      <c r="CQ14" s="2557"/>
      <c r="CR14" s="2557"/>
      <c r="CS14" s="2557"/>
      <c r="CT14" s="2557"/>
      <c r="CU14" s="2557"/>
      <c r="CV14" s="2557"/>
      <c r="CW14" s="2557"/>
      <c r="CX14" s="2558"/>
      <c r="CY14" s="2472"/>
      <c r="CZ14" s="2348"/>
      <c r="DA14" s="2472"/>
      <c r="DB14" s="2348"/>
      <c r="DC14" s="2472"/>
      <c r="DD14" s="2348"/>
      <c r="DE14" s="2472"/>
      <c r="DF14" s="2348"/>
      <c r="DG14" s="2471" t="s">
        <v>1027</v>
      </c>
      <c r="DH14" s="2553"/>
      <c r="DI14" s="2471" t="s">
        <v>1028</v>
      </c>
      <c r="DJ14" s="2553"/>
      <c r="DK14" s="2565"/>
      <c r="DL14" s="2557"/>
      <c r="DM14" s="2557"/>
      <c r="DN14" s="2557"/>
      <c r="DO14" s="2557"/>
      <c r="DP14" s="2557"/>
      <c r="DQ14" s="2557"/>
      <c r="DR14" s="2557"/>
      <c r="DS14" s="2557"/>
      <c r="DT14" s="2557"/>
      <c r="DU14" s="2557"/>
      <c r="DV14" s="2557"/>
      <c r="DW14" s="2557"/>
      <c r="DX14" s="2557"/>
      <c r="DY14" s="2557"/>
      <c r="DZ14" s="2557"/>
      <c r="EA14" s="2557"/>
      <c r="EB14" s="2557"/>
      <c r="EC14" s="2557"/>
      <c r="ED14" s="2557"/>
      <c r="EE14" s="2557"/>
      <c r="EF14" s="2557"/>
      <c r="EG14" s="2557"/>
      <c r="EH14" s="2557"/>
      <c r="EI14" s="2557"/>
      <c r="EJ14" s="2557"/>
      <c r="EK14" s="2557"/>
      <c r="EL14" s="2557"/>
      <c r="EM14" s="2557"/>
      <c r="EN14" s="2557"/>
      <c r="EO14" s="2557"/>
      <c r="EP14" s="2557"/>
      <c r="EQ14" s="2557"/>
      <c r="ER14" s="2557"/>
      <c r="ES14" s="2557"/>
      <c r="ET14" s="2557"/>
      <c r="EU14" s="2557"/>
      <c r="EV14" s="2557"/>
      <c r="EW14" s="2557"/>
      <c r="EX14" s="2557"/>
      <c r="EY14" s="2557"/>
      <c r="EZ14" s="2557"/>
      <c r="FA14" s="2557"/>
      <c r="FB14" s="2557"/>
      <c r="FC14" s="2557"/>
      <c r="FD14" s="2557"/>
      <c r="FE14" s="2557"/>
      <c r="FF14" s="2557"/>
      <c r="FG14" s="2557"/>
      <c r="FH14" s="2557"/>
      <c r="FI14" s="2557"/>
      <c r="FJ14" s="2557"/>
      <c r="FK14" s="2557"/>
      <c r="FL14" s="2557"/>
      <c r="FM14" s="2557"/>
      <c r="FN14" s="2557"/>
      <c r="FO14" s="2557"/>
      <c r="FP14" s="2557"/>
      <c r="FQ14" s="2557"/>
      <c r="FR14" s="2557"/>
      <c r="FS14" s="2557"/>
      <c r="FT14" s="2557"/>
      <c r="FU14" s="2557"/>
      <c r="FV14" s="2557"/>
      <c r="FW14" s="2563"/>
      <c r="FX14" s="985"/>
    </row>
    <row customHeight="1" ht="36">
      <c r="D15" s="1161"/>
      <c r="E15" s="1160"/>
      <c r="F15" s="2340"/>
      <c r="G15" s="2340"/>
      <c r="H15" s="2576"/>
      <c r="I15" s="2576"/>
      <c r="J15" s="2575"/>
      <c r="K15" s="2575"/>
      <c r="L15" s="2575"/>
      <c r="M15" s="2575"/>
      <c r="N15" s="2575"/>
      <c r="O15" s="2473"/>
      <c r="P15" s="2554"/>
      <c r="Q15" s="2473"/>
      <c r="R15" s="2554"/>
      <c r="S15" s="2473"/>
      <c r="T15" s="2554"/>
      <c r="U15" s="2473"/>
      <c r="V15" s="2554"/>
      <c r="W15" s="2473"/>
      <c r="X15" s="2554"/>
      <c r="Y15" s="2473"/>
      <c r="Z15" s="2554"/>
      <c r="AA15" s="2473"/>
      <c r="AB15" s="2554"/>
      <c r="AC15" s="2557"/>
      <c r="AD15" s="2557"/>
      <c r="AE15" s="2557"/>
      <c r="AF15" s="2557"/>
      <c r="AG15" s="2557"/>
      <c r="AH15" s="2557"/>
      <c r="AI15" s="2557"/>
      <c r="AJ15" s="2557"/>
      <c r="AK15" s="2557"/>
      <c r="AL15" s="2557"/>
      <c r="AM15" s="2557"/>
      <c r="AN15" s="2557"/>
      <c r="AO15" s="2557"/>
      <c r="AP15" s="2557"/>
      <c r="AQ15" s="2557"/>
      <c r="AR15" s="2557"/>
      <c r="AS15" s="2557"/>
      <c r="AT15" s="2557"/>
      <c r="AU15" s="2557"/>
      <c r="AV15" s="2557"/>
      <c r="AW15" s="2557"/>
      <c r="AX15" s="2557"/>
      <c r="AY15" s="2557"/>
      <c r="AZ15" s="2557"/>
      <c r="BA15" s="2557"/>
      <c r="BB15" s="2557"/>
      <c r="BC15" s="2557"/>
      <c r="BD15" s="2557"/>
      <c r="BE15" s="2557"/>
      <c r="BF15" s="2557"/>
      <c r="BG15" s="2557"/>
      <c r="BH15" s="2557"/>
      <c r="BI15" s="2557"/>
      <c r="BJ15" s="2557"/>
      <c r="BK15" s="2557"/>
      <c r="BL15" s="2557"/>
      <c r="BM15" s="2557"/>
      <c r="BN15" s="2557"/>
      <c r="BO15" s="2557"/>
      <c r="BP15" s="2557"/>
      <c r="BQ15" s="2557"/>
      <c r="BR15" s="2557"/>
      <c r="BS15" s="2558"/>
      <c r="BT15" s="2473"/>
      <c r="BU15" s="2554"/>
      <c r="BV15" s="2473"/>
      <c r="BW15" s="2554"/>
      <c r="BX15" s="2473"/>
      <c r="BY15" s="2554"/>
      <c r="BZ15" s="2473"/>
      <c r="CA15" s="2554"/>
      <c r="CB15" s="2473"/>
      <c r="CC15" s="2554"/>
      <c r="CD15" s="2473"/>
      <c r="CE15" s="2554"/>
      <c r="CF15" s="2473"/>
      <c r="CG15" s="2554"/>
      <c r="CH15" s="2473"/>
      <c r="CI15" s="2554"/>
      <c r="CJ15" s="2473"/>
      <c r="CK15" s="2554"/>
      <c r="CL15" s="2565"/>
      <c r="CM15" s="2557"/>
      <c r="CN15" s="2557"/>
      <c r="CO15" s="2557"/>
      <c r="CP15" s="2557"/>
      <c r="CQ15" s="2557"/>
      <c r="CR15" s="2557"/>
      <c r="CS15" s="2557"/>
      <c r="CT15" s="2557"/>
      <c r="CU15" s="2557"/>
      <c r="CV15" s="2557"/>
      <c r="CW15" s="2557"/>
      <c r="CX15" s="2558"/>
      <c r="CY15" s="2473"/>
      <c r="CZ15" s="2554"/>
      <c r="DA15" s="2473"/>
      <c r="DB15" s="2554"/>
      <c r="DC15" s="2473"/>
      <c r="DD15" s="2554"/>
      <c r="DE15" s="2473"/>
      <c r="DF15" s="2554"/>
      <c r="DG15" s="2473"/>
      <c r="DH15" s="2554"/>
      <c r="DI15" s="2473"/>
      <c r="DJ15" s="2554"/>
      <c r="DK15" s="2565"/>
      <c r="DL15" s="2557"/>
      <c r="DM15" s="2557"/>
      <c r="DN15" s="2557"/>
      <c r="DO15" s="2557"/>
      <c r="DP15" s="2557"/>
      <c r="DQ15" s="2557"/>
      <c r="DR15" s="2557"/>
      <c r="DS15" s="2557"/>
      <c r="DT15" s="2557"/>
      <c r="DU15" s="2557"/>
      <c r="DV15" s="2557"/>
      <c r="DW15" s="2557"/>
      <c r="DX15" s="2557"/>
      <c r="DY15" s="2557"/>
      <c r="DZ15" s="2557"/>
      <c r="EA15" s="2557"/>
      <c r="EB15" s="2557"/>
      <c r="EC15" s="2557"/>
      <c r="ED15" s="2557"/>
      <c r="EE15" s="2557"/>
      <c r="EF15" s="2557"/>
      <c r="EG15" s="2557"/>
      <c r="EH15" s="2557"/>
      <c r="EI15" s="2557"/>
      <c r="EJ15" s="2557"/>
      <c r="EK15" s="2557"/>
      <c r="EL15" s="2557"/>
      <c r="EM15" s="2557"/>
      <c r="EN15" s="2557"/>
      <c r="EO15" s="2557"/>
      <c r="EP15" s="2557"/>
      <c r="EQ15" s="2557"/>
      <c r="ER15" s="2557"/>
      <c r="ES15" s="2557"/>
      <c r="ET15" s="2557"/>
      <c r="EU15" s="2557"/>
      <c r="EV15" s="2557"/>
      <c r="EW15" s="2557"/>
      <c r="EX15" s="2557"/>
      <c r="EY15" s="2557"/>
      <c r="EZ15" s="2557"/>
      <c r="FA15" s="2557"/>
      <c r="FB15" s="2557"/>
      <c r="FC15" s="2557"/>
      <c r="FD15" s="2557"/>
      <c r="FE15" s="2557"/>
      <c r="FF15" s="2557"/>
      <c r="FG15" s="2557"/>
      <c r="FH15" s="2557"/>
      <c r="FI15" s="2557"/>
      <c r="FJ15" s="2557"/>
      <c r="FK15" s="2557"/>
      <c r="FL15" s="2557"/>
      <c r="FM15" s="2557"/>
      <c r="FN15" s="2557"/>
      <c r="FO15" s="2557"/>
      <c r="FP15" s="2557"/>
      <c r="FQ15" s="2557"/>
      <c r="FR15" s="2557"/>
      <c r="FS15" s="2557"/>
      <c r="FT15" s="2557"/>
      <c r="FU15" s="2557"/>
      <c r="FV15" s="2557"/>
      <c r="FW15" s="2563"/>
      <c r="FX15" s="985"/>
    </row>
    <row customHeight="1" ht="12">
      <c r="D16" s="1161"/>
      <c r="E16" s="1160"/>
      <c r="F16" s="2340"/>
      <c r="G16" s="2340"/>
      <c r="H16" s="2576"/>
      <c r="I16" s="2576"/>
      <c r="J16" s="2575"/>
      <c r="K16" s="2575"/>
      <c r="L16" s="2575"/>
      <c r="M16" s="2575"/>
      <c r="N16" s="2575"/>
      <c r="O16" s="2555" t="s">
        <v>743</v>
      </c>
      <c r="P16" s="2556"/>
      <c r="Q16" s="2555" t="s">
        <v>745</v>
      </c>
      <c r="R16" s="2556"/>
      <c r="S16" s="2555" t="s">
        <v>749</v>
      </c>
      <c r="T16" s="2556"/>
      <c r="U16" s="2555" t="s">
        <v>754</v>
      </c>
      <c r="V16" s="2556"/>
      <c r="W16" s="2555" t="s">
        <v>757</v>
      </c>
      <c r="X16" s="2556"/>
      <c r="Y16" s="2555" t="s">
        <v>761</v>
      </c>
      <c r="Z16" s="2556"/>
      <c r="AA16" s="2555" t="s">
        <v>764</v>
      </c>
      <c r="AB16" s="2556"/>
      <c r="AC16" s="2557"/>
      <c r="AD16" s="2557"/>
      <c r="AE16" s="2557"/>
      <c r="AF16" s="2557"/>
      <c r="AG16" s="2557"/>
      <c r="AH16" s="2557"/>
      <c r="AI16" s="2557"/>
      <c r="AJ16" s="2557"/>
      <c r="AK16" s="2557"/>
      <c r="AL16" s="2557"/>
      <c r="AM16" s="2557"/>
      <c r="AN16" s="2557"/>
      <c r="AO16" s="2557"/>
      <c r="AP16" s="2557"/>
      <c r="AQ16" s="2557"/>
      <c r="AR16" s="2557"/>
      <c r="AS16" s="2557"/>
      <c r="AT16" s="2557"/>
      <c r="AU16" s="2557"/>
      <c r="AV16" s="2557"/>
      <c r="AW16" s="2557"/>
      <c r="AX16" s="2557"/>
      <c r="AY16" s="2557"/>
      <c r="AZ16" s="2557"/>
      <c r="BA16" s="2557"/>
      <c r="BB16" s="2557"/>
      <c r="BC16" s="2557"/>
      <c r="BD16" s="2557"/>
      <c r="BE16" s="2557"/>
      <c r="BF16" s="2557"/>
      <c r="BG16" s="2557"/>
      <c r="BH16" s="2557"/>
      <c r="BI16" s="2557"/>
      <c r="BJ16" s="2557"/>
      <c r="BK16" s="2557"/>
      <c r="BL16" s="2557"/>
      <c r="BM16" s="2557"/>
      <c r="BN16" s="2557"/>
      <c r="BO16" s="2557"/>
      <c r="BP16" s="2557"/>
      <c r="BQ16" s="2557"/>
      <c r="BR16" s="2557"/>
      <c r="BS16" s="2558"/>
      <c r="BT16" s="2555" t="s">
        <v>561</v>
      </c>
      <c r="BU16" s="2556"/>
      <c r="BV16" s="2555" t="s">
        <v>561</v>
      </c>
      <c r="BW16" s="2556"/>
      <c r="BX16" s="2555" t="s">
        <v>561</v>
      </c>
      <c r="BY16" s="2556"/>
      <c r="BZ16" s="2555" t="s">
        <v>561</v>
      </c>
      <c r="CA16" s="2556"/>
      <c r="CB16" s="2555" t="s">
        <v>1029</v>
      </c>
      <c r="CC16" s="2556"/>
      <c r="CD16" s="2555" t="s">
        <v>561</v>
      </c>
      <c r="CE16" s="2556"/>
      <c r="CF16" s="2555" t="s">
        <v>1030</v>
      </c>
      <c r="CG16" s="2556"/>
      <c r="CH16" s="2555" t="s">
        <v>1031</v>
      </c>
      <c r="CI16" s="2556"/>
      <c r="CJ16" s="2555" t="s">
        <v>1031</v>
      </c>
      <c r="CK16" s="2556"/>
      <c r="CL16" s="2565"/>
      <c r="CM16" s="2557"/>
      <c r="CN16" s="2557"/>
      <c r="CO16" s="2557"/>
      <c r="CP16" s="2557"/>
      <c r="CQ16" s="2557"/>
      <c r="CR16" s="2557"/>
      <c r="CS16" s="2557"/>
      <c r="CT16" s="2557"/>
      <c r="CU16" s="2557"/>
      <c r="CV16" s="2557"/>
      <c r="CW16" s="2557"/>
      <c r="CX16" s="2558"/>
      <c r="CY16" s="2471" t="s">
        <v>561</v>
      </c>
      <c r="CZ16" s="2553"/>
      <c r="DA16" s="2471" t="s">
        <v>561</v>
      </c>
      <c r="DB16" s="2553"/>
      <c r="DC16" s="2471" t="s">
        <v>561</v>
      </c>
      <c r="DD16" s="2553"/>
      <c r="DE16" s="2555" t="s">
        <v>1029</v>
      </c>
      <c r="DF16" s="2556"/>
      <c r="DG16" s="2555" t="s">
        <v>1032</v>
      </c>
      <c r="DH16" s="2556"/>
      <c r="DI16" s="2555" t="s">
        <v>1032</v>
      </c>
      <c r="DJ16" s="2556"/>
      <c r="DK16" s="2565"/>
      <c r="DL16" s="2557"/>
      <c r="DM16" s="2557"/>
      <c r="DN16" s="2557"/>
      <c r="DO16" s="2557"/>
      <c r="DP16" s="2557"/>
      <c r="DQ16" s="2557"/>
      <c r="DR16" s="2557"/>
      <c r="DS16" s="2557"/>
      <c r="DT16" s="2557"/>
      <c r="DU16" s="2557"/>
      <c r="DV16" s="2557"/>
      <c r="DW16" s="2557"/>
      <c r="DX16" s="2557"/>
      <c r="DY16" s="2557"/>
      <c r="DZ16" s="2557"/>
      <c r="EA16" s="2557"/>
      <c r="EB16" s="2557"/>
      <c r="EC16" s="2557"/>
      <c r="ED16" s="2557"/>
      <c r="EE16" s="2557"/>
      <c r="EF16" s="2557"/>
      <c r="EG16" s="2557"/>
      <c r="EH16" s="2557"/>
      <c r="EI16" s="2557"/>
      <c r="EJ16" s="2557"/>
      <c r="EK16" s="2557"/>
      <c r="EL16" s="2557"/>
      <c r="EM16" s="2557"/>
      <c r="EN16" s="2557"/>
      <c r="EO16" s="2557"/>
      <c r="EP16" s="2557"/>
      <c r="EQ16" s="2557"/>
      <c r="ER16" s="2557"/>
      <c r="ES16" s="2557"/>
      <c r="ET16" s="2557"/>
      <c r="EU16" s="2557"/>
      <c r="EV16" s="2557"/>
      <c r="EW16" s="2557"/>
      <c r="EX16" s="2557"/>
      <c r="EY16" s="2557"/>
      <c r="EZ16" s="2557"/>
      <c r="FA16" s="2557"/>
      <c r="FB16" s="2557"/>
      <c r="FC16" s="2557"/>
      <c r="FD16" s="2557"/>
      <c r="FE16" s="2557"/>
      <c r="FF16" s="2557"/>
      <c r="FG16" s="2557"/>
      <c r="FH16" s="2557"/>
      <c r="FI16" s="2557"/>
      <c r="FJ16" s="2557"/>
      <c r="FK16" s="2557"/>
      <c r="FL16" s="2557"/>
      <c r="FM16" s="2557"/>
      <c r="FN16" s="2557"/>
      <c r="FO16" s="2557"/>
      <c r="FP16" s="2557"/>
      <c r="FQ16" s="2557"/>
      <c r="FR16" s="2557"/>
      <c r="FS16" s="2557"/>
      <c r="FT16" s="2557"/>
      <c r="FU16" s="2557"/>
      <c r="FV16" s="2557"/>
      <c r="FW16" s="2563"/>
      <c r="FX16" s="985"/>
    </row>
    <row customHeight="1" ht="15">
      <c r="E17" s="1160"/>
      <c r="F17" s="2340"/>
      <c r="G17" s="2340"/>
      <c r="H17" s="2576"/>
      <c r="I17" s="2576"/>
      <c r="J17" s="2575"/>
      <c r="K17" s="2575"/>
      <c r="L17" s="2575"/>
      <c r="M17" s="2575"/>
      <c r="N17" s="2575"/>
      <c r="O17" s="1418" t="s">
        <v>1033</v>
      </c>
      <c r="P17" s="1418" t="s">
        <v>1034</v>
      </c>
      <c r="Q17" s="1418" t="s">
        <v>1033</v>
      </c>
      <c r="R17" s="1418" t="s">
        <v>1034</v>
      </c>
      <c r="S17" s="1418" t="s">
        <v>1033</v>
      </c>
      <c r="T17" s="1418" t="s">
        <v>1034</v>
      </c>
      <c r="U17" s="1418" t="s">
        <v>1033</v>
      </c>
      <c r="V17" s="1418" t="s">
        <v>1034</v>
      </c>
      <c r="W17" s="1418" t="s">
        <v>1033</v>
      </c>
      <c r="X17" s="1418" t="s">
        <v>1034</v>
      </c>
      <c r="Y17" s="1418" t="s">
        <v>1033</v>
      </c>
      <c r="Z17" s="1418" t="s">
        <v>1034</v>
      </c>
      <c r="AA17" s="1418" t="s">
        <v>1033</v>
      </c>
      <c r="AB17" s="1418" t="s">
        <v>1034</v>
      </c>
      <c r="AC17" s="2557"/>
      <c r="AD17" s="2557"/>
      <c r="AE17" s="2557"/>
      <c r="AF17" s="2557"/>
      <c r="AG17" s="2557"/>
      <c r="AH17" s="2557"/>
      <c r="AI17" s="2557"/>
      <c r="AJ17" s="2557"/>
      <c r="AK17" s="2557"/>
      <c r="AL17" s="2557"/>
      <c r="AM17" s="2557"/>
      <c r="AN17" s="2557"/>
      <c r="AO17" s="2557"/>
      <c r="AP17" s="2557"/>
      <c r="AQ17" s="2557"/>
      <c r="AR17" s="2557"/>
      <c r="AS17" s="2557"/>
      <c r="AT17" s="2557"/>
      <c r="AU17" s="2557"/>
      <c r="AV17" s="2557"/>
      <c r="AW17" s="2557"/>
      <c r="AX17" s="2557"/>
      <c r="AY17" s="2557"/>
      <c r="AZ17" s="2557"/>
      <c r="BA17" s="2557"/>
      <c r="BB17" s="2557"/>
      <c r="BC17" s="2557"/>
      <c r="BD17" s="2557"/>
      <c r="BE17" s="2557"/>
      <c r="BF17" s="2557"/>
      <c r="BG17" s="2557"/>
      <c r="BH17" s="2557"/>
      <c r="BI17" s="2557"/>
      <c r="BJ17" s="2557"/>
      <c r="BK17" s="2557"/>
      <c r="BL17" s="2557"/>
      <c r="BM17" s="2557"/>
      <c r="BN17" s="2557"/>
      <c r="BO17" s="2557"/>
      <c r="BP17" s="2557"/>
      <c r="BQ17" s="2557"/>
      <c r="BR17" s="2557"/>
      <c r="BS17" s="2558"/>
      <c r="BT17" s="1418" t="s">
        <v>1033</v>
      </c>
      <c r="BU17" s="1418" t="s">
        <v>1034</v>
      </c>
      <c r="BV17" s="1418" t="s">
        <v>1033</v>
      </c>
      <c r="BW17" s="1418" t="s">
        <v>1034</v>
      </c>
      <c r="BX17" s="1418" t="s">
        <v>1033</v>
      </c>
      <c r="BY17" s="1418" t="s">
        <v>1034</v>
      </c>
      <c r="BZ17" s="1418" t="s">
        <v>1033</v>
      </c>
      <c r="CA17" s="1418" t="s">
        <v>1034</v>
      </c>
      <c r="CB17" s="1418" t="s">
        <v>1033</v>
      </c>
      <c r="CC17" s="1418" t="s">
        <v>1034</v>
      </c>
      <c r="CD17" s="1418" t="s">
        <v>1033</v>
      </c>
      <c r="CE17" s="1418" t="s">
        <v>1034</v>
      </c>
      <c r="CF17" s="1418" t="s">
        <v>1033</v>
      </c>
      <c r="CG17" s="1418" t="s">
        <v>1034</v>
      </c>
      <c r="CH17" s="1418" t="s">
        <v>1033</v>
      </c>
      <c r="CI17" s="1418" t="s">
        <v>1034</v>
      </c>
      <c r="CJ17" s="1418" t="s">
        <v>1033</v>
      </c>
      <c r="CK17" s="1418" t="s">
        <v>1034</v>
      </c>
      <c r="CL17" s="2565"/>
      <c r="CM17" s="2557"/>
      <c r="CN17" s="2557"/>
      <c r="CO17" s="2557"/>
      <c r="CP17" s="2557"/>
      <c r="CQ17" s="2557"/>
      <c r="CR17" s="2557"/>
      <c r="CS17" s="2557"/>
      <c r="CT17" s="2557"/>
      <c r="CU17" s="2557"/>
      <c r="CV17" s="2557"/>
      <c r="CW17" s="2557"/>
      <c r="CX17" s="2558"/>
      <c r="CY17" s="1418" t="s">
        <v>1033</v>
      </c>
      <c r="CZ17" s="1418" t="s">
        <v>1034</v>
      </c>
      <c r="DA17" s="1418" t="s">
        <v>1033</v>
      </c>
      <c r="DB17" s="1418" t="s">
        <v>1034</v>
      </c>
      <c r="DC17" s="1418" t="s">
        <v>1033</v>
      </c>
      <c r="DD17" s="1418" t="s">
        <v>1034</v>
      </c>
      <c r="DE17" s="1418" t="s">
        <v>1033</v>
      </c>
      <c r="DF17" s="1418" t="s">
        <v>1034</v>
      </c>
      <c r="DG17" s="1418" t="s">
        <v>1033</v>
      </c>
      <c r="DH17" s="1418" t="s">
        <v>1034</v>
      </c>
      <c r="DI17" s="1418" t="s">
        <v>1033</v>
      </c>
      <c r="DJ17" s="1418" t="s">
        <v>1034</v>
      </c>
      <c r="DK17" s="2565"/>
      <c r="DL17" s="2557"/>
      <c r="DM17" s="2557"/>
      <c r="DN17" s="2557"/>
      <c r="DO17" s="2557"/>
      <c r="DP17" s="2557"/>
      <c r="DQ17" s="2557"/>
      <c r="DR17" s="2557"/>
      <c r="DS17" s="2557"/>
      <c r="DT17" s="2557"/>
      <c r="DU17" s="2557"/>
      <c r="DV17" s="2557"/>
      <c r="DW17" s="2557"/>
      <c r="DX17" s="2557"/>
      <c r="DY17" s="2557"/>
      <c r="DZ17" s="2557"/>
      <c r="EA17" s="2557"/>
      <c r="EB17" s="2557"/>
      <c r="EC17" s="2557"/>
      <c r="ED17" s="2557"/>
      <c r="EE17" s="2557"/>
      <c r="EF17" s="2557"/>
      <c r="EG17" s="2557"/>
      <c r="EH17" s="2557"/>
      <c r="EI17" s="2557"/>
      <c r="EJ17" s="2557"/>
      <c r="EK17" s="2557"/>
      <c r="EL17" s="2557"/>
      <c r="EM17" s="2557"/>
      <c r="EN17" s="2557"/>
      <c r="EO17" s="2557"/>
      <c r="EP17" s="2557"/>
      <c r="EQ17" s="2557"/>
      <c r="ER17" s="2557"/>
      <c r="ES17" s="2557"/>
      <c r="ET17" s="2557"/>
      <c r="EU17" s="2557"/>
      <c r="EV17" s="2557"/>
      <c r="EW17" s="2557"/>
      <c r="EX17" s="2557"/>
      <c r="EY17" s="2557"/>
      <c r="EZ17" s="2557"/>
      <c r="FA17" s="2557"/>
      <c r="FB17" s="2557"/>
      <c r="FC17" s="2557"/>
      <c r="FD17" s="2557"/>
      <c r="FE17" s="2557"/>
      <c r="FF17" s="2557"/>
      <c r="FG17" s="2557"/>
      <c r="FH17" s="2557"/>
      <c r="FI17" s="2557"/>
      <c r="FJ17" s="2557"/>
      <c r="FK17" s="2557"/>
      <c r="FL17" s="2557"/>
      <c r="FM17" s="2557"/>
      <c r="FN17" s="2557"/>
      <c r="FO17" s="2557"/>
      <c r="FP17" s="2557"/>
      <c r="FQ17" s="2557"/>
      <c r="FR17" s="2557"/>
      <c r="FS17" s="2557"/>
      <c r="FT17" s="2557"/>
      <c r="FU17" s="2557"/>
      <c r="FV17" s="2557"/>
      <c r="FW17" s="2564"/>
      <c r="FX17" s="985"/>
    </row>
    <row s="17129" customFormat="1" customHeight="1" ht="12" hidden="1">
      <c r="B18" s="1146"/>
      <c r="E18" s="1162"/>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row>
    <row s="17129" customFormat="1" customHeight="1" ht="11.25" hidden="1">
      <c r="B19" s="1146"/>
      <c r="E19" s="1162"/>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row>
    <row s="17075" customFormat="1" customHeight="1" ht="11.25" hidden="1">
      <c r="B20" s="1163"/>
      <c r="D20" s="1147"/>
      <c r="E20" s="1162"/>
      <c r="F20" s="1424" t="s">
        <v>377</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row>
    <row s="17075" customFormat="1" customHeight="1" ht="12">
      <c r="A21" s="1164"/>
      <c r="B21" s="1164"/>
      <c r="C21" s="1164"/>
      <c r="D21" s="1164"/>
      <c r="E21" s="1164"/>
      <c r="F21" s="1162"/>
      <c r="G21" s="1162"/>
      <c r="H21" s="1162"/>
      <c r="I21" s="1162"/>
      <c r="J21" s="1162"/>
      <c r="K21" s="1162"/>
      <c r="L21" s="1162"/>
      <c r="M21" s="1162"/>
      <c r="N21" s="1162"/>
      <c r="O21" s="1162"/>
      <c r="P21" s="1162"/>
      <c r="Q21" s="1162"/>
      <c r="R21" s="1162"/>
      <c r="S21" s="1165"/>
      <c r="T21" s="1165"/>
      <c r="U21" s="1162"/>
      <c r="V21" s="1162"/>
      <c r="W21" s="1162"/>
      <c r="X21" s="1162"/>
      <c r="Y21" s="1162"/>
      <c r="Z21" s="1162"/>
      <c r="AA21" s="1162"/>
      <c r="AB21" s="1162"/>
      <c r="AC21" s="1162"/>
      <c r="AD21" s="1162"/>
      <c r="AE21" s="1162"/>
      <c r="AF21" s="1162"/>
      <c r="AG21" s="1162"/>
      <c r="AH21" s="1162"/>
      <c r="AI21" s="1162"/>
      <c r="AJ21" s="1162"/>
      <c r="AK21" s="1162"/>
      <c r="AL21" s="1162"/>
      <c r="AM21" s="1162"/>
      <c r="AN21" s="1162"/>
      <c r="AO21" s="1162"/>
      <c r="AP21" s="1162"/>
      <c r="AQ21" s="1162"/>
      <c r="AR21" s="1162"/>
      <c r="AS21" s="1162"/>
      <c r="AT21" s="1162"/>
      <c r="AU21" s="1162"/>
      <c r="AV21" s="1162"/>
      <c r="AW21" s="1162"/>
      <c r="AX21" s="1162"/>
      <c r="AY21" s="1162"/>
      <c r="AZ21" s="1162"/>
      <c r="BA21" s="1162"/>
      <c r="BB21" s="1162"/>
      <c r="BC21" s="1162"/>
      <c r="BD21" s="1162"/>
      <c r="BE21" s="1162"/>
      <c r="BF21" s="1162"/>
      <c r="BG21" s="1162"/>
      <c r="BH21" s="1162"/>
      <c r="BI21" s="1162"/>
      <c r="BJ21" s="1162"/>
      <c r="BK21" s="1162"/>
      <c r="BL21" s="1162"/>
      <c r="BM21" s="1162"/>
      <c r="BN21" s="1162"/>
      <c r="BO21" s="1162"/>
      <c r="BP21" s="1162"/>
      <c r="BQ21" s="1162"/>
      <c r="BR21" s="1162"/>
      <c r="BS21" s="1162"/>
      <c r="BT21" s="1162"/>
      <c r="BU21" s="1162"/>
      <c r="BV21" s="1162"/>
      <c r="BW21" s="1162"/>
      <c r="BX21" s="1162"/>
      <c r="BY21" s="1162"/>
      <c r="BZ21" s="1162"/>
      <c r="CA21" s="1162"/>
      <c r="CB21" s="1162"/>
      <c r="CC21" s="1162"/>
      <c r="CD21" s="1162"/>
      <c r="CE21" s="1162"/>
      <c r="CF21" s="1162"/>
      <c r="CG21" s="1162"/>
      <c r="CH21" s="1162"/>
      <c r="CI21" s="1162"/>
      <c r="CJ21" s="1162"/>
      <c r="CK21" s="1162"/>
      <c r="CL21" s="1162"/>
      <c r="CM21" s="1162"/>
      <c r="CN21" s="1162"/>
      <c r="CO21" s="1162"/>
      <c r="CP21" s="1162"/>
      <c r="CQ21" s="1162"/>
      <c r="CR21" s="1162"/>
      <c r="CS21" s="1162"/>
      <c r="CT21" s="1162"/>
      <c r="CU21" s="1162"/>
      <c r="CV21" s="1162"/>
      <c r="CW21" s="1162"/>
      <c r="CX21" s="1162"/>
      <c r="CY21" s="1162"/>
      <c r="CZ21" s="1162"/>
      <c r="DA21" s="1162"/>
      <c r="DB21" s="1162"/>
      <c r="DC21" s="1162"/>
      <c r="DD21" s="1162"/>
      <c r="DE21" s="1162"/>
      <c r="DF21" s="1162"/>
      <c r="DG21" s="1162"/>
      <c r="DH21" s="1162"/>
      <c r="DI21" s="1162"/>
      <c r="DJ21" s="1162"/>
      <c r="DK21" s="1162"/>
      <c r="DL21" s="1162"/>
      <c r="DM21" s="1162"/>
      <c r="DN21" s="1162"/>
      <c r="DO21" s="1162"/>
      <c r="DP21" s="1162"/>
      <c r="DQ21" s="1162"/>
      <c r="DR21" s="1162"/>
      <c r="DS21" s="1162"/>
      <c r="DT21" s="1162"/>
      <c r="DU21" s="1162"/>
      <c r="DV21" s="1162"/>
      <c r="DW21" s="1162"/>
      <c r="DX21" s="1162"/>
      <c r="DY21" s="1162"/>
      <c r="DZ21" s="1162"/>
      <c r="EA21" s="1162"/>
      <c r="EB21" s="1162"/>
      <c r="EC21" s="1162"/>
      <c r="ED21" s="1162"/>
      <c r="EE21" s="1162"/>
      <c r="EF21" s="1162"/>
      <c r="EG21" s="1162"/>
      <c r="EH21" s="1162"/>
      <c r="EI21" s="1162"/>
      <c r="EJ21" s="1162"/>
      <c r="EK21" s="1162"/>
      <c r="EL21" s="1162"/>
      <c r="EM21" s="1162"/>
      <c r="EN21" s="1162"/>
      <c r="EO21" s="1162"/>
      <c r="EP21" s="1162"/>
      <c r="EQ21" s="1162"/>
      <c r="ER21" s="1162"/>
      <c r="ES21" s="1162"/>
      <c r="ET21" s="1162"/>
      <c r="EU21" s="1162"/>
      <c r="EV21" s="1162"/>
      <c r="EW21" s="1162"/>
      <c r="EX21" s="1162"/>
      <c r="EY21" s="1162"/>
      <c r="EZ21" s="1162"/>
      <c r="FA21" s="1162"/>
      <c r="FB21" s="1162"/>
      <c r="FC21" s="1162"/>
      <c r="FD21" s="1162"/>
      <c r="FE21" s="1162"/>
      <c r="FF21" s="1162"/>
      <c r="FG21" s="1162"/>
      <c r="FH21" s="1162"/>
      <c r="FI21" s="1162"/>
      <c r="FJ21" s="1162"/>
      <c r="FK21" s="1162"/>
      <c r="FL21" s="1162"/>
      <c r="FM21" s="1162"/>
      <c r="FN21" s="1162"/>
      <c r="FO21" s="1162"/>
      <c r="FP21" s="1162"/>
      <c r="FQ21" s="1162"/>
      <c r="FR21" s="1162"/>
      <c r="FS21" s="1162"/>
      <c r="FT21" s="1162"/>
      <c r="FU21" s="1162"/>
      <c r="FV21" s="1162"/>
      <c r="FW21" s="1162"/>
      <c r="FX21" s="1164"/>
      <c r="FY21" s="1164"/>
      <c r="FZ21" s="1164"/>
      <c r="GA21" s="1164"/>
      <c r="GB21" s="1164"/>
    </row>
    <row s="17075" customFormat="1" customHeight="1" ht="12">
      <c r="A22" s="1164"/>
      <c r="B22" s="1164"/>
      <c r="C22" s="1164"/>
      <c r="D22" s="1164"/>
      <c r="E22" s="1164"/>
      <c r="FX22" s="1164"/>
      <c r="FY22" s="1164"/>
      <c r="FZ22" s="1164"/>
      <c r="GA22" s="1164"/>
      <c r="GB22" s="1164"/>
    </row>
    <row s="17145" customFormat="1" customHeight="1" ht="12">
      <c r="A23" s="1286"/>
      <c r="B23" s="1286"/>
      <c r="C23" s="1286"/>
      <c r="D23" s="1286"/>
      <c r="E23" s="1286"/>
      <c r="O23" s="1288"/>
      <c r="P23" s="1288"/>
      <c r="Q23" s="1288"/>
      <c r="R23" s="1288"/>
      <c r="S23" s="1288"/>
      <c r="T23" s="1288"/>
      <c r="U23" s="1288"/>
      <c r="V23" s="1288"/>
      <c r="W23" s="1288"/>
      <c r="X23" s="1288"/>
      <c r="Y23" s="1288"/>
      <c r="Z23" s="1288"/>
      <c r="AA23" s="1288"/>
      <c r="AB23" s="1288"/>
      <c r="AC23" s="1288"/>
      <c r="AD23" s="1288"/>
      <c r="AE23" s="1288"/>
      <c r="AF23" s="1288"/>
      <c r="AG23" s="1288"/>
      <c r="AH23" s="1288"/>
      <c r="AI23" s="1288"/>
      <c r="AJ23" s="1288"/>
      <c r="AK23" s="1288"/>
      <c r="AL23" s="1288"/>
      <c r="AM23" s="1288"/>
      <c r="AN23" s="1288"/>
      <c r="AO23" s="1288"/>
      <c r="AP23" s="1288"/>
      <c r="AQ23" s="1288"/>
      <c r="AR23" s="1288"/>
      <c r="AS23" s="1288"/>
      <c r="AT23" s="1288"/>
      <c r="AU23" s="1288"/>
      <c r="AV23" s="1288"/>
      <c r="AW23" s="1288"/>
      <c r="AX23" s="1288"/>
      <c r="AY23" s="1288"/>
      <c r="AZ23" s="1288"/>
      <c r="BA23" s="1288"/>
      <c r="BB23" s="1288"/>
      <c r="BC23" s="1288"/>
      <c r="BD23" s="1288"/>
      <c r="BE23" s="1288"/>
      <c r="BF23" s="1288"/>
      <c r="BG23" s="1288"/>
      <c r="BH23" s="1288"/>
      <c r="BI23" s="1288"/>
      <c r="BJ23" s="1288"/>
      <c r="BK23" s="1288"/>
      <c r="BL23" s="1288"/>
      <c r="BM23" s="1288"/>
      <c r="BN23" s="1288"/>
      <c r="BO23" s="1288"/>
      <c r="BP23" s="1288"/>
      <c r="BQ23" s="1288"/>
      <c r="BR23" s="1288"/>
      <c r="BS23" s="1288"/>
      <c r="BT23" s="1289"/>
      <c r="BU23" s="1289"/>
      <c r="BV23" s="1289"/>
      <c r="BW23" s="1289"/>
      <c r="BX23" s="1289"/>
      <c r="BY23" s="1289"/>
      <c r="BZ23" s="1289"/>
      <c r="CA23" s="1289"/>
      <c r="CB23" s="1289"/>
      <c r="CC23" s="1289"/>
      <c r="CD23" s="1289"/>
      <c r="CE23" s="1289"/>
      <c r="CF23" s="1289"/>
      <c r="CG23" s="1289"/>
      <c r="CH23" s="1289"/>
      <c r="CI23" s="1289"/>
      <c r="CJ23" s="1289"/>
      <c r="CK23" s="1289"/>
      <c r="CL23" s="1289"/>
      <c r="CM23" s="1289"/>
      <c r="CN23" s="1289"/>
      <c r="CO23" s="1289"/>
      <c r="CP23" s="1289"/>
      <c r="CQ23" s="1289"/>
      <c r="CR23" s="1289"/>
      <c r="CS23" s="1289"/>
      <c r="CT23" s="1289"/>
      <c r="CU23" s="1289"/>
      <c r="CV23" s="1289"/>
      <c r="CW23" s="1289"/>
      <c r="CX23" s="1289"/>
      <c r="CY23" s="1289"/>
      <c r="CZ23" s="1289"/>
      <c r="DA23" s="1289"/>
      <c r="DB23" s="1289"/>
      <c r="DC23" s="1289"/>
      <c r="DD23" s="1289"/>
      <c r="DE23" s="1289"/>
      <c r="DF23" s="1289"/>
      <c r="DG23" s="1289"/>
      <c r="DH23" s="1289"/>
      <c r="DI23" s="1289"/>
      <c r="DJ23" s="1289"/>
      <c r="DK23" s="1289"/>
      <c r="DL23" s="1289"/>
      <c r="DM23" s="1289"/>
      <c r="DN23" s="1289"/>
      <c r="DO23" s="1289"/>
      <c r="DP23" s="1289"/>
      <c r="DQ23" s="1289"/>
      <c r="DR23" s="1289"/>
      <c r="DS23" s="1289"/>
      <c r="DT23" s="1289"/>
      <c r="DU23" s="1289"/>
      <c r="DV23" s="1289"/>
      <c r="DW23" s="1289"/>
      <c r="DX23" s="1289"/>
      <c r="FX23" s="1286"/>
      <c r="FY23" s="1286"/>
      <c r="FZ23" s="1286"/>
      <c r="GA23" s="1286"/>
      <c r="GB23" s="1286"/>
    </row>
    <row customHeight="1" ht="12">
      <c r="S24" s="1161"/>
      <c r="T24" s="1161"/>
      <c r="U24" s="1161"/>
      <c r="V24" s="1161"/>
      <c r="W24" s="1161"/>
      <c r="X24" s="1161"/>
      <c r="Y24" s="1161"/>
      <c r="Z24" s="1161"/>
      <c r="AA24" s="1161"/>
      <c r="AB24" s="1161"/>
      <c r="FX24" s="1161"/>
      <c r="FY24" s="1161"/>
      <c r="FZ24" s="1161"/>
      <c r="GA24" s="1161"/>
      <c r="GB24" s="1161"/>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68A6F-B855-A7EA-7FEF-24FAB3DB7D21}"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3385" width="9.140625" hidden="1" customWidth="1"/>
    <col min="2" max="2" style="13388" width="9.140625" hidden="1" customWidth="1"/>
    <col min="3" max="3" style="16964" width="4.7109375" customWidth="1"/>
    <col min="4" max="4" style="13388" width="6.28125" customWidth="1"/>
    <col min="5" max="5" style="13388" width="36.7109375" customWidth="1"/>
    <col min="6" max="6" style="13388" width="9.57421875" customWidth="1"/>
    <col min="7" max="7" style="12890" width="42.421875" hidden="1" customWidth="1"/>
    <col min="8" max="8" style="13388" width="40.7109375" customWidth="1"/>
    <col min="9" max="9" style="12891" width="93.421875" customWidth="1"/>
    <col min="10" max="17" style="13388" width="10.57421875"/>
    <col min="18" max="18" style="16965" width="10.57421875"/>
  </cols>
  <sheetData>
    <row s="12891" customFormat="1" customHeight="1" ht="15" hidden="1">
      <c r="C1" s="895"/>
      <c r="H1" s="640">
        <v>4</v>
      </c>
      <c r="R1" s="643"/>
    </row>
    <row customHeight="1" ht="22.5" hidden="1">
      <c r="C2" s="2157" t="s">
        <v>531</v>
      </c>
      <c r="D2" s="762"/>
      <c r="E2" s="886"/>
      <c r="F2" s="1989" t="str">
        <f>IF(TEMPLATE_SPHERE="HEAT","Гкал/час","тыс. куб. м/сутки")</f>
        <v>тыс. куб. м/сутки</v>
      </c>
      <c r="G2" s="903"/>
      <c r="H2" s="903"/>
      <c r="I2" s="512"/>
    </row>
    <row s="12891" customFormat="1" customHeight="1" ht="15" hidden="1">
      <c r="C3" s="895"/>
      <c r="R3" s="643"/>
    </row>
    <row customHeight="1" ht="15">
      <c r="C4" s="400"/>
      <c r="D4" s="732"/>
      <c r="E4" s="732"/>
      <c r="F4" s="732"/>
      <c r="G4" s="732"/>
      <c r="H4" s="732"/>
    </row>
    <row customHeight="1" ht="37.5">
      <c r="C5" s="400"/>
      <c r="D5" s="23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67"/>
      <c r="F5" s="2367"/>
      <c r="G5" s="2367"/>
      <c r="H5" s="2367"/>
      <c r="I5" s="760"/>
    </row>
    <row customHeight="1" ht="15">
      <c r="C6" s="400"/>
      <c r="D6" s="2336" t="str">
        <f>IF(org=0,"Не определено",org)</f>
        <v>ООО "Новая Энергетика"</v>
      </c>
      <c r="E6" s="2336"/>
      <c r="F6" s="2336"/>
      <c r="G6" s="2336"/>
      <c r="H6" s="2336"/>
      <c r="I6" s="760"/>
    </row>
    <row s="12890" customFormat="1" customHeight="1" ht="15">
      <c r="A7" s="982"/>
      <c r="C7" s="400"/>
      <c r="D7" s="899"/>
      <c r="E7" s="899"/>
      <c r="F7" s="899"/>
      <c r="G7" s="899"/>
      <c r="H7" s="975"/>
      <c r="I7" s="760"/>
      <c r="R7" s="898"/>
    </row>
    <row customHeight="1" ht="0.75">
      <c r="C8" s="400"/>
      <c r="D8" s="732"/>
      <c r="E8" s="732"/>
      <c r="F8" s="732"/>
      <c r="G8" s="732"/>
      <c r="H8" s="760" t="s">
        <v>116</v>
      </c>
    </row>
    <row customHeight="1" ht="15">
      <c r="C9" s="400"/>
      <c r="D9" s="934"/>
      <c r="E9" s="2498" t="s">
        <v>104</v>
      </c>
      <c r="F9" s="2499"/>
      <c r="G9" s="1039" t="str">
        <f>IF(G8="","",INDEX(DIFFERENTIATION_UNMERGE_VD,MATCH(G8,DIFFERENTIATION_ID_DIFF,0)))</f>
        <v/>
      </c>
      <c r="H9" s="1039">
        <f>IF(H8="","",INDEX(DIFFERENTIATION_UNMERGE_VD,MATCH(H8,DIFFERENTIATION_ID_DIFF,0)))</f>
        <v>0</v>
      </c>
      <c r="I9" s="2254" t="s">
        <v>302</v>
      </c>
    </row>
    <row s="12890" customFormat="1" customHeight="1" ht="15">
      <c r="A10" s="982"/>
      <c r="C10" s="400"/>
      <c r="D10" s="934"/>
      <c r="E10" s="2498" t="s">
        <v>567</v>
      </c>
      <c r="F10" s="2499"/>
      <c r="G10" s="1039" t="str">
        <f>IF(G8="","",INDEX(DIFFERENTIATION_UNMERGE_AREA,MATCH(G8,DIFFERENTIATION_ID_DIFF,0)))</f>
        <v/>
      </c>
      <c r="H10" s="1039" t="str">
        <f>IF(H8="","",INDEX(DIFFERENTIATION_UNMERGE_AREA,MATCH(H8,DIFFERENTIATION_ID_DIFF,0)))</f>
        <v/>
      </c>
      <c r="I10" s="2254"/>
      <c r="R10" s="898"/>
    </row>
    <row s="12890" customFormat="1" customHeight="1" ht="15">
      <c r="A11" s="982"/>
      <c r="C11" s="400"/>
      <c r="D11" s="934"/>
      <c r="E11" s="2498" t="s">
        <v>568</v>
      </c>
      <c r="F11" s="2499"/>
      <c r="G11" s="1039" t="str">
        <f>IF(G8="","",INDEX(DIFFERENTIATION_UNMERGE_SYSTEM,MATCH(G8,DIFFERENTIATION_ID_DIFF,0)))</f>
        <v/>
      </c>
      <c r="H11" s="1039" t="str">
        <f>IF(H8="","",INDEX(DIFFERENTIATION_UNMERGE_SYSTEM,MATCH(H8,DIFFERENTIATION_ID_DIFF,0)))</f>
        <v>без дифференциации</v>
      </c>
      <c r="I11" s="2254"/>
      <c r="R11" s="898"/>
    </row>
    <row s="12890" customFormat="1" customHeight="1" ht="15">
      <c r="A12" s="982"/>
      <c r="C12" s="400"/>
      <c r="D12" s="2500" t="s">
        <v>301</v>
      </c>
      <c r="E12" s="2501"/>
      <c r="F12" s="2501"/>
      <c r="G12" s="1110"/>
      <c r="H12" s="1110"/>
      <c r="I12" s="2254"/>
      <c r="R12" s="898"/>
    </row>
    <row customHeight="1" ht="33.75">
      <c r="C13" s="400"/>
      <c r="D13" s="984" t="s">
        <v>87</v>
      </c>
      <c r="E13" s="983" t="s">
        <v>303</v>
      </c>
      <c r="F13" s="983" t="s">
        <v>569</v>
      </c>
      <c r="G13" s="1031" t="s">
        <v>304</v>
      </c>
      <c r="H13" s="977" t="s">
        <v>304</v>
      </c>
      <c r="I13" s="2254"/>
    </row>
    <row customHeight="1" ht="15" hidden="1">
      <c r="C14" s="400"/>
      <c r="D14" s="816" t="s">
        <v>108</v>
      </c>
      <c r="E14" s="816" t="s">
        <v>109</v>
      </c>
      <c r="F14" s="816" t="s">
        <v>89</v>
      </c>
      <c r="G14" s="882" t="str">
        <f>G1&amp;".1"</f>
        <v>.1</v>
      </c>
      <c r="H14" s="882" t="str">
        <f>H1&amp;".1"</f>
        <v>4.1</v>
      </c>
      <c r="I14" s="512"/>
    </row>
    <row customHeight="1" ht="15">
      <c r="A15" s="728"/>
      <c r="C15" s="749"/>
      <c r="D15" s="744">
        <v>1</v>
      </c>
      <c r="E15" s="2159" t="str">
        <f>TP_P_A</f>
        <v>Количество поданных заявлений </v>
      </c>
      <c r="F15" s="744" t="s">
        <v>1035</v>
      </c>
      <c r="G15" s="908"/>
      <c r="H15" s="908"/>
      <c r="I15" s="43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728"/>
      <c r="C16" s="749"/>
      <c r="D16" s="744">
        <v>2</v>
      </c>
      <c r="E16" s="2159" t="str">
        <f>TP_P_B</f>
        <v>Количество исполненных заявлений </v>
      </c>
      <c r="F16" s="744" t="s">
        <v>1035</v>
      </c>
      <c r="G16" s="908"/>
      <c r="H16" s="908"/>
      <c r="I16" s="43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728"/>
      <c r="C17" s="749"/>
      <c r="D17" s="744">
        <v>3</v>
      </c>
      <c r="E17" s="215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4" t="s">
        <v>1035</v>
      </c>
      <c r="G17" s="908"/>
      <c r="H17" s="908"/>
      <c r="I17" s="43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728"/>
      <c r="C18" s="749"/>
      <c r="D18" s="744">
        <v>4</v>
      </c>
      <c r="E18" s="2159" t="str">
        <f>TP_P_V_1</f>
        <v>Причины отказа в заключении договора о подключении (технологическом присоединении) к централизованной системе горячего водоснабжения</v>
      </c>
      <c r="F18" s="744" t="s">
        <v>307</v>
      </c>
      <c r="G18" s="909"/>
      <c r="H18" s="909"/>
      <c r="I18" s="106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28"/>
      <c r="C19" s="749"/>
      <c r="D19" s="744">
        <v>5</v>
      </c>
      <c r="E19" s="215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44" t="str">
        <f>IF(TEMPLATE_SPHERE="HEAT","Гкал/час","тыс. куб. м/сутки")</f>
        <v>тыс. куб. м/сутки</v>
      </c>
      <c r="G19" s="910">
        <f>SUM(G20:G22)</f>
        <v>0</v>
      </c>
      <c r="H19" s="910">
        <f>SUM(H20:H22)</f>
        <v>0</v>
      </c>
      <c r="I19" s="43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732" t="s">
        <v>1036</v>
      </c>
      <c r="E20" s="911"/>
      <c r="F20" s="732"/>
      <c r="G20" s="732"/>
      <c r="H20" s="732"/>
      <c r="I20" s="1991"/>
    </row>
    <row customHeight="1" ht="27.75">
      <c r="C21" s="674"/>
      <c r="D21" s="762" t="s">
        <v>314</v>
      </c>
      <c r="E21" s="893"/>
      <c r="F21" s="1989" t="str">
        <f>IF(TEMPLATE_SPHERE="HEAT","Гкал/час","тыс. куб. м/сутки")</f>
        <v>тыс. куб. м/сутки</v>
      </c>
      <c r="G21" s="903"/>
      <c r="H21" s="903"/>
      <c r="I21" s="229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728"/>
      <c r="C22" s="728"/>
      <c r="D22" s="570"/>
      <c r="E22" s="803" t="s">
        <v>1037</v>
      </c>
      <c r="F22" s="795"/>
      <c r="G22" s="795"/>
      <c r="H22" s="795"/>
      <c r="I22" s="2300"/>
      <c r="R22" s="728"/>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754F3-52C7-E6F3-7915-F56E344880F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7214" width="9.140625" hidden="1" customWidth="1"/>
    <col min="2" max="2" style="17215" width="9.140625" hidden="1" customWidth="1"/>
    <col min="3" max="3" style="17216" width="3.7109375" customWidth="1"/>
    <col min="4" max="4" style="12893" width="6.28125" customWidth="1"/>
    <col min="5" max="6" style="12893" width="64.140625" customWidth="1"/>
    <col min="7" max="7" style="12893" width="141.140625" customWidth="1"/>
    <col min="8" max="8" style="12893" width="10.57421875"/>
    <col min="9" max="10" style="12894" width="10.57421875"/>
    <col min="11" max="16" style="12893" width="10.57421875"/>
  </cols>
  <sheetData>
    <row customHeight="1" ht="14.25" hidden="1">
      <c r="M1" s="478"/>
      <c r="N1" s="478"/>
      <c r="P1" s="478"/>
    </row>
    <row customHeight="1" ht="14.25" hidden="1"/>
    <row customHeight="1" ht="14.25" hidden="1"/>
    <row customHeight="1" ht="3">
      <c r="C4" s="320"/>
      <c r="D4" s="307"/>
      <c r="E4" s="307"/>
      <c r="F4" s="308"/>
      <c r="G4" s="308"/>
    </row>
    <row customHeight="1" ht="27.75">
      <c r="C5" s="320"/>
      <c r="D5" s="25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82"/>
      <c r="F5" s="2582"/>
      <c r="G5" s="2583"/>
    </row>
    <row s="12890" customFormat="1" customHeight="1" ht="18">
      <c r="A6" s="1105"/>
      <c r="B6" s="640"/>
      <c r="C6" s="599"/>
      <c r="D6" s="2584" t="str">
        <f>IF(org=0,"Не определено",org)</f>
        <v>ООО "Новая Энергетика"</v>
      </c>
      <c r="E6" s="2585"/>
      <c r="F6" s="2585"/>
      <c r="G6" s="2586"/>
      <c r="I6" s="723"/>
      <c r="J6" s="723"/>
    </row>
    <row customHeight="1" ht="14.25">
      <c r="C7" s="320"/>
      <c r="D7" s="307"/>
      <c r="E7" s="319"/>
      <c r="F7" s="975"/>
      <c r="G7" s="416"/>
    </row>
    <row s="13661" customFormat="1" customHeight="1" ht="0.75">
      <c r="A8" s="1897"/>
      <c r="B8" s="1385"/>
      <c r="C8" s="599"/>
      <c r="D8" s="586"/>
      <c r="E8" s="612"/>
      <c r="F8" s="975"/>
      <c r="G8" s="416"/>
      <c r="I8" s="1852"/>
      <c r="J8" s="1852"/>
    </row>
    <row customHeight="1" ht="14.25">
      <c r="C9" s="320"/>
      <c r="D9" s="2344" t="s">
        <v>301</v>
      </c>
      <c r="E9" s="2344"/>
      <c r="F9" s="2344"/>
      <c r="G9" s="2587" t="s">
        <v>302</v>
      </c>
    </row>
    <row customHeight="1" ht="14.25">
      <c r="C10" s="320"/>
      <c r="D10" s="329" t="s">
        <v>87</v>
      </c>
      <c r="E10" s="332" t="s">
        <v>303</v>
      </c>
      <c r="F10" s="332" t="s">
        <v>391</v>
      </c>
      <c r="G10" s="2587"/>
    </row>
    <row customHeight="1" ht="12" hidden="1">
      <c r="C11" s="320"/>
      <c r="D11" s="310"/>
      <c r="E11" s="310"/>
      <c r="F11" s="310"/>
      <c r="G11" s="310"/>
    </row>
    <row customHeight="1" ht="62.25">
      <c r="A12" s="415"/>
      <c r="C12" s="320"/>
      <c r="D12" s="371">
        <v>1</v>
      </c>
      <c r="E12" s="42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21" t="s">
        <v>307</v>
      </c>
      <c r="G12" s="375"/>
    </row>
    <row customHeight="1" ht="22.5">
      <c r="A13" s="415"/>
      <c r="C13" s="320"/>
      <c r="D13" s="371" t="s">
        <v>942</v>
      </c>
      <c r="E13" s="41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1" t="s">
        <v>307</v>
      </c>
      <c r="G13" s="375"/>
    </row>
    <row customHeight="1" ht="14.25">
      <c r="A14" s="415"/>
      <c r="C14" s="320"/>
      <c r="D14" s="371" t="s">
        <v>978</v>
      </c>
      <c r="E14" s="418"/>
      <c r="F14" s="436"/>
      <c r="G14" s="22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15"/>
      <c r="C15" s="320"/>
      <c r="D15" s="333"/>
      <c r="E15" s="572" t="s">
        <v>1038</v>
      </c>
      <c r="F15" s="424"/>
      <c r="G15" s="2300"/>
    </row>
    <row customHeight="1" ht="14.25">
      <c r="A16" s="415"/>
      <c r="C16" s="320"/>
      <c r="D16" s="371" t="s">
        <v>944</v>
      </c>
      <c r="E16" s="4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21" t="s">
        <v>307</v>
      </c>
      <c r="G16" s="560"/>
    </row>
    <row customHeight="1" ht="14.25">
      <c r="A17" s="415"/>
      <c r="C17" s="320"/>
      <c r="D17" s="371" t="s">
        <v>986</v>
      </c>
      <c r="E17" s="418"/>
      <c r="F17" s="608"/>
      <c r="G17" s="22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7193" customFormat="1" customHeight="1" ht="21">
      <c r="A18" s="566"/>
      <c r="B18" s="370"/>
      <c r="C18" s="530"/>
      <c r="D18" s="570"/>
      <c r="E18" s="572" t="s">
        <v>1039</v>
      </c>
      <c r="F18" s="561"/>
      <c r="G18" s="2300"/>
      <c r="I18" s="573"/>
      <c r="J18" s="573"/>
    </row>
    <row s="12890" customFormat="1" customHeight="1" ht="256.5" hidden="1">
      <c r="A19" s="566"/>
      <c r="B19" s="640"/>
      <c r="C19" s="599"/>
      <c r="D19" s="1107" t="s">
        <v>946</v>
      </c>
      <c r="E19" s="1106" t="s">
        <v>1040</v>
      </c>
      <c r="F19" s="608"/>
      <c r="G19" s="560" t="s">
        <v>1041</v>
      </c>
      <c r="I19" s="723"/>
      <c r="J19" s="723"/>
    </row>
    <row s="17193" customFormat="1" customHeight="1" ht="14.25">
      <c r="A20" s="566"/>
      <c r="B20" s="370"/>
      <c r="C20" s="530"/>
      <c r="D20" s="1108">
        <v>2</v>
      </c>
      <c r="E20" s="553" t="s">
        <v>1042</v>
      </c>
      <c r="F20" s="421" t="s">
        <v>307</v>
      </c>
      <c r="G20" s="560"/>
      <c r="I20" s="573"/>
      <c r="J20" s="573"/>
    </row>
    <row s="17193" customFormat="1" customHeight="1" ht="18.75" hidden="1">
      <c r="A21" s="566"/>
      <c r="B21" s="370"/>
      <c r="C21" s="530"/>
      <c r="D21" s="556" t="s">
        <v>872</v>
      </c>
      <c r="E21" s="555"/>
      <c r="F21" s="554"/>
      <c r="G21" s="564"/>
      <c r="H21" s="557"/>
      <c r="I21" s="573"/>
      <c r="J21" s="573"/>
    </row>
    <row customHeight="1" ht="15">
      <c r="A22" s="415"/>
      <c r="C22" s="320"/>
      <c r="D22" s="333"/>
      <c r="E22" s="426" t="s">
        <v>323</v>
      </c>
      <c r="F22" s="561"/>
      <c r="G22" s="562"/>
    </row>
    <row s="13661" customFormat="1" customHeight="1" ht="22.5" hidden="1">
      <c r="A23" s="566"/>
      <c r="B23" s="1385"/>
      <c r="C23" s="599"/>
      <c r="D23" s="1901" t="s">
        <v>109</v>
      </c>
      <c r="E23" s="420" t="s">
        <v>1043</v>
      </c>
      <c r="F23" s="1898" t="s">
        <v>307</v>
      </c>
      <c r="G23" s="568"/>
      <c r="I23" s="1852"/>
      <c r="J23" s="1852"/>
    </row>
    <row s="13661" customFormat="1" customHeight="1" ht="14.25" hidden="1">
      <c r="A24" s="566"/>
      <c r="B24" s="1385"/>
      <c r="C24" s="599"/>
      <c r="D24" s="1901" t="s">
        <v>625</v>
      </c>
      <c r="E24" s="1900" t="s">
        <v>1044</v>
      </c>
      <c r="F24" s="1898" t="s">
        <v>307</v>
      </c>
      <c r="G24" s="560"/>
      <c r="I24" s="1852"/>
      <c r="J24" s="1852"/>
    </row>
    <row s="13661" customFormat="1" customHeight="1" ht="14.25" hidden="1">
      <c r="A25" s="566"/>
      <c r="B25" s="1385"/>
      <c r="C25" s="599"/>
      <c r="D25" s="1901" t="s">
        <v>628</v>
      </c>
      <c r="E25" s="418"/>
      <c r="F25" s="608"/>
      <c r="G25" s="2298" t="s">
        <v>1045</v>
      </c>
      <c r="I25" s="1852"/>
      <c r="J25" s="1852"/>
    </row>
    <row s="13661" customFormat="1" customHeight="1" ht="22.5" hidden="1">
      <c r="A26" s="566"/>
      <c r="B26" s="1385"/>
      <c r="C26" s="599"/>
      <c r="D26" s="570"/>
      <c r="E26" s="572" t="s">
        <v>1046</v>
      </c>
      <c r="F26" s="561"/>
      <c r="G26" s="2300"/>
      <c r="I26" s="1852"/>
      <c r="J26" s="1852"/>
    </row>
    <row customHeight="1" ht="3"/>
    <row customHeight="1" ht="14.25">
      <c r="D28" s="559"/>
      <c r="E28" s="558"/>
      <c r="F28" s="538"/>
      <c r="G28" s="538"/>
      <c r="H28" s="538"/>
      <c r="I28" s="538"/>
      <c r="J28" s="538"/>
      <c r="K28" s="538"/>
      <c r="L28" s="538"/>
      <c r="M28" s="538"/>
      <c r="N28" s="538"/>
      <c r="O28" s="538"/>
      <c r="P28" s="538"/>
    </row>
    <row customHeight="1" ht="14.25">
      <c r="D29" s="559"/>
      <c r="E29" s="805"/>
    </row>
    <row r="31" customHeight="1" ht="14.25">
      <c r="E31" s="98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BD3A2-1FA6-E3E6-3A4A-0A4335ED6B25}"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3615" width="9.140625" hidden="1" customWidth="1"/>
    <col min="2" max="2" style="17215" width="9.140625" hidden="1" customWidth="1"/>
    <col min="3" max="3" style="17216" width="3.7109375" customWidth="1"/>
    <col min="4" max="4" style="12893" width="6.28125" customWidth="1"/>
    <col min="5" max="5" style="12893" width="63.421875" customWidth="1"/>
    <col min="6" max="6" style="12893" width="1.7109375" hidden="1" customWidth="1"/>
    <col min="7" max="8" style="12893" width="35.7109375" customWidth="1"/>
    <col min="9" max="9" style="12893" width="91.57421875" customWidth="1"/>
    <col min="10" max="10" style="12893" width="68.8515625" customWidth="1"/>
    <col min="11" max="12" style="12894" width="10.57421875"/>
  </cols>
  <sheetData>
    <row customHeight="1" ht="14.25" hidden="1"/>
    <row s="13661" customFormat="1" customHeight="1" ht="18.75" hidden="1">
      <c r="A2" s="1911"/>
      <c r="B2" s="1385"/>
      <c r="C2" s="1958" t="s">
        <v>531</v>
      </c>
      <c r="D2" s="1901"/>
      <c r="E2" s="422"/>
      <c r="F2" s="1898"/>
      <c r="G2" s="1898" t="s">
        <v>307</v>
      </c>
      <c r="H2" s="1386"/>
      <c r="K2" s="1852"/>
      <c r="L2" s="1852"/>
    </row>
    <row s="13661" customFormat="1" customHeight="1" ht="14.25" hidden="1">
      <c r="A3" s="1590"/>
      <c r="B3" s="1385"/>
      <c r="C3" s="567"/>
      <c r="K3" s="1852"/>
      <c r="L3" s="1852"/>
    </row>
    <row s="13661" customFormat="1" customHeight="1" ht="18.75" hidden="1">
      <c r="A4" s="1911"/>
      <c r="B4" s="1385"/>
      <c r="C4" s="1958" t="s">
        <v>531</v>
      </c>
      <c r="D4" s="1901"/>
      <c r="E4" s="428" t="s">
        <v>1047</v>
      </c>
      <c r="F4" s="1898"/>
      <c r="G4" s="480"/>
      <c r="H4" s="1898" t="s">
        <v>307</v>
      </c>
      <c r="K4" s="1852"/>
      <c r="L4" s="1852"/>
    </row>
    <row s="13661" customFormat="1" customHeight="1" ht="14.25" hidden="1">
      <c r="A5" s="1590"/>
      <c r="B5" s="1385"/>
      <c r="C5" s="567"/>
      <c r="K5" s="1852"/>
      <c r="L5" s="1852"/>
    </row>
    <row s="13661" customFormat="1" customHeight="1" ht="18.75" hidden="1">
      <c r="A6" s="1911"/>
      <c r="B6" s="1385"/>
      <c r="C6" s="1958" t="s">
        <v>531</v>
      </c>
      <c r="D6" s="1901"/>
      <c r="E6" s="429" t="s">
        <v>1048</v>
      </c>
      <c r="F6" s="1898"/>
      <c r="G6" s="480"/>
      <c r="H6" s="1898" t="s">
        <v>307</v>
      </c>
      <c r="K6" s="1852"/>
      <c r="L6" s="1852"/>
    </row>
    <row s="13661" customFormat="1" customHeight="1" ht="14.25" hidden="1">
      <c r="A7" s="1590"/>
      <c r="B7" s="1385"/>
      <c r="C7" s="567"/>
      <c r="K7" s="1852"/>
      <c r="L7" s="1852"/>
    </row>
    <row s="13661" customFormat="1" customHeight="1" ht="18.75" hidden="1">
      <c r="A8" s="1911"/>
      <c r="B8" s="1385"/>
      <c r="C8" s="1958" t="s">
        <v>531</v>
      </c>
      <c r="D8" s="1901"/>
      <c r="E8" s="429" t="s">
        <v>1049</v>
      </c>
      <c r="F8" s="1898"/>
      <c r="G8" s="480"/>
      <c r="H8" s="1898" t="s">
        <v>307</v>
      </c>
      <c r="K8" s="1852"/>
      <c r="L8" s="1852"/>
    </row>
    <row s="13661" customFormat="1" customHeight="1" ht="14.25" hidden="1">
      <c r="A9" s="1590"/>
      <c r="B9" s="1385"/>
      <c r="C9" s="567"/>
      <c r="K9" s="1852"/>
      <c r="L9" s="1852"/>
    </row>
    <row s="13661" customFormat="1" customHeight="1" ht="18.75" hidden="1">
      <c r="A10" s="1911"/>
      <c r="B10" s="1385"/>
      <c r="C10" s="1958" t="s">
        <v>531</v>
      </c>
      <c r="D10" s="1901"/>
      <c r="E10" s="429" t="s">
        <v>1050</v>
      </c>
      <c r="F10" s="1898"/>
      <c r="G10" s="1902"/>
      <c r="H10" s="1898" t="s">
        <v>307</v>
      </c>
      <c r="K10" s="1852"/>
      <c r="L10" s="1852" t="s">
        <v>1051</v>
      </c>
    </row>
    <row customHeight="1" ht="14.25" hidden="1"/>
    <row customHeight="1" ht="14.25" hidden="1"/>
    <row customHeight="1" ht="14.25">
      <c r="C13" s="320"/>
      <c r="D13" s="307"/>
      <c r="E13" s="307"/>
      <c r="F13" s="307"/>
      <c r="G13" s="307"/>
      <c r="H13" s="308"/>
      <c r="I13" s="308"/>
    </row>
    <row customHeight="1" ht="27.75">
      <c r="C14" s="320"/>
      <c r="D14" s="25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82"/>
      <c r="F14" s="2582"/>
      <c r="G14" s="2582"/>
      <c r="H14" s="2583"/>
      <c r="J14" s="1859"/>
    </row>
    <row s="13661" customFormat="1" customHeight="1" ht="14.25">
      <c r="A15" s="1590"/>
      <c r="B15" s="1385"/>
      <c r="C15" s="599"/>
      <c r="D15" s="2584" t="str">
        <f>IF(org=0,"Не определено",org)</f>
        <v>ООО "Новая Энергетика"</v>
      </c>
      <c r="E15" s="2585"/>
      <c r="F15" s="2585"/>
      <c r="G15" s="2585"/>
      <c r="H15" s="2586"/>
      <c r="J15" s="1075"/>
      <c r="K15" s="1852"/>
      <c r="L15" s="1852"/>
    </row>
    <row customHeight="1" ht="14.25">
      <c r="C16" s="320"/>
      <c r="D16" s="307"/>
      <c r="E16" s="319"/>
      <c r="F16" s="319"/>
      <c r="G16" s="319"/>
      <c r="H16" s="975"/>
      <c r="I16" s="416"/>
    </row>
    <row s="13661" customFormat="1" customHeight="1" ht="14.25" hidden="1">
      <c r="A17" s="1590"/>
      <c r="B17" s="1385"/>
      <c r="C17" s="599"/>
      <c r="D17" s="586"/>
      <c r="E17" s="612"/>
      <c r="F17" s="612"/>
      <c r="G17" s="612"/>
      <c r="H17" s="975"/>
      <c r="I17" s="416"/>
      <c r="K17" s="1852"/>
      <c r="L17" s="1852"/>
    </row>
    <row customHeight="1" ht="21">
      <c r="C18" s="320"/>
      <c r="D18" s="2344" t="s">
        <v>301</v>
      </c>
      <c r="E18" s="2344"/>
      <c r="F18" s="2344"/>
      <c r="G18" s="2344"/>
      <c r="H18" s="2344"/>
      <c r="I18" s="2587" t="s">
        <v>302</v>
      </c>
    </row>
    <row customHeight="1" ht="21">
      <c r="C19" s="320"/>
      <c r="D19" s="329" t="s">
        <v>87</v>
      </c>
      <c r="E19" s="332" t="s">
        <v>303</v>
      </c>
      <c r="F19" s="332"/>
      <c r="G19" s="332" t="s">
        <v>304</v>
      </c>
      <c r="H19" s="332" t="s">
        <v>391</v>
      </c>
      <c r="I19" s="2587"/>
    </row>
    <row customHeight="1" ht="12" hidden="1">
      <c r="C20" s="320"/>
      <c r="D20" s="310"/>
      <c r="E20" s="310"/>
      <c r="F20" s="310"/>
      <c r="G20" s="310"/>
      <c r="H20" s="310"/>
      <c r="I20" s="310"/>
    </row>
    <row customHeight="1" ht="14.25">
      <c r="A21" s="1911"/>
      <c r="C21" s="320"/>
      <c r="D21" s="371">
        <v>1</v>
      </c>
      <c r="E21" s="2589" t="s">
        <v>1052</v>
      </c>
      <c r="F21" s="2589"/>
      <c r="G21" s="2589"/>
      <c r="H21" s="2589"/>
      <c r="I21" s="431"/>
    </row>
    <row customHeight="1" ht="20.25">
      <c r="A22" s="1911"/>
      <c r="C22" s="320"/>
      <c r="D22" s="371" t="s">
        <v>942</v>
      </c>
      <c r="E22" s="417" t="s">
        <v>1053</v>
      </c>
      <c r="F22" s="421"/>
      <c r="G22" s="1965"/>
      <c r="H22" s="421" t="s">
        <v>307</v>
      </c>
      <c r="I22" s="375" t="s">
        <v>1054</v>
      </c>
    </row>
    <row customHeight="1" ht="45">
      <c r="A23" s="1911"/>
      <c r="C23" s="320"/>
      <c r="D23" s="371" t="s">
        <v>944</v>
      </c>
      <c r="E23" s="417" t="s">
        <v>1055</v>
      </c>
      <c r="F23" s="421"/>
      <c r="G23" s="480"/>
      <c r="H23" s="436"/>
      <c r="I23" s="481" t="s">
        <v>1056</v>
      </c>
    </row>
    <row customHeight="1" ht="14.25">
      <c r="A24" s="1911"/>
      <c r="B24" s="370">
        <v>3</v>
      </c>
      <c r="C24" s="320"/>
      <c r="D24" s="371">
        <v>2</v>
      </c>
      <c r="E24" s="44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21"/>
      <c r="G24" s="421" t="s">
        <v>307</v>
      </c>
      <c r="H24" s="436"/>
      <c r="I24" s="482" t="s">
        <v>809</v>
      </c>
    </row>
    <row customHeight="1" ht="46.5">
      <c r="A25" s="1911"/>
      <c r="C25" s="320"/>
      <c r="D25" s="371">
        <v>3</v>
      </c>
      <c r="E25" s="25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8"/>
      <c r="G25" s="2588"/>
      <c r="H25" s="2588"/>
      <c r="I25" s="479"/>
    </row>
    <row customHeight="1" ht="14.25">
      <c r="A26" s="1911"/>
      <c r="C26" s="320"/>
      <c r="D26" s="371" t="s">
        <v>325</v>
      </c>
      <c r="E26" s="422"/>
      <c r="F26" s="421"/>
      <c r="G26" s="421" t="s">
        <v>307</v>
      </c>
      <c r="H26" s="436"/>
      <c r="I26" s="2298" t="s">
        <v>1057</v>
      </c>
    </row>
    <row customHeight="1" ht="15">
      <c r="A27" s="1911" t="s">
        <v>108</v>
      </c>
      <c r="C27" s="320"/>
      <c r="D27" s="333"/>
      <c r="E27" s="426" t="s">
        <v>323</v>
      </c>
      <c r="F27" s="427"/>
      <c r="G27" s="427"/>
      <c r="H27" s="424"/>
      <c r="I27" s="2300"/>
    </row>
    <row customHeight="1" ht="38.25">
      <c r="A28" s="1911"/>
      <c r="B28" s="370">
        <v>3</v>
      </c>
      <c r="C28" s="320"/>
      <c r="D28" s="371">
        <v>4</v>
      </c>
      <c r="E28" s="25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88"/>
      <c r="G28" s="2588"/>
      <c r="H28" s="2588"/>
      <c r="I28" s="479"/>
    </row>
    <row customHeight="1" ht="20.25">
      <c r="A29" s="1911"/>
      <c r="C29" s="320"/>
      <c r="D29" s="371" t="s">
        <v>670</v>
      </c>
      <c r="E29" s="428" t="s">
        <v>1047</v>
      </c>
      <c r="F29" s="421"/>
      <c r="G29" s="480"/>
      <c r="H29" s="421" t="s">
        <v>307</v>
      </c>
      <c r="I29" s="2298" t="s">
        <v>1058</v>
      </c>
    </row>
    <row customHeight="1" ht="15">
      <c r="A30" s="1911" t="s">
        <v>109</v>
      </c>
      <c r="C30" s="320"/>
      <c r="D30" s="333"/>
      <c r="E30" s="426" t="s">
        <v>323</v>
      </c>
      <c r="F30" s="427"/>
      <c r="G30" s="427"/>
      <c r="H30" s="424"/>
      <c r="I30" s="2300"/>
    </row>
    <row customHeight="1" ht="30">
      <c r="A31" s="1911"/>
      <c r="B31" s="370">
        <v>3</v>
      </c>
      <c r="C31" s="320"/>
      <c r="D31" s="371">
        <v>5</v>
      </c>
      <c r="E31" s="25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88"/>
      <c r="G31" s="2588"/>
      <c r="H31" s="2588"/>
      <c r="I31" s="479"/>
    </row>
    <row customHeight="1" ht="26.25">
      <c r="A32" s="1911"/>
      <c r="C32" s="320"/>
      <c r="D32" s="371" t="s">
        <v>314</v>
      </c>
      <c r="E32" s="25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30"/>
      <c r="G32" s="2530"/>
      <c r="H32" s="2530"/>
      <c r="I32" s="479"/>
    </row>
    <row customHeight="1" ht="14.25">
      <c r="A33" s="1911"/>
      <c r="C33" s="320"/>
      <c r="D33" s="371" t="s">
        <v>1059</v>
      </c>
      <c r="E33" s="429" t="s">
        <v>1048</v>
      </c>
      <c r="F33" s="421"/>
      <c r="G33" s="480"/>
      <c r="H33" s="421" t="s">
        <v>307</v>
      </c>
      <c r="I33" s="2298" t="s">
        <v>1060</v>
      </c>
    </row>
    <row customHeight="1" ht="15">
      <c r="A34" s="1911" t="s">
        <v>89</v>
      </c>
      <c r="C34" s="320"/>
      <c r="D34" s="333"/>
      <c r="E34" s="427" t="s">
        <v>323</v>
      </c>
      <c r="F34" s="423"/>
      <c r="G34" s="423"/>
      <c r="H34" s="424"/>
      <c r="I34" s="2300"/>
    </row>
    <row customHeight="1" ht="24">
      <c r="A35" s="1911"/>
      <c r="C35" s="320"/>
      <c r="D35" s="371" t="s">
        <v>799</v>
      </c>
      <c r="E35" s="25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30"/>
      <c r="G35" s="2530"/>
      <c r="H35" s="2530"/>
      <c r="I35" s="479"/>
    </row>
    <row customHeight="1" ht="14.25">
      <c r="A36" s="1911"/>
      <c r="C36" s="320"/>
      <c r="D36" s="371" t="s">
        <v>1061</v>
      </c>
      <c r="E36" s="429" t="s">
        <v>1049</v>
      </c>
      <c r="F36" s="421"/>
      <c r="G36" s="480"/>
      <c r="H36" s="421" t="s">
        <v>307</v>
      </c>
      <c r="I36" s="2280" t="s">
        <v>1062</v>
      </c>
    </row>
    <row customHeight="1" ht="15">
      <c r="A37" s="1911" t="s">
        <v>90</v>
      </c>
      <c r="C37" s="320"/>
      <c r="D37" s="333"/>
      <c r="E37" s="427" t="s">
        <v>323</v>
      </c>
      <c r="F37" s="423"/>
      <c r="G37" s="423"/>
      <c r="H37" s="424"/>
      <c r="I37" s="2280"/>
    </row>
    <row customHeight="1" ht="26.25">
      <c r="A38" s="1911"/>
      <c r="C38" s="320"/>
      <c r="D38" s="371" t="s">
        <v>800</v>
      </c>
      <c r="E38" s="25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30"/>
      <c r="G38" s="2530"/>
      <c r="H38" s="2530"/>
      <c r="I38" s="479"/>
    </row>
    <row customHeight="1" ht="14.25">
      <c r="A39" s="1911"/>
      <c r="C39" s="320"/>
      <c r="D39" s="371" t="s">
        <v>801</v>
      </c>
      <c r="E39" s="429" t="s">
        <v>1050</v>
      </c>
      <c r="F39" s="421"/>
      <c r="G39" s="430"/>
      <c r="H39" s="421" t="s">
        <v>307</v>
      </c>
      <c r="I39" s="2298" t="s">
        <v>1063</v>
      </c>
      <c r="L39" s="379" t="s">
        <v>1051</v>
      </c>
    </row>
    <row customHeight="1" ht="15">
      <c r="A40" s="1911" t="s">
        <v>110</v>
      </c>
      <c r="C40" s="320"/>
      <c r="D40" s="333"/>
      <c r="E40" s="427" t="s">
        <v>323</v>
      </c>
      <c r="F40" s="423"/>
      <c r="G40" s="423"/>
      <c r="H40" s="424"/>
      <c r="I40" s="2300"/>
    </row>
    <row s="17236" customFormat="1" customHeight="1" ht="3">
      <c r="A41" s="1911"/>
      <c r="K41" s="419"/>
      <c r="L41" s="419"/>
    </row>
    <row customHeight="1" ht="24.75">
      <c r="D42" s="1909" t="s">
        <v>721</v>
      </c>
      <c r="E42" s="23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88"/>
      <c r="G42" s="2388"/>
      <c r="H42" s="2388"/>
      <c r="I42" s="23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32528-7A33-9422-211B-62E6937C7DCD}"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17275" width="25.140625" hidden="1" customWidth="1"/>
    <col min="3" max="3" style="17276" width="9.140625" hidden="1" customWidth="1"/>
    <col min="4" max="4" style="13617" width="3.7109375" customWidth="1"/>
    <col min="5" max="5" style="17277" width="6.28125" customWidth="1"/>
    <col min="6" max="6" style="17277" width="46.7109375" customWidth="1"/>
    <col min="7" max="7" style="17277" width="35.7109375" customWidth="1"/>
    <col min="8" max="8" style="17277" width="3.7109375" customWidth="1"/>
    <col min="9" max="10" style="17277" width="11.7109375" customWidth="1"/>
    <col min="11" max="12" style="17277" width="35.7109375" customWidth="1"/>
    <col min="13" max="13" style="17277" width="84.8515625" customWidth="1"/>
    <col min="14" max="14" style="17277" width="10.57421875"/>
    <col min="15" max="16" style="17278" width="10.57421875"/>
    <col min="17" max="33" style="17277" width="10.57421875"/>
  </cols>
  <sheetData>
    <row s="13661" customFormat="1" customHeight="1" ht="14.25" hidden="1">
      <c r="A1" s="2007"/>
      <c r="B1" s="2007"/>
      <c r="C1" s="592"/>
      <c r="D1" s="567"/>
      <c r="N1" s="1864">
        <f>_xlfn.IFERROR(MATCH("метод экономически обоснованных расходов (затрат)",OFFER_METHOD,0),0)</f>
        <v>0</v>
      </c>
      <c r="O1" s="1852"/>
      <c r="P1" s="1852"/>
      <c r="T1" s="1054"/>
      <c r="AG1" s="478"/>
    </row>
    <row s="13661" customFormat="1" customHeight="1" ht="18.75" hidden="1">
      <c r="A2" s="2008" t="s">
        <v>154</v>
      </c>
      <c r="B2" s="2008" t="s">
        <v>155</v>
      </c>
      <c r="C2" s="592"/>
      <c r="D2" s="567"/>
      <c r="E2" s="1255"/>
      <c r="F2" s="1255"/>
      <c r="G2" s="2551" t="str">
        <f>INDEX(PT_DIFFERENTIATION_NTAR,MATCH(B2,PT_DIFFERENTIATION_NTAR_ID,0))</f>
        <v/>
      </c>
      <c r="H2" s="2093"/>
      <c r="I2" s="1967"/>
      <c r="J2" s="2001"/>
      <c r="K2" s="2094"/>
      <c r="L2" s="2093" t="s">
        <v>307</v>
      </c>
      <c r="M2" s="2104"/>
      <c r="N2" s="557"/>
      <c r="O2" s="1852"/>
      <c r="P2" s="1852"/>
    </row>
    <row s="13661" customFormat="1" customHeight="1" ht="18.75" hidden="1">
      <c r="A3" s="2008"/>
      <c r="B3" s="2008"/>
      <c r="C3" s="592" t="s">
        <v>1064</v>
      </c>
      <c r="D3" s="567"/>
      <c r="E3" s="1255"/>
      <c r="F3" s="1255"/>
      <c r="G3" s="2551"/>
      <c r="H3" s="1728"/>
      <c r="I3" s="874" t="s">
        <v>1065</v>
      </c>
      <c r="J3" s="794"/>
      <c r="K3" s="1728"/>
      <c r="L3" s="437"/>
      <c r="M3" s="2104"/>
      <c r="N3" s="557"/>
      <c r="O3" s="1852"/>
      <c r="P3" s="1852"/>
    </row>
    <row s="13661" customFormat="1" customHeight="1" ht="14.25" hidden="1">
      <c r="A4" s="2007"/>
      <c r="B4" s="2007"/>
      <c r="C4" s="592"/>
      <c r="D4" s="567"/>
      <c r="N4" s="1864">
        <f>_xlfn.IFERROR(MATCH("метод экономически обоснованных расходов (затрат)",OFFER_METHOD,0),0)</f>
        <v>0</v>
      </c>
      <c r="O4" s="1852"/>
      <c r="P4" s="1852"/>
      <c r="T4" s="1054"/>
      <c r="AG4" s="478"/>
    </row>
    <row s="13661" customFormat="1" customHeight="1" ht="18.75" hidden="1">
      <c r="A5" s="2008" t="s">
        <v>154</v>
      </c>
      <c r="B5" s="2008" t="s">
        <v>155</v>
      </c>
      <c r="C5" s="592"/>
      <c r="D5" s="567"/>
      <c r="E5" s="1255"/>
      <c r="F5" s="1255"/>
      <c r="G5" s="2551" t="str">
        <f>INDEX(PT_DIFFERENTIATION_NTAR,MATCH(B5,PT_DIFFERENTIATION_NTAR_ID,0))</f>
        <v/>
      </c>
      <c r="H5" s="2093"/>
      <c r="I5" s="1967"/>
      <c r="J5" s="2001"/>
      <c r="K5" s="2006"/>
      <c r="L5" s="2093" t="s">
        <v>307</v>
      </c>
      <c r="M5" s="2104"/>
      <c r="N5" s="557"/>
      <c r="O5" s="1852"/>
      <c r="P5" s="1852"/>
    </row>
    <row s="13661" customFormat="1" customHeight="1" ht="18.75" hidden="1">
      <c r="A6" s="2008"/>
      <c r="B6" s="2008"/>
      <c r="C6" s="592" t="s">
        <v>1066</v>
      </c>
      <c r="D6" s="567"/>
      <c r="E6" s="1255"/>
      <c r="F6" s="1255"/>
      <c r="G6" s="2551"/>
      <c r="H6" s="1728"/>
      <c r="I6" s="874" t="s">
        <v>1065</v>
      </c>
      <c r="J6" s="794"/>
      <c r="K6" s="1728"/>
      <c r="L6" s="437"/>
      <c r="M6" s="2104"/>
      <c r="N6" s="557"/>
      <c r="O6" s="1852"/>
      <c r="P6" s="1852"/>
    </row>
    <row s="13661" customFormat="1" customHeight="1" ht="14.25" hidden="1">
      <c r="A7" s="2007"/>
      <c r="B7" s="2007"/>
      <c r="C7" s="592"/>
      <c r="D7" s="567"/>
      <c r="N7" s="1864">
        <f>_xlfn.IFERROR(MATCH("метод экономически обоснованных расходов (затрат)",OFFER_METHOD,0),0)</f>
        <v>0</v>
      </c>
      <c r="O7" s="1852"/>
      <c r="P7" s="1852"/>
      <c r="T7" s="1054"/>
      <c r="AG7" s="478"/>
    </row>
    <row s="13661" customFormat="1" customHeight="1" ht="56.25" hidden="1">
      <c r="A8" s="2008"/>
      <c r="B8" s="2008"/>
      <c r="C8" s="592"/>
      <c r="D8" s="567"/>
      <c r="E8" s="1255"/>
      <c r="F8" s="1255"/>
      <c r="G8" s="1255"/>
      <c r="H8" s="1999"/>
      <c r="I8" s="1967"/>
      <c r="J8" s="2001"/>
      <c r="K8" s="2094"/>
      <c r="L8" s="1999" t="s">
        <v>307</v>
      </c>
      <c r="M8" s="2104"/>
      <c r="N8" s="557"/>
      <c r="O8" s="1852"/>
      <c r="P8" s="1852"/>
    </row>
    <row customHeight="1" ht="14.25" hidden="1">
      <c r="T9" s="620"/>
      <c r="AG9" s="478"/>
    </row>
    <row s="13661" customFormat="1" customHeight="1" ht="56.25" hidden="1">
      <c r="A10" s="2008"/>
      <c r="B10" s="2008"/>
      <c r="C10" s="592"/>
      <c r="D10" s="567"/>
      <c r="E10" s="1255"/>
      <c r="F10" s="1255"/>
      <c r="G10" s="1255"/>
      <c r="H10" s="1998"/>
      <c r="I10" s="1967"/>
      <c r="J10" s="2001"/>
      <c r="K10" s="2006"/>
      <c r="L10" s="1999" t="s">
        <v>307</v>
      </c>
      <c r="M10" s="2104"/>
      <c r="N10" s="557"/>
      <c r="O10" s="1852"/>
      <c r="P10" s="1852"/>
    </row>
    <row customHeight="1" ht="14.25" hidden="1"/>
    <row customHeight="1" ht="14.25" hidden="1"/>
    <row customHeight="1" ht="6">
      <c r="D13" s="599"/>
      <c r="E13" s="586"/>
      <c r="F13" s="586"/>
      <c r="G13" s="586"/>
      <c r="H13" s="586"/>
      <c r="I13" s="586"/>
      <c r="J13" s="586"/>
      <c r="K13" s="586"/>
      <c r="L13" s="308"/>
      <c r="M13" s="308"/>
    </row>
    <row customHeight="1" ht="14.25">
      <c r="D14" s="599"/>
      <c r="E14" s="25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90"/>
      <c r="G14" s="2590"/>
      <c r="H14" s="2590"/>
      <c r="I14" s="2590"/>
      <c r="J14" s="2590"/>
      <c r="K14" s="2590"/>
      <c r="L14" s="2590"/>
      <c r="M14" s="443"/>
    </row>
    <row customHeight="1" ht="6">
      <c r="D15" s="599"/>
      <c r="E15" s="586"/>
      <c r="F15" s="612"/>
      <c r="G15" s="612"/>
      <c r="H15" s="612"/>
      <c r="I15" s="612"/>
      <c r="J15" s="612"/>
      <c r="K15" s="612"/>
      <c r="L15" s="545"/>
      <c r="M15" s="416"/>
    </row>
    <row customHeight="1" ht="18.75">
      <c r="D16" s="599"/>
      <c r="E16" s="586"/>
      <c r="F16" s="528" t="str">
        <f>"Дата подачи заявления об "&amp;IF(TITLE_DATE_PR_CHANGE="","утверждении","изменении")&amp;" тарифов"</f>
        <v>Дата подачи заявления об изменении тарифов</v>
      </c>
      <c r="G16" s="2381" t="str">
        <f>IF(TITLE_DATE_PR_CHANGE="",IF(TITLE_DATE_PR="","",TITLE_DATE_PR),TITLE_DATE_PR_CHANGE)</f>
        <v>45281.66994212963</v>
      </c>
      <c r="H16" s="2381"/>
      <c r="I16" s="2381"/>
      <c r="J16" s="2381"/>
      <c r="K16" s="2381"/>
      <c r="L16" s="2381"/>
      <c r="M16" s="621"/>
      <c r="N16" s="549"/>
    </row>
    <row customHeight="1" ht="18.75">
      <c r="D17" s="599"/>
      <c r="E17" s="586"/>
      <c r="F17" s="528" t="str">
        <f>"Номер подачи заявления об "&amp;IF(TITLE_DATE_PR_CHANGE="","утверждении","изменении")&amp;" тарифов"</f>
        <v>Номер подачи заявления об изменении тарифов</v>
      </c>
      <c r="G17" s="2382" t="str">
        <f>IF(TITLE_NUMBER_PR_CHANGE="",IF(TITLE_NUMBER_PR="","",TITLE_NUMBER_PR),TITLE_NUMBER_PR_CHANGE)</f>
        <v>72/1</v>
      </c>
      <c r="H17" s="2382"/>
      <c r="I17" s="2382"/>
      <c r="J17" s="2382"/>
      <c r="K17" s="2382"/>
      <c r="L17" s="2382"/>
      <c r="M17" s="621"/>
      <c r="N17" s="549"/>
    </row>
    <row customHeight="1" ht="14.25">
      <c r="D18" s="599"/>
      <c r="E18" s="586"/>
      <c r="F18" s="612"/>
      <c r="G18" s="612"/>
      <c r="H18" s="612"/>
      <c r="I18" s="612"/>
      <c r="J18" s="612"/>
      <c r="K18" s="612"/>
      <c r="L18" s="975"/>
      <c r="M18" s="416"/>
    </row>
    <row customHeight="1" ht="21">
      <c r="D19" s="599"/>
      <c r="E19" s="2344" t="s">
        <v>301</v>
      </c>
      <c r="F19" s="2344"/>
      <c r="G19" s="2344"/>
      <c r="H19" s="2344"/>
      <c r="I19" s="2344"/>
      <c r="J19" s="2344"/>
      <c r="K19" s="2344"/>
      <c r="L19" s="2344"/>
      <c r="M19" s="2587" t="s">
        <v>302</v>
      </c>
    </row>
    <row customHeight="1" ht="21">
      <c r="D20" s="599"/>
      <c r="E20" s="2411" t="s">
        <v>87</v>
      </c>
      <c r="F20" s="2355" t="s">
        <v>121</v>
      </c>
      <c r="G20" s="2355" t="s">
        <v>122</v>
      </c>
      <c r="H20" s="2555" t="s">
        <v>1067</v>
      </c>
      <c r="I20" s="2559"/>
      <c r="J20" s="2556"/>
      <c r="K20" s="2355" t="s">
        <v>304</v>
      </c>
      <c r="L20" s="2355" t="s">
        <v>391</v>
      </c>
      <c r="M20" s="2587"/>
    </row>
    <row customHeight="1" ht="21">
      <c r="D21" s="599"/>
      <c r="E21" s="2413"/>
      <c r="F21" s="2356"/>
      <c r="G21" s="2356"/>
      <c r="H21" s="2350" t="s">
        <v>1068</v>
      </c>
      <c r="I21" s="2366"/>
      <c r="J21" s="332" t="s">
        <v>1069</v>
      </c>
      <c r="K21" s="2356"/>
      <c r="L21" s="2356"/>
      <c r="M21" s="2587"/>
    </row>
    <row customHeight="1" ht="12">
      <c r="D22" s="599"/>
      <c r="E22" s="504"/>
      <c r="F22" s="504"/>
      <c r="G22" s="504"/>
      <c r="H22" s="2592"/>
      <c r="I22" s="2592"/>
      <c r="J22" s="504"/>
      <c r="K22" s="504"/>
      <c r="L22" s="504"/>
      <c r="M22" s="504"/>
    </row>
    <row customHeight="1" ht="18.75">
      <c r="A23" s="2008"/>
      <c r="B23" s="2008"/>
      <c r="D23" s="599"/>
      <c r="E23" s="2095" t="s">
        <v>108</v>
      </c>
      <c r="F23" s="2593" t="str">
        <f>"Предлагаемый метод регулирования"&amp;IF(TEMPLATE_SPHERE="HEAT"," в сфере "&amp;TEMPLATE_SPHERE_RUS,"")</f>
        <v>Предлагаемый метод регулирования</v>
      </c>
      <c r="G23" s="2594"/>
      <c r="H23" s="2589"/>
      <c r="I23" s="2589"/>
      <c r="J23" s="2589"/>
      <c r="K23" s="2594" t="s">
        <v>307</v>
      </c>
      <c r="L23" s="2589"/>
      <c r="M23" s="1997"/>
      <c r="N23" s="557"/>
    </row>
    <row customHeight="1" ht="60.75" hidden="1">
      <c r="A24" s="2008" t="s">
        <v>154</v>
      </c>
      <c r="B24" s="2008" t="s">
        <v>155</v>
      </c>
      <c r="D24" s="2591"/>
      <c r="E24" s="2339"/>
      <c r="F24" s="25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1" t="str">
        <f>INDEX(PT_DIFFERENTIATION_NTAR,MATCH(B24,PT_DIFFERENTIATION_NTAR_ID,0))</f>
        <v/>
      </c>
      <c r="H24" s="2091"/>
      <c r="I24" s="1967"/>
      <c r="J24" s="2001"/>
      <c r="K24" s="2094"/>
      <c r="L24" s="1996" t="s">
        <v>307</v>
      </c>
      <c r="M24"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57"/>
    </row>
    <row s="13661" customFormat="1" customHeight="1" ht="18.75" hidden="1">
      <c r="A25" s="2008"/>
      <c r="B25" s="2008"/>
      <c r="C25" s="592" t="s">
        <v>1064</v>
      </c>
      <c r="D25" s="2591"/>
      <c r="E25" s="2339"/>
      <c r="F25" s="2595"/>
      <c r="G25" s="2551"/>
      <c r="H25" s="1728"/>
      <c r="I25" s="874" t="s">
        <v>1065</v>
      </c>
      <c r="J25" s="794"/>
      <c r="K25" s="1728"/>
      <c r="L25" s="437"/>
      <c r="M25" s="2299"/>
      <c r="N25" s="557"/>
      <c r="O25" s="1852"/>
      <c r="P25" s="1852"/>
    </row>
    <row customHeight="1" ht="0.75" hidden="1">
      <c r="A26" s="2008"/>
      <c r="B26" s="2008"/>
      <c r="C26" s="592" t="s">
        <v>1070</v>
      </c>
      <c r="D26" s="2591"/>
      <c r="E26" s="2339"/>
      <c r="F26" s="2505"/>
      <c r="G26" s="623"/>
      <c r="H26" s="1728"/>
      <c r="I26" s="618"/>
      <c r="J26" s="572"/>
      <c r="K26" s="1728"/>
      <c r="L26" s="424"/>
      <c r="M26" s="2299"/>
      <c r="N26" s="557"/>
    </row>
    <row s="13661" customFormat="1" customHeight="1" ht="45" hidden="1">
      <c r="A27" s="2008" t="s">
        <v>160</v>
      </c>
      <c r="B27" s="2008" t="s">
        <v>161</v>
      </c>
      <c r="C27" s="592"/>
      <c r="D27" s="2596"/>
      <c r="E27" s="2597"/>
      <c r="F27" s="25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51" t="str">
        <f>INDEX(PT_DIFFERENTIATION_NTAR,MATCH(B27,PT_DIFFERENTIATION_NTAR_ID,0))</f>
        <v/>
      </c>
      <c r="H27" s="2091"/>
      <c r="I27" s="1967"/>
      <c r="J27" s="2001"/>
      <c r="K27" s="2094"/>
      <c r="L27" s="2091" t="s">
        <v>307</v>
      </c>
      <c r="M27" s="2299"/>
      <c r="N27" s="557"/>
      <c r="O27" s="1852"/>
      <c r="P27" s="1852"/>
    </row>
    <row s="13661" customFormat="1" customHeight="1" ht="18.75" hidden="1">
      <c r="A28" s="2008"/>
      <c r="B28" s="2008"/>
      <c r="C28" s="592" t="s">
        <v>1064</v>
      </c>
      <c r="D28" s="2596"/>
      <c r="E28" s="2597"/>
      <c r="F28" s="2598"/>
      <c r="G28" s="2551"/>
      <c r="H28" s="1728"/>
      <c r="I28" s="874" t="s">
        <v>1065</v>
      </c>
      <c r="J28" s="794"/>
      <c r="K28" s="1728"/>
      <c r="L28" s="437"/>
      <c r="M28" s="2299"/>
      <c r="N28" s="557"/>
      <c r="O28" s="1852"/>
      <c r="P28" s="1852"/>
    </row>
    <row s="13661" customFormat="1" customHeight="1" ht="0.75" hidden="1">
      <c r="A29" s="2008"/>
      <c r="B29" s="2008"/>
      <c r="C29" s="592" t="s">
        <v>1070</v>
      </c>
      <c r="D29" s="2596"/>
      <c r="E29" s="2339"/>
      <c r="F29" s="2505"/>
      <c r="G29" s="623"/>
      <c r="H29" s="1728"/>
      <c r="I29" s="874"/>
      <c r="J29" s="794"/>
      <c r="K29" s="1728"/>
      <c r="L29" s="437"/>
      <c r="M29" s="2299"/>
      <c r="N29" s="557"/>
      <c r="O29" s="1852"/>
      <c r="P29" s="1852"/>
    </row>
    <row s="13661" customFormat="1" customHeight="1" ht="45" hidden="1">
      <c r="A30" s="2008" t="s">
        <v>166</v>
      </c>
      <c r="B30" s="2008" t="s">
        <v>167</v>
      </c>
      <c r="C30" s="592"/>
      <c r="D30" s="2596"/>
      <c r="E30" s="2339"/>
      <c r="F30" s="25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1" t="str">
        <f>INDEX(PT_DIFFERENTIATION_NTAR,MATCH(B30,PT_DIFFERENTIATION_NTAR_ID,0))</f>
        <v/>
      </c>
      <c r="H30" s="2091"/>
      <c r="I30" s="1967"/>
      <c r="J30" s="2001"/>
      <c r="K30" s="2094"/>
      <c r="L30" s="2091" t="s">
        <v>307</v>
      </c>
      <c r="M30" s="2299"/>
      <c r="N30" s="557"/>
      <c r="O30" s="1852"/>
      <c r="P30" s="1852"/>
    </row>
    <row s="13661" customFormat="1" customHeight="1" ht="18.75" hidden="1">
      <c r="A31" s="2008"/>
      <c r="B31" s="2008"/>
      <c r="C31" s="592" t="s">
        <v>1064</v>
      </c>
      <c r="D31" s="2596"/>
      <c r="E31" s="2339"/>
      <c r="F31" s="2505"/>
      <c r="G31" s="2551"/>
      <c r="H31" s="1728"/>
      <c r="I31" s="874" t="s">
        <v>1065</v>
      </c>
      <c r="J31" s="794"/>
      <c r="K31" s="1728"/>
      <c r="L31" s="437"/>
      <c r="M31" s="2299"/>
      <c r="N31" s="557"/>
      <c r="O31" s="1852"/>
      <c r="P31" s="1852"/>
    </row>
    <row s="13661" customFormat="1" customHeight="1" ht="0.75" hidden="1">
      <c r="A32" s="2008"/>
      <c r="B32" s="2008"/>
      <c r="C32" s="592" t="s">
        <v>1070</v>
      </c>
      <c r="D32" s="2596"/>
      <c r="E32" s="2339"/>
      <c r="F32" s="2505"/>
      <c r="G32" s="623"/>
      <c r="H32" s="1728"/>
      <c r="I32" s="874"/>
      <c r="J32" s="794"/>
      <c r="K32" s="1728"/>
      <c r="L32" s="437"/>
      <c r="M32" s="2299"/>
      <c r="N32" s="557"/>
      <c r="O32" s="1852"/>
      <c r="P32" s="1852"/>
    </row>
    <row s="13661" customFormat="1" customHeight="1" ht="45" hidden="1">
      <c r="A33" s="2008" t="s">
        <v>172</v>
      </c>
      <c r="B33" s="2008" t="s">
        <v>173</v>
      </c>
      <c r="C33" s="592"/>
      <c r="D33" s="2596"/>
      <c r="E33" s="2339"/>
      <c r="F33" s="25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1" t="str">
        <f>INDEX(PT_DIFFERENTIATION_NTAR,MATCH(B33,PT_DIFFERENTIATION_NTAR_ID,0))</f>
        <v/>
      </c>
      <c r="H33" s="2091"/>
      <c r="I33" s="1967"/>
      <c r="J33" s="2001"/>
      <c r="K33" s="2094"/>
      <c r="L33" s="2091" t="s">
        <v>307</v>
      </c>
      <c r="M33" s="2299"/>
      <c r="N33" s="557"/>
      <c r="O33" s="1852"/>
      <c r="P33" s="1852"/>
    </row>
    <row s="13661" customFormat="1" customHeight="1" ht="18.75" hidden="1">
      <c r="A34" s="2008"/>
      <c r="B34" s="2008"/>
      <c r="C34" s="592" t="s">
        <v>1064</v>
      </c>
      <c r="D34" s="2596"/>
      <c r="E34" s="2339"/>
      <c r="F34" s="2505"/>
      <c r="G34" s="2551"/>
      <c r="H34" s="1728"/>
      <c r="I34" s="874" t="s">
        <v>1065</v>
      </c>
      <c r="J34" s="794"/>
      <c r="K34" s="1728"/>
      <c r="L34" s="437"/>
      <c r="M34" s="2299"/>
      <c r="N34" s="557"/>
      <c r="O34" s="1852"/>
      <c r="P34" s="1852"/>
    </row>
    <row s="13661" customFormat="1" customHeight="1" ht="0.75" hidden="1">
      <c r="A35" s="2008"/>
      <c r="B35" s="2008"/>
      <c r="C35" s="592" t="s">
        <v>1070</v>
      </c>
      <c r="D35" s="2596"/>
      <c r="E35" s="2339"/>
      <c r="F35" s="2505"/>
      <c r="G35" s="623"/>
      <c r="H35" s="1728"/>
      <c r="I35" s="874"/>
      <c r="J35" s="794"/>
      <c r="K35" s="1728"/>
      <c r="L35" s="437"/>
      <c r="M35" s="2299"/>
      <c r="N35" s="557"/>
      <c r="O35" s="1852"/>
      <c r="P35" s="1852"/>
    </row>
    <row s="13661" customFormat="1" customHeight="1" ht="18.75" hidden="1">
      <c r="A36" s="2008" t="s">
        <v>178</v>
      </c>
      <c r="B36" s="2008" t="s">
        <v>179</v>
      </c>
      <c r="C36" s="592"/>
      <c r="D36" s="2596"/>
      <c r="E36" s="2339"/>
      <c r="F36" s="2505" t="str">
        <f>INDEX(PT_DIFFERENTIATION_VTAR,MATCH(A36,PT_DIFFERENTIATION_VTAR_ID,0))</f>
        <v>Тарифы на услуги по передаче тепловой энергии</v>
      </c>
      <c r="G36" s="2551" t="str">
        <f>INDEX(PT_DIFFERENTIATION_NTAR,MATCH(B36,PT_DIFFERENTIATION_NTAR_ID,0))</f>
        <v/>
      </c>
      <c r="H36" s="2091"/>
      <c r="I36" s="1967"/>
      <c r="J36" s="2001"/>
      <c r="K36" s="2094"/>
      <c r="L36" s="2091" t="s">
        <v>307</v>
      </c>
      <c r="M36" s="2299"/>
      <c r="N36" s="557"/>
      <c r="O36" s="1852"/>
      <c r="P36" s="1852"/>
    </row>
    <row s="13661" customFormat="1" customHeight="1" ht="18.75" hidden="1">
      <c r="A37" s="2008"/>
      <c r="B37" s="2008"/>
      <c r="C37" s="592" t="s">
        <v>1064</v>
      </c>
      <c r="D37" s="2596"/>
      <c r="E37" s="2339"/>
      <c r="F37" s="2505"/>
      <c r="G37" s="2551"/>
      <c r="H37" s="1728"/>
      <c r="I37" s="874" t="s">
        <v>1065</v>
      </c>
      <c r="J37" s="794"/>
      <c r="K37" s="1728"/>
      <c r="L37" s="437"/>
      <c r="M37" s="2299"/>
      <c r="N37" s="557"/>
      <c r="O37" s="1852"/>
      <c r="P37" s="1852"/>
    </row>
    <row s="13661" customFormat="1" customHeight="1" ht="0.75" hidden="1">
      <c r="A38" s="2008"/>
      <c r="B38" s="2008"/>
      <c r="C38" s="592" t="s">
        <v>1070</v>
      </c>
      <c r="D38" s="2596"/>
      <c r="E38" s="2339"/>
      <c r="F38" s="2505"/>
      <c r="G38" s="623"/>
      <c r="H38" s="1728"/>
      <c r="I38" s="874"/>
      <c r="J38" s="794"/>
      <c r="K38" s="1728"/>
      <c r="L38" s="437"/>
      <c r="M38" s="2299"/>
      <c r="N38" s="557"/>
      <c r="O38" s="1852"/>
      <c r="P38" s="1852"/>
    </row>
    <row s="13661" customFormat="1" customHeight="1" ht="18.75" hidden="1">
      <c r="A39" s="2008" t="s">
        <v>184</v>
      </c>
      <c r="B39" s="2008" t="s">
        <v>185</v>
      </c>
      <c r="C39" s="592"/>
      <c r="D39" s="2596"/>
      <c r="E39" s="2339"/>
      <c r="F39" s="2505" t="str">
        <f>INDEX(PT_DIFFERENTIATION_VTAR,MATCH(A39,PT_DIFFERENTIATION_VTAR_ID,0))</f>
        <v>Тарифы на услуги по передаче теплоносителя</v>
      </c>
      <c r="G39" s="2551" t="str">
        <f>INDEX(PT_DIFFERENTIATION_NTAR,MATCH(B39,PT_DIFFERENTIATION_NTAR_ID,0))</f>
        <v/>
      </c>
      <c r="H39" s="2091"/>
      <c r="I39" s="1967"/>
      <c r="J39" s="2001"/>
      <c r="K39" s="2094"/>
      <c r="L39" s="2091" t="s">
        <v>307</v>
      </c>
      <c r="M39" s="2299"/>
      <c r="N39" s="557"/>
      <c r="O39" s="1852"/>
      <c r="P39" s="1852"/>
    </row>
    <row s="13661" customFormat="1" customHeight="1" ht="18.75" hidden="1">
      <c r="A40" s="2008"/>
      <c r="B40" s="2008"/>
      <c r="C40" s="592" t="s">
        <v>1064</v>
      </c>
      <c r="D40" s="2596"/>
      <c r="E40" s="2339"/>
      <c r="F40" s="2505"/>
      <c r="G40" s="2551"/>
      <c r="H40" s="1728"/>
      <c r="I40" s="874" t="s">
        <v>1065</v>
      </c>
      <c r="J40" s="794"/>
      <c r="K40" s="1728"/>
      <c r="L40" s="437"/>
      <c r="M40" s="2299"/>
      <c r="N40" s="557"/>
      <c r="O40" s="1852"/>
      <c r="P40" s="1852"/>
    </row>
    <row s="13661" customFormat="1" customHeight="1" ht="0.75" hidden="1">
      <c r="A41" s="2008"/>
      <c r="B41" s="2008"/>
      <c r="C41" s="592" t="s">
        <v>1070</v>
      </c>
      <c r="D41" s="2596"/>
      <c r="E41" s="2339"/>
      <c r="F41" s="2505"/>
      <c r="G41" s="623"/>
      <c r="H41" s="1728"/>
      <c r="I41" s="874"/>
      <c r="J41" s="794"/>
      <c r="K41" s="1728"/>
      <c r="L41" s="437"/>
      <c r="M41" s="2299"/>
      <c r="N41" s="557"/>
      <c r="O41" s="1852"/>
      <c r="P41" s="1852"/>
    </row>
    <row s="13661" customFormat="1" customHeight="1" ht="18.75" hidden="1">
      <c r="A42" s="2008" t="s">
        <v>190</v>
      </c>
      <c r="B42" s="2008" t="s">
        <v>191</v>
      </c>
      <c r="C42" s="592"/>
      <c r="D42" s="2596"/>
      <c r="E42" s="2339"/>
      <c r="F42" s="25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1" t="str">
        <f>INDEX(PT_DIFFERENTIATION_NTAR,MATCH(B42,PT_DIFFERENTIATION_NTAR_ID,0))</f>
        <v/>
      </c>
      <c r="H42" s="2091"/>
      <c r="I42" s="1967"/>
      <c r="J42" s="2001"/>
      <c r="K42" s="2094"/>
      <c r="L42" s="2091" t="s">
        <v>307</v>
      </c>
      <c r="M42" s="2299"/>
      <c r="N42" s="557"/>
      <c r="O42" s="1852"/>
      <c r="P42" s="1852"/>
    </row>
    <row s="13661" customFormat="1" customHeight="1" ht="18.75" hidden="1">
      <c r="A43" s="2008"/>
      <c r="B43" s="2008"/>
      <c r="C43" s="592" t="s">
        <v>1064</v>
      </c>
      <c r="D43" s="2596"/>
      <c r="E43" s="2339"/>
      <c r="F43" s="2505"/>
      <c r="G43" s="2551"/>
      <c r="H43" s="1728"/>
      <c r="I43" s="874" t="s">
        <v>1065</v>
      </c>
      <c r="J43" s="794"/>
      <c r="K43" s="1728"/>
      <c r="L43" s="437"/>
      <c r="M43" s="2299"/>
      <c r="N43" s="557"/>
      <c r="O43" s="1852"/>
      <c r="P43" s="1852"/>
    </row>
    <row s="13661" customFormat="1" customHeight="1" ht="0.75" hidden="1">
      <c r="A44" s="2008"/>
      <c r="B44" s="2008"/>
      <c r="C44" s="592" t="s">
        <v>1070</v>
      </c>
      <c r="D44" s="2596"/>
      <c r="E44" s="2339"/>
      <c r="F44" s="2505"/>
      <c r="G44" s="623"/>
      <c r="H44" s="1728"/>
      <c r="I44" s="874"/>
      <c r="J44" s="794"/>
      <c r="K44" s="1728"/>
      <c r="L44" s="437"/>
      <c r="M44" s="2299"/>
      <c r="N44" s="557"/>
      <c r="O44" s="1852"/>
      <c r="P44" s="1852"/>
    </row>
    <row s="13661" customFormat="1" customHeight="1" ht="18.75" hidden="1">
      <c r="A45" s="2008" t="s">
        <v>196</v>
      </c>
      <c r="B45" s="2008" t="s">
        <v>197</v>
      </c>
      <c r="C45" s="592"/>
      <c r="D45" s="2596"/>
      <c r="E45" s="2339"/>
      <c r="F45" s="2505" t="str">
        <f>INDEX(PT_DIFFERENTIATION_VTAR,MATCH(A45,PT_DIFFERENTIATION_VTAR_ID,0))</f>
        <v>Плата за подключение (технологическое присоединение) к системе теплоснабжения</v>
      </c>
      <c r="G45" s="2551" t="str">
        <f>INDEX(PT_DIFFERENTIATION_NTAR,MATCH(B45,PT_DIFFERENTIATION_NTAR_ID,0))</f>
        <v/>
      </c>
      <c r="H45" s="2091"/>
      <c r="I45" s="1967"/>
      <c r="J45" s="2001"/>
      <c r="K45" s="2094"/>
      <c r="L45" s="2091" t="s">
        <v>307</v>
      </c>
      <c r="M45" s="2299"/>
      <c r="N45" s="557"/>
      <c r="O45" s="1852"/>
      <c r="P45" s="1852"/>
    </row>
    <row s="13661" customFormat="1" customHeight="1" ht="18.75" hidden="1">
      <c r="A46" s="2008"/>
      <c r="B46" s="2008"/>
      <c r="C46" s="592" t="s">
        <v>1064</v>
      </c>
      <c r="D46" s="2596"/>
      <c r="E46" s="2339"/>
      <c r="F46" s="2505"/>
      <c r="G46" s="2551"/>
      <c r="H46" s="1728"/>
      <c r="I46" s="874" t="s">
        <v>1065</v>
      </c>
      <c r="J46" s="794"/>
      <c r="K46" s="1728"/>
      <c r="L46" s="437"/>
      <c r="M46" s="2299"/>
      <c r="N46" s="557"/>
      <c r="O46" s="1852"/>
      <c r="P46" s="1852"/>
    </row>
    <row s="13661" customFormat="1" customHeight="1" ht="0.75" hidden="1">
      <c r="A47" s="2008"/>
      <c r="B47" s="2008"/>
      <c r="C47" s="592" t="s">
        <v>1070</v>
      </c>
      <c r="D47" s="2596"/>
      <c r="E47" s="2339"/>
      <c r="F47" s="2505"/>
      <c r="G47" s="623"/>
      <c r="H47" s="1728"/>
      <c r="I47" s="874"/>
      <c r="J47" s="794"/>
      <c r="K47" s="1728"/>
      <c r="L47" s="437"/>
      <c r="M47" s="2299"/>
      <c r="N47" s="557"/>
      <c r="O47" s="1852"/>
      <c r="P47" s="1852"/>
    </row>
    <row s="13661" customFormat="1" customHeight="1" ht="18.75" hidden="1">
      <c r="A48" s="2008" t="s">
        <v>222</v>
      </c>
      <c r="B48" s="2008" t="s">
        <v>223</v>
      </c>
      <c r="C48" s="592"/>
      <c r="D48" s="2596"/>
      <c r="E48" s="2339"/>
      <c r="F48" s="2505" t="str">
        <f>INDEX(PT_DIFFERENTIATION_VTAR,MATCH(A48,PT_DIFFERENTIATION_VTAR_ID,0))</f>
        <v>Тариф на питьевую воду (питьевое водоснабжение)</v>
      </c>
      <c r="G48" s="2551" t="str">
        <f>INDEX(PT_DIFFERENTIATION_NTAR,MATCH(B48,PT_DIFFERENTIATION_NTAR_ID,0))</f>
        <v/>
      </c>
      <c r="H48" s="2091"/>
      <c r="I48" s="1967"/>
      <c r="J48" s="2001"/>
      <c r="K48" s="2094"/>
      <c r="L48" s="2091" t="s">
        <v>307</v>
      </c>
      <c r="M48" s="2299"/>
      <c r="N48" s="557"/>
      <c r="O48" s="1852"/>
      <c r="P48" s="1852"/>
    </row>
    <row s="13661" customFormat="1" customHeight="1" ht="18.75" hidden="1">
      <c r="A49" s="2008"/>
      <c r="B49" s="2008"/>
      <c r="C49" s="592" t="s">
        <v>1064</v>
      </c>
      <c r="D49" s="2596"/>
      <c r="E49" s="2339"/>
      <c r="F49" s="2505"/>
      <c r="G49" s="2551"/>
      <c r="H49" s="1728"/>
      <c r="I49" s="874" t="s">
        <v>1065</v>
      </c>
      <c r="J49" s="794"/>
      <c r="K49" s="1728"/>
      <c r="L49" s="437"/>
      <c r="M49" s="2299"/>
      <c r="N49" s="557"/>
      <c r="O49" s="1852"/>
      <c r="P49" s="1852"/>
    </row>
    <row s="13661" customFormat="1" customHeight="1" ht="0.75" hidden="1">
      <c r="A50" s="2008"/>
      <c r="B50" s="2008"/>
      <c r="C50" s="592" t="s">
        <v>1070</v>
      </c>
      <c r="D50" s="2596"/>
      <c r="E50" s="2339"/>
      <c r="F50" s="2505"/>
      <c r="G50" s="623"/>
      <c r="H50" s="1728"/>
      <c r="I50" s="874"/>
      <c r="J50" s="794"/>
      <c r="K50" s="1728"/>
      <c r="L50" s="437"/>
      <c r="M50" s="2299"/>
      <c r="N50" s="557"/>
      <c r="O50" s="1852"/>
      <c r="P50" s="1852"/>
    </row>
    <row s="13661" customFormat="1" customHeight="1" ht="18.75" hidden="1">
      <c r="A51" s="2008" t="s">
        <v>227</v>
      </c>
      <c r="B51" s="2008" t="s">
        <v>228</v>
      </c>
      <c r="C51" s="592"/>
      <c r="D51" s="2596"/>
      <c r="E51" s="2339"/>
      <c r="F51" s="2505" t="str">
        <f>INDEX(PT_DIFFERENTIATION_VTAR,MATCH(A51,PT_DIFFERENTIATION_VTAR_ID,0))</f>
        <v>Тариф на техническую воду</v>
      </c>
      <c r="G51" s="2551" t="str">
        <f>INDEX(PT_DIFFERENTIATION_NTAR,MATCH(B51,PT_DIFFERENTIATION_NTAR_ID,0))</f>
        <v/>
      </c>
      <c r="H51" s="2091"/>
      <c r="I51" s="1967"/>
      <c r="J51" s="2001"/>
      <c r="K51" s="2094"/>
      <c r="L51" s="2091" t="s">
        <v>307</v>
      </c>
      <c r="M51" s="2299"/>
      <c r="N51" s="557"/>
      <c r="O51" s="1852"/>
      <c r="P51" s="1852"/>
    </row>
    <row s="13661" customFormat="1" customHeight="1" ht="18.75" hidden="1">
      <c r="A52" s="2008"/>
      <c r="B52" s="2008"/>
      <c r="C52" s="592" t="s">
        <v>1064</v>
      </c>
      <c r="D52" s="2596"/>
      <c r="E52" s="2339"/>
      <c r="F52" s="2505"/>
      <c r="G52" s="2551"/>
      <c r="H52" s="1728"/>
      <c r="I52" s="874" t="s">
        <v>1065</v>
      </c>
      <c r="J52" s="794"/>
      <c r="K52" s="1728"/>
      <c r="L52" s="437"/>
      <c r="M52" s="2299"/>
      <c r="N52" s="557"/>
      <c r="O52" s="1852"/>
      <c r="P52" s="1852"/>
    </row>
    <row s="13661" customFormat="1" customHeight="1" ht="0.75" hidden="1">
      <c r="A53" s="2008"/>
      <c r="B53" s="2008"/>
      <c r="C53" s="592" t="s">
        <v>1070</v>
      </c>
      <c r="D53" s="2596"/>
      <c r="E53" s="2339"/>
      <c r="F53" s="2505"/>
      <c r="G53" s="623"/>
      <c r="H53" s="1728"/>
      <c r="I53" s="874"/>
      <c r="J53" s="794"/>
      <c r="K53" s="1728"/>
      <c r="L53" s="437"/>
      <c r="M53" s="2299"/>
      <c r="N53" s="557"/>
      <c r="O53" s="1852"/>
      <c r="P53" s="1852"/>
    </row>
    <row s="13661" customFormat="1" customHeight="1" ht="18.75" hidden="1">
      <c r="A54" s="2008" t="s">
        <v>232</v>
      </c>
      <c r="B54" s="2008" t="s">
        <v>233</v>
      </c>
      <c r="C54" s="592"/>
      <c r="D54" s="2596"/>
      <c r="E54" s="2339"/>
      <c r="F54" s="2505" t="str">
        <f>INDEX(PT_DIFFERENTIATION_VTAR,MATCH(A54,PT_DIFFERENTIATION_VTAR_ID,0))</f>
        <v>Тариф на транспортировку воды</v>
      </c>
      <c r="G54" s="2551" t="str">
        <f>INDEX(PT_DIFFERENTIATION_NTAR,MATCH(B54,PT_DIFFERENTIATION_NTAR_ID,0))</f>
        <v/>
      </c>
      <c r="H54" s="2091"/>
      <c r="I54" s="1967"/>
      <c r="J54" s="2001"/>
      <c r="K54" s="2094"/>
      <c r="L54" s="2091" t="s">
        <v>307</v>
      </c>
      <c r="M54" s="2299"/>
      <c r="N54" s="557"/>
      <c r="O54" s="1852"/>
      <c r="P54" s="1852"/>
    </row>
    <row s="13661" customFormat="1" customHeight="1" ht="18.75" hidden="1">
      <c r="A55" s="2008"/>
      <c r="B55" s="2008"/>
      <c r="C55" s="592" t="s">
        <v>1064</v>
      </c>
      <c r="D55" s="2596"/>
      <c r="E55" s="2339"/>
      <c r="F55" s="2505"/>
      <c r="G55" s="2551"/>
      <c r="H55" s="1728"/>
      <c r="I55" s="874" t="s">
        <v>1065</v>
      </c>
      <c r="J55" s="794"/>
      <c r="K55" s="1728"/>
      <c r="L55" s="437"/>
      <c r="M55" s="2299"/>
      <c r="N55" s="557"/>
      <c r="O55" s="1852"/>
      <c r="P55" s="1852"/>
    </row>
    <row s="13661" customFormat="1" customHeight="1" ht="0.75" hidden="1">
      <c r="A56" s="2008"/>
      <c r="B56" s="2008"/>
      <c r="C56" s="592" t="s">
        <v>1070</v>
      </c>
      <c r="D56" s="2596"/>
      <c r="E56" s="2339"/>
      <c r="F56" s="2505"/>
      <c r="G56" s="623"/>
      <c r="H56" s="1728"/>
      <c r="I56" s="874"/>
      <c r="J56" s="794"/>
      <c r="K56" s="1728"/>
      <c r="L56" s="437"/>
      <c r="M56" s="2299"/>
      <c r="N56" s="557"/>
      <c r="O56" s="1852"/>
      <c r="P56" s="1852"/>
    </row>
    <row s="13661" customFormat="1" customHeight="1" ht="18.75" hidden="1">
      <c r="A57" s="2008" t="s">
        <v>237</v>
      </c>
      <c r="B57" s="2008" t="s">
        <v>238</v>
      </c>
      <c r="C57" s="592"/>
      <c r="D57" s="2596"/>
      <c r="E57" s="2339"/>
      <c r="F57" s="2505" t="str">
        <f>INDEX(PT_DIFFERENTIATION_VTAR,MATCH(A57,PT_DIFFERENTIATION_VTAR_ID,0))</f>
        <v>Тариф на подвоз воды</v>
      </c>
      <c r="G57" s="2551" t="str">
        <f>INDEX(PT_DIFFERENTIATION_NTAR,MATCH(B57,PT_DIFFERENTIATION_NTAR_ID,0))</f>
        <v/>
      </c>
      <c r="H57" s="2091"/>
      <c r="I57" s="1967"/>
      <c r="J57" s="2001"/>
      <c r="K57" s="2094"/>
      <c r="L57" s="2091" t="s">
        <v>307</v>
      </c>
      <c r="M57" s="2299"/>
      <c r="N57" s="557"/>
      <c r="O57" s="1852"/>
      <c r="P57" s="1852"/>
    </row>
    <row s="13661" customFormat="1" customHeight="1" ht="18.75" hidden="1">
      <c r="A58" s="2008"/>
      <c r="B58" s="2008"/>
      <c r="C58" s="592" t="s">
        <v>1064</v>
      </c>
      <c r="D58" s="2596"/>
      <c r="E58" s="2339"/>
      <c r="F58" s="2505"/>
      <c r="G58" s="2551"/>
      <c r="H58" s="1728"/>
      <c r="I58" s="874" t="s">
        <v>1065</v>
      </c>
      <c r="J58" s="794"/>
      <c r="K58" s="1728"/>
      <c r="L58" s="437"/>
      <c r="M58" s="2299"/>
      <c r="N58" s="557"/>
      <c r="O58" s="1852"/>
      <c r="P58" s="1852"/>
    </row>
    <row s="13661" customFormat="1" customHeight="1" ht="0.75" hidden="1">
      <c r="A59" s="2008"/>
      <c r="B59" s="2008"/>
      <c r="C59" s="592" t="s">
        <v>1070</v>
      </c>
      <c r="D59" s="2596"/>
      <c r="E59" s="2339"/>
      <c r="F59" s="2505"/>
      <c r="G59" s="623"/>
      <c r="H59" s="1728"/>
      <c r="I59" s="874"/>
      <c r="J59" s="794"/>
      <c r="K59" s="1728"/>
      <c r="L59" s="437"/>
      <c r="M59" s="2299"/>
      <c r="N59" s="557"/>
      <c r="O59" s="1852"/>
      <c r="P59" s="1852"/>
    </row>
    <row s="13661" customFormat="1" customHeight="1" ht="18.75" hidden="1">
      <c r="A60" s="2008" t="s">
        <v>242</v>
      </c>
      <c r="B60" s="2008" t="s">
        <v>243</v>
      </c>
      <c r="C60" s="592"/>
      <c r="D60" s="2596"/>
      <c r="E60" s="2339"/>
      <c r="F60" s="250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51" t="str">
        <f>INDEX(PT_DIFFERENTIATION_NTAR,MATCH(B60,PT_DIFFERENTIATION_NTAR_ID,0))</f>
        <v/>
      </c>
      <c r="H60" s="2091"/>
      <c r="I60" s="1967"/>
      <c r="J60" s="2001"/>
      <c r="K60" s="2094"/>
      <c r="L60" s="2091" t="s">
        <v>307</v>
      </c>
      <c r="M60" s="2299"/>
      <c r="N60" s="557"/>
      <c r="O60" s="1852"/>
      <c r="P60" s="1852"/>
    </row>
    <row s="13661" customFormat="1" customHeight="1" ht="18.75" hidden="1">
      <c r="A61" s="2008"/>
      <c r="B61" s="2008"/>
      <c r="C61" s="592" t="s">
        <v>1064</v>
      </c>
      <c r="D61" s="2596"/>
      <c r="E61" s="2339"/>
      <c r="F61" s="2505"/>
      <c r="G61" s="2551"/>
      <c r="H61" s="1728"/>
      <c r="I61" s="874" t="s">
        <v>1065</v>
      </c>
      <c r="J61" s="794"/>
      <c r="K61" s="1728"/>
      <c r="L61" s="437"/>
      <c r="M61" s="2299"/>
      <c r="N61" s="557"/>
      <c r="O61" s="1852"/>
      <c r="P61" s="1852"/>
    </row>
    <row s="13661" customFormat="1" customHeight="1" ht="0.75" hidden="1">
      <c r="A62" s="2008"/>
      <c r="B62" s="2008"/>
      <c r="C62" s="592" t="s">
        <v>1070</v>
      </c>
      <c r="D62" s="2596"/>
      <c r="E62" s="2339"/>
      <c r="F62" s="2505"/>
      <c r="G62" s="623"/>
      <c r="H62" s="1728"/>
      <c r="I62" s="874"/>
      <c r="J62" s="794"/>
      <c r="K62" s="1728"/>
      <c r="L62" s="437"/>
      <c r="M62" s="2299"/>
      <c r="N62" s="557"/>
      <c r="O62" s="1852"/>
      <c r="P62" s="1852"/>
    </row>
    <row s="13661" customFormat="1" customHeight="1" ht="18.75" hidden="1">
      <c r="A63" s="2008" t="s">
        <v>248</v>
      </c>
      <c r="B63" s="2008" t="s">
        <v>249</v>
      </c>
      <c r="C63" s="592"/>
      <c r="D63" s="2596"/>
      <c r="E63" s="2339"/>
      <c r="F63" s="2505" t="str">
        <f>INDEX(PT_DIFFERENTIATION_VTAR,MATCH(A63,PT_DIFFERENTIATION_VTAR_ID,0))</f>
        <v>Тариф на горячую воду (горячее водоснабжение)</v>
      </c>
      <c r="G63" s="2551" t="str">
        <f>INDEX(PT_DIFFERENTIATION_NTAR,MATCH(B63,PT_DIFFERENTIATION_NTAR_ID,0))</f>
        <v/>
      </c>
      <c r="H63" s="2091"/>
      <c r="I63" s="1967"/>
      <c r="J63" s="2001"/>
      <c r="K63" s="2094"/>
      <c r="L63" s="2091" t="s">
        <v>307</v>
      </c>
      <c r="M63" s="2299"/>
      <c r="N63" s="557"/>
      <c r="O63" s="1852"/>
      <c r="P63" s="1852"/>
    </row>
    <row s="13661" customFormat="1" customHeight="1" ht="18.75" hidden="1">
      <c r="A64" s="2008"/>
      <c r="B64" s="2008"/>
      <c r="C64" s="592" t="s">
        <v>1064</v>
      </c>
      <c r="D64" s="2596"/>
      <c r="E64" s="2339"/>
      <c r="F64" s="2505"/>
      <c r="G64" s="2551"/>
      <c r="H64" s="1728"/>
      <c r="I64" s="874" t="s">
        <v>1065</v>
      </c>
      <c r="J64" s="794"/>
      <c r="K64" s="1728"/>
      <c r="L64" s="437"/>
      <c r="M64" s="2299"/>
      <c r="N64" s="557"/>
      <c r="O64" s="1852"/>
      <c r="P64" s="1852"/>
    </row>
    <row s="13661" customFormat="1" customHeight="1" ht="0.75" hidden="1">
      <c r="A65" s="2008"/>
      <c r="B65" s="2008"/>
      <c r="C65" s="592" t="s">
        <v>1070</v>
      </c>
      <c r="D65" s="2596"/>
      <c r="E65" s="2339"/>
      <c r="F65" s="2505"/>
      <c r="G65" s="623"/>
      <c r="H65" s="1728"/>
      <c r="I65" s="874"/>
      <c r="J65" s="794"/>
      <c r="K65" s="1728"/>
      <c r="L65" s="437"/>
      <c r="M65" s="2299"/>
      <c r="N65" s="557"/>
      <c r="O65" s="1852"/>
      <c r="P65" s="1852"/>
    </row>
    <row s="13661" customFormat="1" customHeight="1" ht="18.75" hidden="1">
      <c r="A66" s="2008" t="s">
        <v>256</v>
      </c>
      <c r="B66" s="2008" t="s">
        <v>257</v>
      </c>
      <c r="C66" s="592"/>
      <c r="D66" s="2596"/>
      <c r="E66" s="2339"/>
      <c r="F66" s="2505" t="str">
        <f>INDEX(PT_DIFFERENTIATION_VTAR,MATCH(A66,PT_DIFFERENTIATION_VTAR_ID,0))</f>
        <v>Тариф на транспортировку горячей воды</v>
      </c>
      <c r="G66" s="2551" t="str">
        <f>INDEX(PT_DIFFERENTIATION_NTAR,MATCH(B66,PT_DIFFERENTIATION_NTAR_ID,0))</f>
        <v/>
      </c>
      <c r="H66" s="2091"/>
      <c r="I66" s="1967"/>
      <c r="J66" s="2001"/>
      <c r="K66" s="2094"/>
      <c r="L66" s="2091" t="s">
        <v>307</v>
      </c>
      <c r="M66" s="2299"/>
      <c r="N66" s="557"/>
      <c r="O66" s="1852"/>
      <c r="P66" s="1852"/>
    </row>
    <row s="13661" customFormat="1" customHeight="1" ht="18.75" hidden="1">
      <c r="A67" s="2008"/>
      <c r="B67" s="2008"/>
      <c r="C67" s="592" t="s">
        <v>1064</v>
      </c>
      <c r="D67" s="2596"/>
      <c r="E67" s="2339"/>
      <c r="F67" s="2505"/>
      <c r="G67" s="2551"/>
      <c r="H67" s="1728"/>
      <c r="I67" s="874" t="s">
        <v>1065</v>
      </c>
      <c r="J67" s="794"/>
      <c r="K67" s="1728"/>
      <c r="L67" s="437"/>
      <c r="M67" s="2299"/>
      <c r="N67" s="557"/>
      <c r="O67" s="1852"/>
      <c r="P67" s="1852"/>
    </row>
    <row s="13661" customFormat="1" customHeight="1" ht="0.75" hidden="1">
      <c r="A68" s="2008"/>
      <c r="B68" s="2008"/>
      <c r="C68" s="592" t="s">
        <v>1070</v>
      </c>
      <c r="D68" s="2596"/>
      <c r="E68" s="2339"/>
      <c r="F68" s="2505"/>
      <c r="G68" s="623"/>
      <c r="H68" s="1728"/>
      <c r="I68" s="874"/>
      <c r="J68" s="794"/>
      <c r="K68" s="1728"/>
      <c r="L68" s="437"/>
      <c r="M68" s="2299"/>
      <c r="N68" s="557"/>
      <c r="O68" s="1852"/>
      <c r="P68" s="1852"/>
    </row>
    <row s="13661" customFormat="1" customHeight="1" ht="18.75" hidden="1">
      <c r="A69" s="2008" t="s">
        <v>261</v>
      </c>
      <c r="B69" s="2008" t="s">
        <v>262</v>
      </c>
      <c r="C69" s="592"/>
      <c r="D69" s="2596"/>
      <c r="E69" s="2339"/>
      <c r="F69" s="2505" t="str">
        <f>INDEX(PT_DIFFERENTIATION_VTAR,MATCH(A69,PT_DIFFERENTIATION_VTAR_ID,0))</f>
        <v>Тариф на подключение (технологическое присоединение) к централизованной системе горячего водоснабжения</v>
      </c>
      <c r="G69" s="2551" t="str">
        <f>INDEX(PT_DIFFERENTIATION_NTAR,MATCH(B69,PT_DIFFERENTIATION_NTAR_ID,0))</f>
        <v/>
      </c>
      <c r="H69" s="2091"/>
      <c r="I69" s="1967"/>
      <c r="J69" s="2001"/>
      <c r="K69" s="2094"/>
      <c r="L69" s="2091" t="s">
        <v>307</v>
      </c>
      <c r="M69" s="2299"/>
      <c r="N69" s="557"/>
      <c r="O69" s="1852"/>
      <c r="P69" s="1852"/>
    </row>
    <row s="13661" customFormat="1" customHeight="1" ht="18.75" hidden="1">
      <c r="A70" s="2008"/>
      <c r="B70" s="2008"/>
      <c r="C70" s="592" t="s">
        <v>1064</v>
      </c>
      <c r="D70" s="2596"/>
      <c r="E70" s="2339"/>
      <c r="F70" s="2505"/>
      <c r="G70" s="2551"/>
      <c r="H70" s="1728"/>
      <c r="I70" s="874" t="s">
        <v>1065</v>
      </c>
      <c r="J70" s="794"/>
      <c r="K70" s="1728"/>
      <c r="L70" s="437"/>
      <c r="M70" s="2299"/>
      <c r="N70" s="557"/>
      <c r="O70" s="1852"/>
      <c r="P70" s="1852"/>
    </row>
    <row s="13661" customFormat="1" customHeight="1" ht="0.75" hidden="1">
      <c r="A71" s="2008"/>
      <c r="B71" s="2008"/>
      <c r="C71" s="592" t="s">
        <v>1070</v>
      </c>
      <c r="D71" s="2596"/>
      <c r="E71" s="2339"/>
      <c r="F71" s="2505"/>
      <c r="G71" s="623"/>
      <c r="H71" s="1728"/>
      <c r="I71" s="874"/>
      <c r="J71" s="794"/>
      <c r="K71" s="1728"/>
      <c r="L71" s="437"/>
      <c r="M71" s="2299"/>
      <c r="N71" s="557"/>
      <c r="O71" s="1852"/>
      <c r="P71" s="1852"/>
    </row>
    <row s="13661" customFormat="1" customHeight="1" ht="18.75" hidden="1">
      <c r="A72" s="2008" t="s">
        <v>266</v>
      </c>
      <c r="B72" s="2008" t="s">
        <v>267</v>
      </c>
      <c r="C72" s="592"/>
      <c r="D72" s="2596"/>
      <c r="E72" s="2339"/>
      <c r="F72" s="2505" t="str">
        <f>INDEX(PT_DIFFERENTIATION_VTAR,MATCH(A72,PT_DIFFERENTIATION_VTAR_ID,0))</f>
        <v>Тариф на водоотведение</v>
      </c>
      <c r="G72" s="2551" t="str">
        <f>INDEX(PT_DIFFERENTIATION_NTAR,MATCH(B72,PT_DIFFERENTIATION_NTAR_ID,0))</f>
        <v/>
      </c>
      <c r="H72" s="2091"/>
      <c r="I72" s="1967"/>
      <c r="J72" s="2001"/>
      <c r="K72" s="2094"/>
      <c r="L72" s="2091" t="s">
        <v>307</v>
      </c>
      <c r="M72" s="2299"/>
      <c r="N72" s="557"/>
      <c r="O72" s="1852"/>
      <c r="P72" s="1852"/>
    </row>
    <row s="13661" customFormat="1" customHeight="1" ht="18.75" hidden="1">
      <c r="A73" s="2008"/>
      <c r="B73" s="2008"/>
      <c r="C73" s="592" t="s">
        <v>1064</v>
      </c>
      <c r="D73" s="2596"/>
      <c r="E73" s="2339"/>
      <c r="F73" s="2505"/>
      <c r="G73" s="2551"/>
      <c r="H73" s="1728"/>
      <c r="I73" s="874" t="s">
        <v>1065</v>
      </c>
      <c r="J73" s="794"/>
      <c r="K73" s="1728"/>
      <c r="L73" s="437"/>
      <c r="M73" s="2299"/>
      <c r="N73" s="557"/>
      <c r="O73" s="1852"/>
      <c r="P73" s="1852"/>
    </row>
    <row s="13661" customFormat="1" customHeight="1" ht="0.75" hidden="1">
      <c r="A74" s="2008"/>
      <c r="B74" s="2008"/>
      <c r="C74" s="592" t="s">
        <v>1070</v>
      </c>
      <c r="D74" s="2596"/>
      <c r="E74" s="2339"/>
      <c r="F74" s="2505"/>
      <c r="G74" s="623"/>
      <c r="H74" s="1728"/>
      <c r="I74" s="874"/>
      <c r="J74" s="794"/>
      <c r="K74" s="1728"/>
      <c r="L74" s="437"/>
      <c r="M74" s="2299"/>
      <c r="N74" s="557"/>
      <c r="O74" s="1852"/>
      <c r="P74" s="1852"/>
    </row>
    <row s="13661" customFormat="1" customHeight="1" ht="18.75" hidden="1">
      <c r="A75" s="2008" t="s">
        <v>271</v>
      </c>
      <c r="B75" s="2008" t="s">
        <v>272</v>
      </c>
      <c r="C75" s="592"/>
      <c r="D75" s="2596"/>
      <c r="E75" s="2339"/>
      <c r="F75" s="2505" t="str">
        <f>INDEX(PT_DIFFERENTIATION_VTAR,MATCH(A75,PT_DIFFERENTIATION_VTAR_ID,0))</f>
        <v>Тариф на транспортировку сточных вод</v>
      </c>
      <c r="G75" s="2551" t="str">
        <f>INDEX(PT_DIFFERENTIATION_NTAR,MATCH(B75,PT_DIFFERENTIATION_NTAR_ID,0))</f>
        <v/>
      </c>
      <c r="H75" s="2091"/>
      <c r="I75" s="1967"/>
      <c r="J75" s="2001"/>
      <c r="K75" s="2094"/>
      <c r="L75" s="2091" t="s">
        <v>307</v>
      </c>
      <c r="M75" s="2299"/>
      <c r="N75" s="557"/>
      <c r="O75" s="1852"/>
      <c r="P75" s="1852"/>
    </row>
    <row s="13661" customFormat="1" customHeight="1" ht="18.75" hidden="1">
      <c r="A76" s="2008"/>
      <c r="B76" s="2008"/>
      <c r="C76" s="592" t="s">
        <v>1064</v>
      </c>
      <c r="D76" s="2596"/>
      <c r="E76" s="2339"/>
      <c r="F76" s="2505"/>
      <c r="G76" s="2551"/>
      <c r="H76" s="1728"/>
      <c r="I76" s="874" t="s">
        <v>1065</v>
      </c>
      <c r="J76" s="794"/>
      <c r="K76" s="1728"/>
      <c r="L76" s="437"/>
      <c r="M76" s="2299"/>
      <c r="N76" s="557"/>
      <c r="O76" s="1852"/>
      <c r="P76" s="1852"/>
    </row>
    <row s="13661" customFormat="1" customHeight="1" ht="0.75" hidden="1">
      <c r="A77" s="2008"/>
      <c r="B77" s="2008"/>
      <c r="C77" s="592" t="s">
        <v>1070</v>
      </c>
      <c r="D77" s="2596"/>
      <c r="E77" s="2339"/>
      <c r="F77" s="2505"/>
      <c r="G77" s="623"/>
      <c r="H77" s="1728"/>
      <c r="I77" s="874"/>
      <c r="J77" s="794"/>
      <c r="K77" s="1728"/>
      <c r="L77" s="437"/>
      <c r="M77" s="2299"/>
      <c r="N77" s="557"/>
      <c r="O77" s="1852"/>
      <c r="P77" s="1852"/>
    </row>
    <row s="13661" customFormat="1" customHeight="1" ht="18.75" hidden="1">
      <c r="A78" s="2008" t="s">
        <v>276</v>
      </c>
      <c r="B78" s="2008" t="s">
        <v>277</v>
      </c>
      <c r="C78" s="592"/>
      <c r="D78" s="2596"/>
      <c r="E78" s="2339"/>
      <c r="F78" s="2505" t="str">
        <f>INDEX(PT_DIFFERENTIATION_VTAR,MATCH(A78,PT_DIFFERENTIATION_VTAR_ID,0))</f>
        <v>Тариф на подключение (технологическое присоединение) к централизованной системе водоотведения</v>
      </c>
      <c r="G78" s="2551" t="str">
        <f>INDEX(PT_DIFFERENTIATION_NTAR,MATCH(B78,PT_DIFFERENTIATION_NTAR_ID,0))</f>
        <v/>
      </c>
      <c r="H78" s="2091"/>
      <c r="I78" s="1967"/>
      <c r="J78" s="2001"/>
      <c r="K78" s="2094"/>
      <c r="L78" s="2091" t="s">
        <v>307</v>
      </c>
      <c r="M78" s="2299"/>
      <c r="N78" s="557"/>
      <c r="O78" s="1852"/>
      <c r="P78" s="1852"/>
    </row>
    <row s="13661" customFormat="1" customHeight="1" ht="18.75" hidden="1">
      <c r="A79" s="2008"/>
      <c r="B79" s="2008"/>
      <c r="C79" s="592" t="s">
        <v>1064</v>
      </c>
      <c r="D79" s="2596"/>
      <c r="E79" s="2339"/>
      <c r="F79" s="2505"/>
      <c r="G79" s="2551"/>
      <c r="H79" s="1728"/>
      <c r="I79" s="874" t="s">
        <v>1065</v>
      </c>
      <c r="J79" s="794"/>
      <c r="K79" s="1728"/>
      <c r="L79" s="437"/>
      <c r="M79" s="2299"/>
      <c r="N79" s="557"/>
      <c r="O79" s="1852"/>
      <c r="P79" s="1852"/>
    </row>
    <row s="13661" customFormat="1" customHeight="1" ht="0.75">
      <c r="A80" s="2008"/>
      <c r="B80" s="2008"/>
      <c r="C80" s="592" t="s">
        <v>1070</v>
      </c>
      <c r="D80" s="2596"/>
      <c r="E80" s="2339"/>
      <c r="F80" s="2505"/>
      <c r="G80" s="623"/>
      <c r="H80" s="1728"/>
      <c r="I80" s="874"/>
      <c r="J80" s="794"/>
      <c r="K80" s="1728"/>
      <c r="L80" s="437"/>
      <c r="M80" s="2299"/>
      <c r="N80" s="557"/>
      <c r="O80" s="1852"/>
      <c r="P80" s="1852"/>
    </row>
    <row customHeight="1" ht="18.75">
      <c r="A81" s="2008"/>
      <c r="B81" s="2008"/>
      <c r="D81" s="599"/>
      <c r="E81" s="371" t="s">
        <v>109</v>
      </c>
      <c r="F81" s="25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588"/>
      <c r="H81" s="2588"/>
      <c r="I81" s="2588"/>
      <c r="J81" s="2588"/>
      <c r="K81" s="2588"/>
      <c r="L81" s="2588"/>
      <c r="M81" s="520"/>
      <c r="N81" s="557"/>
    </row>
    <row customHeight="1" ht="33.75">
      <c r="A82" s="2008"/>
      <c r="B82" s="2008"/>
      <c r="D82" s="599"/>
      <c r="E82" s="622"/>
      <c r="F82" s="421" t="s">
        <v>307</v>
      </c>
      <c r="G82" s="421" t="s">
        <v>307</v>
      </c>
      <c r="H82" s="2350" t="s">
        <v>307</v>
      </c>
      <c r="I82" s="2366"/>
      <c r="J82" s="421" t="s">
        <v>307</v>
      </c>
      <c r="K82" s="421" t="s">
        <v>307</v>
      </c>
      <c r="L82" s="624"/>
      <c r="M82" s="568" t="s">
        <v>1071</v>
      </c>
      <c r="N82" s="557"/>
    </row>
    <row customHeight="1" ht="18.75">
      <c r="A83" s="2008"/>
      <c r="B83" s="2008"/>
      <c r="D83" s="599"/>
      <c r="E83" s="371" t="s">
        <v>89</v>
      </c>
      <c r="F83" s="2588" t="s">
        <v>1072</v>
      </c>
      <c r="G83" s="2588"/>
      <c r="H83" s="2588"/>
      <c r="I83" s="2588"/>
      <c r="J83" s="2588"/>
      <c r="K83" s="2588"/>
      <c r="L83" s="2588"/>
      <c r="M83" s="520"/>
      <c r="N83" s="557"/>
    </row>
    <row s="13661" customFormat="1" customHeight="1" ht="60.75" hidden="1">
      <c r="A84" s="2008" t="s">
        <v>154</v>
      </c>
      <c r="B84" s="2008" t="s">
        <v>155</v>
      </c>
      <c r="C84" s="592"/>
      <c r="D84" s="2596"/>
      <c r="E84" s="2339"/>
      <c r="F84" s="250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51" t="str">
        <f>INDEX(PT_DIFFERENTIATION_NTAR,MATCH(B84,PT_DIFFERENTIATION_NTAR_ID,0))</f>
        <v/>
      </c>
      <c r="H84" s="2091"/>
      <c r="I84" s="1967"/>
      <c r="J84" s="2001"/>
      <c r="K84" s="2006"/>
      <c r="L84" s="2091" t="s">
        <v>307</v>
      </c>
      <c r="M84"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557"/>
      <c r="O84" s="1852"/>
      <c r="P84" s="1852"/>
    </row>
    <row s="13661" customFormat="1" customHeight="1" ht="18.75" hidden="1">
      <c r="A85" s="2008"/>
      <c r="B85" s="2008"/>
      <c r="C85" s="592" t="s">
        <v>1066</v>
      </c>
      <c r="D85" s="2596"/>
      <c r="E85" s="2339"/>
      <c r="F85" s="2505"/>
      <c r="G85" s="2551"/>
      <c r="H85" s="1728"/>
      <c r="I85" s="874" t="s">
        <v>1065</v>
      </c>
      <c r="J85" s="794"/>
      <c r="K85" s="1728"/>
      <c r="L85" s="437"/>
      <c r="M85" s="2299"/>
      <c r="N85" s="557"/>
      <c r="O85" s="1852"/>
      <c r="P85" s="1852"/>
    </row>
    <row s="13661" customFormat="1" customHeight="1" ht="0.75" hidden="1">
      <c r="A86" s="2008"/>
      <c r="B86" s="2008"/>
      <c r="C86" s="592" t="s">
        <v>1073</v>
      </c>
      <c r="D86" s="2596"/>
      <c r="E86" s="2339"/>
      <c r="F86" s="2505"/>
      <c r="G86" s="623"/>
      <c r="H86" s="1728"/>
      <c r="I86" s="874"/>
      <c r="J86" s="794"/>
      <c r="K86" s="1728"/>
      <c r="L86" s="437"/>
      <c r="M86" s="2299"/>
      <c r="N86" s="557"/>
      <c r="O86" s="1852"/>
      <c r="P86" s="1852"/>
    </row>
    <row s="13661" customFormat="1" customHeight="1" ht="45" hidden="1">
      <c r="A87" s="2008" t="s">
        <v>160</v>
      </c>
      <c r="B87" s="2008" t="s">
        <v>161</v>
      </c>
      <c r="C87" s="592"/>
      <c r="D87" s="2596"/>
      <c r="E87" s="2339"/>
      <c r="F87" s="250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51" t="str">
        <f>INDEX(PT_DIFFERENTIATION_NTAR,MATCH(B87,PT_DIFFERENTIATION_NTAR_ID,0))</f>
        <v/>
      </c>
      <c r="H87" s="2091"/>
      <c r="I87" s="1967"/>
      <c r="J87" s="2001"/>
      <c r="K87" s="2006"/>
      <c r="L87" s="2091" t="s">
        <v>307</v>
      </c>
      <c r="M87" s="2300"/>
      <c r="N87" s="557"/>
      <c r="O87" s="1852"/>
      <c r="P87" s="1852"/>
    </row>
    <row s="13661" customFormat="1" customHeight="1" ht="18.75" hidden="1">
      <c r="A88" s="2008"/>
      <c r="B88" s="2008"/>
      <c r="C88" s="592" t="s">
        <v>1066</v>
      </c>
      <c r="D88" s="2596"/>
      <c r="E88" s="2339"/>
      <c r="F88" s="2505"/>
      <c r="G88" s="2551"/>
      <c r="H88" s="1728"/>
      <c r="I88" s="874" t="s">
        <v>1065</v>
      </c>
      <c r="J88" s="794"/>
      <c r="K88" s="1728"/>
      <c r="L88" s="437"/>
      <c r="M88" s="2090"/>
      <c r="N88" s="557"/>
      <c r="O88" s="1852"/>
      <c r="P88" s="1852"/>
    </row>
    <row s="13661" customFormat="1" customHeight="1" ht="0.75" hidden="1">
      <c r="A89" s="2008"/>
      <c r="B89" s="2008"/>
      <c r="C89" s="592" t="s">
        <v>1073</v>
      </c>
      <c r="D89" s="2596"/>
      <c r="E89" s="2339"/>
      <c r="F89" s="2505"/>
      <c r="G89" s="623"/>
      <c r="H89" s="1728"/>
      <c r="I89" s="874"/>
      <c r="J89" s="794"/>
      <c r="K89" s="1728"/>
      <c r="L89" s="437"/>
      <c r="M89" s="564"/>
      <c r="N89" s="557"/>
      <c r="O89" s="1852"/>
      <c r="P89" s="1852"/>
    </row>
    <row s="13661" customFormat="1" customHeight="1" ht="45" hidden="1">
      <c r="A90" s="2008" t="s">
        <v>166</v>
      </c>
      <c r="B90" s="2008" t="s">
        <v>167</v>
      </c>
      <c r="C90" s="592"/>
      <c r="D90" s="2596"/>
      <c r="E90" s="2339"/>
      <c r="F90" s="250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51" t="str">
        <f>INDEX(PT_DIFFERENTIATION_NTAR,MATCH(B90,PT_DIFFERENTIATION_NTAR_ID,0))</f>
        <v/>
      </c>
      <c r="H90" s="2091"/>
      <c r="I90" s="1967"/>
      <c r="J90" s="2001"/>
      <c r="K90" s="2006"/>
      <c r="L90" s="2091" t="s">
        <v>307</v>
      </c>
      <c r="M90" s="564"/>
      <c r="N90" s="557"/>
      <c r="O90" s="1852"/>
      <c r="P90" s="1852"/>
    </row>
    <row s="13661" customFormat="1" customHeight="1" ht="18.75" hidden="1">
      <c r="A91" s="2008"/>
      <c r="B91" s="2008"/>
      <c r="C91" s="592" t="s">
        <v>1066</v>
      </c>
      <c r="D91" s="2596"/>
      <c r="E91" s="2339"/>
      <c r="F91" s="2505"/>
      <c r="G91" s="2551"/>
      <c r="H91" s="1728"/>
      <c r="I91" s="874" t="s">
        <v>1065</v>
      </c>
      <c r="J91" s="794"/>
      <c r="K91" s="1728"/>
      <c r="L91" s="437"/>
      <c r="M91" s="564"/>
      <c r="N91" s="557"/>
      <c r="O91" s="1852"/>
      <c r="P91" s="1852"/>
    </row>
    <row s="13661" customFormat="1" customHeight="1" ht="0.75" hidden="1">
      <c r="A92" s="2008"/>
      <c r="B92" s="2008"/>
      <c r="C92" s="592" t="s">
        <v>1073</v>
      </c>
      <c r="D92" s="2596"/>
      <c r="E92" s="2339"/>
      <c r="F92" s="2505"/>
      <c r="G92" s="623"/>
      <c r="H92" s="1728"/>
      <c r="I92" s="874"/>
      <c r="J92" s="794"/>
      <c r="K92" s="1728"/>
      <c r="L92" s="437"/>
      <c r="M92" s="564"/>
      <c r="N92" s="557"/>
      <c r="O92" s="1852"/>
      <c r="P92" s="1852"/>
    </row>
    <row s="13661" customFormat="1" customHeight="1" ht="45" hidden="1">
      <c r="A93" s="2008" t="s">
        <v>172</v>
      </c>
      <c r="B93" s="2008" t="s">
        <v>173</v>
      </c>
      <c r="C93" s="592"/>
      <c r="D93" s="2596"/>
      <c r="E93" s="2339"/>
      <c r="F93" s="250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51" t="str">
        <f>INDEX(PT_DIFFERENTIATION_NTAR,MATCH(B93,PT_DIFFERENTIATION_NTAR_ID,0))</f>
        <v/>
      </c>
      <c r="H93" s="2091"/>
      <c r="I93" s="1967"/>
      <c r="J93" s="2001"/>
      <c r="K93" s="2006"/>
      <c r="L93" s="2091" t="s">
        <v>307</v>
      </c>
      <c r="M93" s="564"/>
      <c r="N93" s="557"/>
      <c r="O93" s="1852"/>
      <c r="P93" s="1852"/>
    </row>
    <row s="13661" customFormat="1" customHeight="1" ht="18.75" hidden="1">
      <c r="A94" s="2008"/>
      <c r="B94" s="2008"/>
      <c r="C94" s="592" t="s">
        <v>1066</v>
      </c>
      <c r="D94" s="2596"/>
      <c r="E94" s="2339"/>
      <c r="F94" s="2505"/>
      <c r="G94" s="2551"/>
      <c r="H94" s="1728"/>
      <c r="I94" s="874" t="s">
        <v>1065</v>
      </c>
      <c r="J94" s="794"/>
      <c r="K94" s="1728"/>
      <c r="L94" s="437"/>
      <c r="M94" s="564"/>
      <c r="N94" s="557"/>
      <c r="O94" s="1852"/>
      <c r="P94" s="1852"/>
    </row>
    <row s="13661" customFormat="1" customHeight="1" ht="0.75" hidden="1">
      <c r="A95" s="2008"/>
      <c r="B95" s="2008"/>
      <c r="C95" s="592" t="s">
        <v>1073</v>
      </c>
      <c r="D95" s="2596"/>
      <c r="E95" s="2339"/>
      <c r="F95" s="2505"/>
      <c r="G95" s="623"/>
      <c r="H95" s="1728"/>
      <c r="I95" s="874"/>
      <c r="J95" s="794"/>
      <c r="K95" s="1728"/>
      <c r="L95" s="437"/>
      <c r="M95" s="564"/>
      <c r="N95" s="557"/>
      <c r="O95" s="1852"/>
      <c r="P95" s="1852"/>
    </row>
    <row s="13661" customFormat="1" customHeight="1" ht="18.75" hidden="1">
      <c r="A96" s="2008" t="s">
        <v>178</v>
      </c>
      <c r="B96" s="2008" t="s">
        <v>179</v>
      </c>
      <c r="C96" s="592"/>
      <c r="D96" s="2596"/>
      <c r="E96" s="2339"/>
      <c r="F96" s="2505" t="str">
        <f>INDEX(PT_DIFFERENTIATION_VTAR,MATCH(A96,PT_DIFFERENTIATION_VTAR_ID,0))</f>
        <v>Тарифы на услуги по передаче тепловой энергии</v>
      </c>
      <c r="G96" s="2551" t="str">
        <f>INDEX(PT_DIFFERENTIATION_NTAR,MATCH(B96,PT_DIFFERENTIATION_NTAR_ID,0))</f>
        <v/>
      </c>
      <c r="H96" s="2091"/>
      <c r="I96" s="1967"/>
      <c r="J96" s="2001"/>
      <c r="K96" s="2006"/>
      <c r="L96" s="2091" t="s">
        <v>307</v>
      </c>
      <c r="M96" s="564"/>
      <c r="N96" s="557"/>
      <c r="O96" s="1852"/>
      <c r="P96" s="1852"/>
    </row>
    <row s="13661" customFormat="1" customHeight="1" ht="18.75" hidden="1">
      <c r="A97" s="2008"/>
      <c r="B97" s="2008"/>
      <c r="C97" s="592" t="s">
        <v>1066</v>
      </c>
      <c r="D97" s="2596"/>
      <c r="E97" s="2339"/>
      <c r="F97" s="2505"/>
      <c r="G97" s="2551"/>
      <c r="H97" s="1728"/>
      <c r="I97" s="874" t="s">
        <v>1065</v>
      </c>
      <c r="J97" s="794"/>
      <c r="K97" s="1728"/>
      <c r="L97" s="437"/>
      <c r="M97" s="564"/>
      <c r="N97" s="557"/>
      <c r="O97" s="1852"/>
      <c r="P97" s="1852"/>
    </row>
    <row s="13661" customFormat="1" customHeight="1" ht="0.75" hidden="1">
      <c r="A98" s="2008"/>
      <c r="B98" s="2008"/>
      <c r="C98" s="592" t="s">
        <v>1073</v>
      </c>
      <c r="D98" s="2596"/>
      <c r="E98" s="2339"/>
      <c r="F98" s="2505"/>
      <c r="G98" s="623"/>
      <c r="H98" s="1728"/>
      <c r="I98" s="874"/>
      <c r="J98" s="794"/>
      <c r="K98" s="1728"/>
      <c r="L98" s="437"/>
      <c r="M98" s="564"/>
      <c r="N98" s="557"/>
      <c r="O98" s="1852"/>
      <c r="P98" s="1852"/>
    </row>
    <row s="13661" customFormat="1" customHeight="1" ht="18.75" hidden="1">
      <c r="A99" s="2008" t="s">
        <v>184</v>
      </c>
      <c r="B99" s="2008" t="s">
        <v>185</v>
      </c>
      <c r="C99" s="592"/>
      <c r="D99" s="2596"/>
      <c r="E99" s="2339"/>
      <c r="F99" s="2505" t="str">
        <f>INDEX(PT_DIFFERENTIATION_VTAR,MATCH(A99,PT_DIFFERENTIATION_VTAR_ID,0))</f>
        <v>Тарифы на услуги по передаче теплоносителя</v>
      </c>
      <c r="G99" s="2551" t="str">
        <f>INDEX(PT_DIFFERENTIATION_NTAR,MATCH(B99,PT_DIFFERENTIATION_NTAR_ID,0))</f>
        <v/>
      </c>
      <c r="H99" s="2091"/>
      <c r="I99" s="1967"/>
      <c r="J99" s="2001"/>
      <c r="K99" s="2006"/>
      <c r="L99" s="2091" t="s">
        <v>307</v>
      </c>
      <c r="M99" s="564"/>
      <c r="N99" s="557"/>
      <c r="O99" s="1852"/>
      <c r="P99" s="1852"/>
    </row>
    <row s="13661" customFormat="1" customHeight="1" ht="18.75" hidden="1">
      <c r="A100" s="2008"/>
      <c r="B100" s="2008"/>
      <c r="C100" s="592" t="s">
        <v>1066</v>
      </c>
      <c r="D100" s="2596"/>
      <c r="E100" s="2339"/>
      <c r="F100" s="2505"/>
      <c r="G100" s="2551"/>
      <c r="H100" s="1728"/>
      <c r="I100" s="874" t="s">
        <v>1065</v>
      </c>
      <c r="J100" s="794"/>
      <c r="K100" s="1728"/>
      <c r="L100" s="437"/>
      <c r="M100" s="564"/>
      <c r="N100" s="557"/>
      <c r="O100" s="1852"/>
      <c r="P100" s="1852"/>
    </row>
    <row s="13661" customFormat="1" customHeight="1" ht="0.75" hidden="1">
      <c r="A101" s="2008"/>
      <c r="B101" s="2008"/>
      <c r="C101" s="592" t="s">
        <v>1073</v>
      </c>
      <c r="D101" s="2596"/>
      <c r="E101" s="2339"/>
      <c r="F101" s="2505"/>
      <c r="G101" s="623"/>
      <c r="H101" s="1728"/>
      <c r="I101" s="874"/>
      <c r="J101" s="794"/>
      <c r="K101" s="1728"/>
      <c r="L101" s="437"/>
      <c r="M101" s="564"/>
      <c r="N101" s="557"/>
      <c r="O101" s="1852"/>
      <c r="P101" s="1852"/>
    </row>
    <row s="13661" customFormat="1" customHeight="1" ht="18.75" hidden="1">
      <c r="A102" s="2008" t="s">
        <v>190</v>
      </c>
      <c r="B102" s="2008" t="s">
        <v>191</v>
      </c>
      <c r="C102" s="592"/>
      <c r="D102" s="2596"/>
      <c r="E102" s="2339"/>
      <c r="F102" s="250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51" t="str">
        <f>INDEX(PT_DIFFERENTIATION_NTAR,MATCH(B102,PT_DIFFERENTIATION_NTAR_ID,0))</f>
        <v/>
      </c>
      <c r="H102" s="2091"/>
      <c r="I102" s="1967"/>
      <c r="J102" s="2001"/>
      <c r="K102" s="2006"/>
      <c r="L102" s="2091" t="s">
        <v>307</v>
      </c>
      <c r="M102" s="564"/>
      <c r="N102" s="557"/>
      <c r="O102" s="1852"/>
      <c r="P102" s="1852"/>
    </row>
    <row s="13661" customFormat="1" customHeight="1" ht="18.75" hidden="1">
      <c r="A103" s="2008"/>
      <c r="B103" s="2008"/>
      <c r="C103" s="592" t="s">
        <v>1066</v>
      </c>
      <c r="D103" s="2596"/>
      <c r="E103" s="2339"/>
      <c r="F103" s="2505"/>
      <c r="G103" s="2551"/>
      <c r="H103" s="1728"/>
      <c r="I103" s="874" t="s">
        <v>1065</v>
      </c>
      <c r="J103" s="794"/>
      <c r="K103" s="1728"/>
      <c r="L103" s="437"/>
      <c r="M103" s="564"/>
      <c r="N103" s="557"/>
      <c r="O103" s="1852"/>
      <c r="P103" s="1852"/>
    </row>
    <row s="13661" customFormat="1" customHeight="1" ht="0.75" hidden="1">
      <c r="A104" s="2008"/>
      <c r="B104" s="2008"/>
      <c r="C104" s="592" t="s">
        <v>1073</v>
      </c>
      <c r="D104" s="2596"/>
      <c r="E104" s="2339"/>
      <c r="F104" s="2505"/>
      <c r="G104" s="623"/>
      <c r="H104" s="1728"/>
      <c r="I104" s="874"/>
      <c r="J104" s="794"/>
      <c r="K104" s="1728"/>
      <c r="L104" s="437"/>
      <c r="M104" s="564"/>
      <c r="N104" s="557"/>
      <c r="O104" s="1852"/>
      <c r="P104" s="1852"/>
    </row>
    <row s="13661" customFormat="1" customHeight="1" ht="18.75" hidden="1">
      <c r="A105" s="2008" t="s">
        <v>196</v>
      </c>
      <c r="B105" s="2008" t="s">
        <v>197</v>
      </c>
      <c r="C105" s="592"/>
      <c r="D105" s="2596"/>
      <c r="E105" s="2339"/>
      <c r="F105" s="2505" t="str">
        <f>INDEX(PT_DIFFERENTIATION_VTAR,MATCH(A105,PT_DIFFERENTIATION_VTAR_ID,0))</f>
        <v>Плата за подключение (технологическое присоединение) к системе теплоснабжения</v>
      </c>
      <c r="G105" s="2551" t="str">
        <f>INDEX(PT_DIFFERENTIATION_NTAR,MATCH(B105,PT_DIFFERENTIATION_NTAR_ID,0))</f>
        <v/>
      </c>
      <c r="H105" s="2091"/>
      <c r="I105" s="1967"/>
      <c r="J105" s="2001"/>
      <c r="K105" s="2006"/>
      <c r="L105" s="2091" t="s">
        <v>307</v>
      </c>
      <c r="M105" s="564"/>
      <c r="N105" s="557"/>
      <c r="O105" s="1852"/>
      <c r="P105" s="1852"/>
    </row>
    <row s="13661" customFormat="1" customHeight="1" ht="18.75" hidden="1">
      <c r="A106" s="2008"/>
      <c r="B106" s="2008"/>
      <c r="C106" s="592" t="s">
        <v>1066</v>
      </c>
      <c r="D106" s="2596"/>
      <c r="E106" s="2339"/>
      <c r="F106" s="2505"/>
      <c r="G106" s="2551"/>
      <c r="H106" s="1728"/>
      <c r="I106" s="874" t="s">
        <v>1065</v>
      </c>
      <c r="J106" s="794"/>
      <c r="K106" s="1728"/>
      <c r="L106" s="437"/>
      <c r="M106" s="564"/>
      <c r="N106" s="557"/>
      <c r="O106" s="1852"/>
      <c r="P106" s="1852"/>
    </row>
    <row s="13661" customFormat="1" customHeight="1" ht="0.75" hidden="1">
      <c r="A107" s="2008"/>
      <c r="B107" s="2008"/>
      <c r="C107" s="592" t="s">
        <v>1073</v>
      </c>
      <c r="D107" s="2596"/>
      <c r="E107" s="2339"/>
      <c r="F107" s="2505"/>
      <c r="G107" s="623"/>
      <c r="H107" s="1728"/>
      <c r="I107" s="874"/>
      <c r="J107" s="794"/>
      <c r="K107" s="1728"/>
      <c r="L107" s="437"/>
      <c r="M107" s="564"/>
      <c r="N107" s="557"/>
      <c r="O107" s="1852"/>
      <c r="P107" s="1852"/>
    </row>
    <row s="13661" customFormat="1" customHeight="1" ht="18.75" hidden="1">
      <c r="A108" s="2008" t="s">
        <v>222</v>
      </c>
      <c r="B108" s="2008" t="s">
        <v>223</v>
      </c>
      <c r="C108" s="592"/>
      <c r="D108" s="2596"/>
      <c r="E108" s="2339"/>
      <c r="F108" s="2505" t="str">
        <f>INDEX(PT_DIFFERENTIATION_VTAR,MATCH(A108,PT_DIFFERENTIATION_VTAR_ID,0))</f>
        <v>Тариф на питьевую воду (питьевое водоснабжение)</v>
      </c>
      <c r="G108" s="2551" t="str">
        <f>INDEX(PT_DIFFERENTIATION_NTAR,MATCH(B108,PT_DIFFERENTIATION_NTAR_ID,0))</f>
        <v/>
      </c>
      <c r="H108" s="2091"/>
      <c r="I108" s="1967"/>
      <c r="J108" s="2001"/>
      <c r="K108" s="2006"/>
      <c r="L108" s="2091" t="s">
        <v>307</v>
      </c>
      <c r="M108" s="564"/>
      <c r="N108" s="557"/>
      <c r="O108" s="1852"/>
      <c r="P108" s="1852"/>
    </row>
    <row s="13661" customFormat="1" customHeight="1" ht="18.75" hidden="1">
      <c r="A109" s="2008"/>
      <c r="B109" s="2008"/>
      <c r="C109" s="592" t="s">
        <v>1066</v>
      </c>
      <c r="D109" s="2596"/>
      <c r="E109" s="2339"/>
      <c r="F109" s="2505"/>
      <c r="G109" s="2551"/>
      <c r="H109" s="1728"/>
      <c r="I109" s="874" t="s">
        <v>1065</v>
      </c>
      <c r="J109" s="794"/>
      <c r="K109" s="1728"/>
      <c r="L109" s="437"/>
      <c r="M109" s="564"/>
      <c r="N109" s="557"/>
      <c r="O109" s="1852"/>
      <c r="P109" s="1852"/>
    </row>
    <row s="13661" customFormat="1" customHeight="1" ht="0.75" hidden="1">
      <c r="A110" s="2008"/>
      <c r="B110" s="2008"/>
      <c r="C110" s="592" t="s">
        <v>1073</v>
      </c>
      <c r="D110" s="2596"/>
      <c r="E110" s="2339"/>
      <c r="F110" s="2505"/>
      <c r="G110" s="623"/>
      <c r="H110" s="1728"/>
      <c r="I110" s="874"/>
      <c r="J110" s="794"/>
      <c r="K110" s="1728"/>
      <c r="L110" s="437"/>
      <c r="M110" s="564"/>
      <c r="N110" s="557"/>
      <c r="O110" s="1852"/>
      <c r="P110" s="1852"/>
    </row>
    <row s="13661" customFormat="1" customHeight="1" ht="18.75" hidden="1">
      <c r="A111" s="2008" t="s">
        <v>227</v>
      </c>
      <c r="B111" s="2008" t="s">
        <v>228</v>
      </c>
      <c r="C111" s="592"/>
      <c r="D111" s="2596"/>
      <c r="E111" s="2339"/>
      <c r="F111" s="2505" t="str">
        <f>INDEX(PT_DIFFERENTIATION_VTAR,MATCH(A111,PT_DIFFERENTIATION_VTAR_ID,0))</f>
        <v>Тариф на техническую воду</v>
      </c>
      <c r="G111" s="2551" t="str">
        <f>INDEX(PT_DIFFERENTIATION_NTAR,MATCH(B111,PT_DIFFERENTIATION_NTAR_ID,0))</f>
        <v/>
      </c>
      <c r="H111" s="2091"/>
      <c r="I111" s="1967"/>
      <c r="J111" s="2001"/>
      <c r="K111" s="2006"/>
      <c r="L111" s="2091" t="s">
        <v>307</v>
      </c>
      <c r="M111" s="564"/>
      <c r="N111" s="557"/>
      <c r="O111" s="1852"/>
      <c r="P111" s="1852"/>
    </row>
    <row s="13661" customFormat="1" customHeight="1" ht="18.75" hidden="1">
      <c r="A112" s="2008"/>
      <c r="B112" s="2008"/>
      <c r="C112" s="592" t="s">
        <v>1066</v>
      </c>
      <c r="D112" s="2596"/>
      <c r="E112" s="2339"/>
      <c r="F112" s="2505"/>
      <c r="G112" s="2551"/>
      <c r="H112" s="1728"/>
      <c r="I112" s="874" t="s">
        <v>1065</v>
      </c>
      <c r="J112" s="794"/>
      <c r="K112" s="1728"/>
      <c r="L112" s="437"/>
      <c r="M112" s="564"/>
      <c r="N112" s="557"/>
      <c r="O112" s="1852"/>
      <c r="P112" s="1852"/>
    </row>
    <row s="13661" customFormat="1" customHeight="1" ht="0.75" hidden="1">
      <c r="A113" s="2008"/>
      <c r="B113" s="2008"/>
      <c r="C113" s="592" t="s">
        <v>1073</v>
      </c>
      <c r="D113" s="2596"/>
      <c r="E113" s="2339"/>
      <c r="F113" s="2505"/>
      <c r="G113" s="623"/>
      <c r="H113" s="1728"/>
      <c r="I113" s="874"/>
      <c r="J113" s="794"/>
      <c r="K113" s="1728"/>
      <c r="L113" s="437"/>
      <c r="M113" s="564"/>
      <c r="N113" s="557"/>
      <c r="O113" s="1852"/>
      <c r="P113" s="1852"/>
    </row>
    <row s="13661" customFormat="1" customHeight="1" ht="18.75" hidden="1">
      <c r="A114" s="2008" t="s">
        <v>232</v>
      </c>
      <c r="B114" s="2008" t="s">
        <v>233</v>
      </c>
      <c r="C114" s="592"/>
      <c r="D114" s="2596"/>
      <c r="E114" s="2339"/>
      <c r="F114" s="2505" t="str">
        <f>INDEX(PT_DIFFERENTIATION_VTAR,MATCH(A114,PT_DIFFERENTIATION_VTAR_ID,0))</f>
        <v>Тариф на транспортировку воды</v>
      </c>
      <c r="G114" s="2551" t="str">
        <f>INDEX(PT_DIFFERENTIATION_NTAR,MATCH(B114,PT_DIFFERENTIATION_NTAR_ID,0))</f>
        <v/>
      </c>
      <c r="H114" s="2091"/>
      <c r="I114" s="1967"/>
      <c r="J114" s="2001"/>
      <c r="K114" s="2006"/>
      <c r="L114" s="2091" t="s">
        <v>307</v>
      </c>
      <c r="M114" s="564"/>
      <c r="N114" s="557"/>
      <c r="O114" s="1852"/>
      <c r="P114" s="1852"/>
    </row>
    <row s="13661" customFormat="1" customHeight="1" ht="18.75" hidden="1">
      <c r="A115" s="2008"/>
      <c r="B115" s="2008"/>
      <c r="C115" s="592" t="s">
        <v>1066</v>
      </c>
      <c r="D115" s="2596"/>
      <c r="E115" s="2339"/>
      <c r="F115" s="2505"/>
      <c r="G115" s="2551"/>
      <c r="H115" s="1728"/>
      <c r="I115" s="874" t="s">
        <v>1065</v>
      </c>
      <c r="J115" s="794"/>
      <c r="K115" s="1728"/>
      <c r="L115" s="437"/>
      <c r="M115" s="564"/>
      <c r="N115" s="557"/>
      <c r="O115" s="1852"/>
      <c r="P115" s="1852"/>
    </row>
    <row s="13661" customFormat="1" customHeight="1" ht="0.75" hidden="1">
      <c r="A116" s="2008"/>
      <c r="B116" s="2008"/>
      <c r="C116" s="592" t="s">
        <v>1073</v>
      </c>
      <c r="D116" s="2596"/>
      <c r="E116" s="2339"/>
      <c r="F116" s="2505"/>
      <c r="G116" s="623"/>
      <c r="H116" s="1728"/>
      <c r="I116" s="874"/>
      <c r="J116" s="794"/>
      <c r="K116" s="1728"/>
      <c r="L116" s="437"/>
      <c r="M116" s="564"/>
      <c r="N116" s="557"/>
      <c r="O116" s="1852"/>
      <c r="P116" s="1852"/>
    </row>
    <row s="13661" customFormat="1" customHeight="1" ht="18.75" hidden="1">
      <c r="A117" s="2008" t="s">
        <v>237</v>
      </c>
      <c r="B117" s="2008" t="s">
        <v>238</v>
      </c>
      <c r="C117" s="592"/>
      <c r="D117" s="2596"/>
      <c r="E117" s="2339"/>
      <c r="F117" s="2505" t="str">
        <f>INDEX(PT_DIFFERENTIATION_VTAR,MATCH(A117,PT_DIFFERENTIATION_VTAR_ID,0))</f>
        <v>Тариф на подвоз воды</v>
      </c>
      <c r="G117" s="2551" t="str">
        <f>INDEX(PT_DIFFERENTIATION_NTAR,MATCH(B117,PT_DIFFERENTIATION_NTAR_ID,0))</f>
        <v/>
      </c>
      <c r="H117" s="2091"/>
      <c r="I117" s="1967"/>
      <c r="J117" s="2001"/>
      <c r="K117" s="2006"/>
      <c r="L117" s="2091" t="s">
        <v>307</v>
      </c>
      <c r="M117" s="564"/>
      <c r="N117" s="557"/>
      <c r="O117" s="1852"/>
      <c r="P117" s="1852"/>
    </row>
    <row s="13661" customFormat="1" customHeight="1" ht="18.75" hidden="1">
      <c r="A118" s="2008"/>
      <c r="B118" s="2008"/>
      <c r="C118" s="592" t="s">
        <v>1066</v>
      </c>
      <c r="D118" s="2596"/>
      <c r="E118" s="2339"/>
      <c r="F118" s="2505"/>
      <c r="G118" s="2551"/>
      <c r="H118" s="1728"/>
      <c r="I118" s="874" t="s">
        <v>1065</v>
      </c>
      <c r="J118" s="794"/>
      <c r="K118" s="1728"/>
      <c r="L118" s="437"/>
      <c r="M118" s="564"/>
      <c r="N118" s="557"/>
      <c r="O118" s="1852"/>
      <c r="P118" s="1852"/>
    </row>
    <row s="13661" customFormat="1" customHeight="1" ht="0.75" hidden="1">
      <c r="A119" s="2008"/>
      <c r="B119" s="2008"/>
      <c r="C119" s="592" t="s">
        <v>1073</v>
      </c>
      <c r="D119" s="2596"/>
      <c r="E119" s="2339"/>
      <c r="F119" s="2505"/>
      <c r="G119" s="623"/>
      <c r="H119" s="1728"/>
      <c r="I119" s="874"/>
      <c r="J119" s="794"/>
      <c r="K119" s="1728"/>
      <c r="L119" s="437"/>
      <c r="M119" s="564"/>
      <c r="N119" s="557"/>
      <c r="O119" s="1852"/>
      <c r="P119" s="1852"/>
    </row>
    <row s="13661" customFormat="1" customHeight="1" ht="18.75" hidden="1">
      <c r="A120" s="2008" t="s">
        <v>242</v>
      </c>
      <c r="B120" s="2008" t="s">
        <v>243</v>
      </c>
      <c r="C120" s="592"/>
      <c r="D120" s="2596"/>
      <c r="E120" s="2339"/>
      <c r="F120" s="250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51" t="str">
        <f>INDEX(PT_DIFFERENTIATION_NTAR,MATCH(B120,PT_DIFFERENTIATION_NTAR_ID,0))</f>
        <v/>
      </c>
      <c r="H120" s="2091"/>
      <c r="I120" s="1967"/>
      <c r="J120" s="2001"/>
      <c r="K120" s="2006"/>
      <c r="L120" s="2091" t="s">
        <v>307</v>
      </c>
      <c r="M120" s="564"/>
      <c r="N120" s="557"/>
      <c r="O120" s="1852"/>
      <c r="P120" s="1852"/>
    </row>
    <row s="13661" customFormat="1" customHeight="1" ht="18.75" hidden="1">
      <c r="A121" s="2008"/>
      <c r="B121" s="2008"/>
      <c r="C121" s="592" t="s">
        <v>1066</v>
      </c>
      <c r="D121" s="2596"/>
      <c r="E121" s="2339"/>
      <c r="F121" s="2505"/>
      <c r="G121" s="2551"/>
      <c r="H121" s="1728"/>
      <c r="I121" s="874" t="s">
        <v>1065</v>
      </c>
      <c r="J121" s="794"/>
      <c r="K121" s="1728"/>
      <c r="L121" s="437"/>
      <c r="M121" s="564"/>
      <c r="N121" s="557"/>
      <c r="O121" s="1852"/>
      <c r="P121" s="1852"/>
    </row>
    <row s="13661" customFormat="1" customHeight="1" ht="0.75" hidden="1">
      <c r="A122" s="2008"/>
      <c r="B122" s="2008"/>
      <c r="C122" s="592" t="s">
        <v>1073</v>
      </c>
      <c r="D122" s="2596"/>
      <c r="E122" s="2339"/>
      <c r="F122" s="2505"/>
      <c r="G122" s="623"/>
      <c r="H122" s="1728"/>
      <c r="I122" s="874"/>
      <c r="J122" s="794"/>
      <c r="K122" s="1728"/>
      <c r="L122" s="437"/>
      <c r="M122" s="564"/>
      <c r="N122" s="557"/>
      <c r="O122" s="1852"/>
      <c r="P122" s="1852"/>
    </row>
    <row s="13661" customFormat="1" customHeight="1" ht="18.75" hidden="1">
      <c r="A123" s="2008" t="s">
        <v>248</v>
      </c>
      <c r="B123" s="2008" t="s">
        <v>249</v>
      </c>
      <c r="C123" s="592"/>
      <c r="D123" s="2596"/>
      <c r="E123" s="2339"/>
      <c r="F123" s="2505" t="str">
        <f>INDEX(PT_DIFFERENTIATION_VTAR,MATCH(A123,PT_DIFFERENTIATION_VTAR_ID,0))</f>
        <v>Тариф на горячую воду (горячее водоснабжение)</v>
      </c>
      <c r="G123" s="2551" t="str">
        <f>INDEX(PT_DIFFERENTIATION_NTAR,MATCH(B123,PT_DIFFERENTIATION_NTAR_ID,0))</f>
        <v/>
      </c>
      <c r="H123" s="2091"/>
      <c r="I123" s="1967"/>
      <c r="J123" s="2001"/>
      <c r="K123" s="2006"/>
      <c r="L123" s="2091" t="s">
        <v>307</v>
      </c>
      <c r="M123" s="564"/>
      <c r="N123" s="557"/>
      <c r="O123" s="1852"/>
      <c r="P123" s="1852"/>
    </row>
    <row s="13661" customFormat="1" customHeight="1" ht="18.75" hidden="1">
      <c r="A124" s="2008"/>
      <c r="B124" s="2008"/>
      <c r="C124" s="592" t="s">
        <v>1066</v>
      </c>
      <c r="D124" s="2596"/>
      <c r="E124" s="2339"/>
      <c r="F124" s="2505"/>
      <c r="G124" s="2551"/>
      <c r="H124" s="1728"/>
      <c r="I124" s="874" t="s">
        <v>1065</v>
      </c>
      <c r="J124" s="794"/>
      <c r="K124" s="1728"/>
      <c r="L124" s="437"/>
      <c r="M124" s="564"/>
      <c r="N124" s="557"/>
      <c r="O124" s="1852"/>
      <c r="P124" s="1852"/>
    </row>
    <row s="13661" customFormat="1" customHeight="1" ht="0.75" hidden="1">
      <c r="A125" s="2008"/>
      <c r="B125" s="2008"/>
      <c r="C125" s="592" t="s">
        <v>1073</v>
      </c>
      <c r="D125" s="2596"/>
      <c r="E125" s="2339"/>
      <c r="F125" s="2505"/>
      <c r="G125" s="623"/>
      <c r="H125" s="1728"/>
      <c r="I125" s="874"/>
      <c r="J125" s="794"/>
      <c r="K125" s="1728"/>
      <c r="L125" s="437"/>
      <c r="M125" s="564"/>
      <c r="N125" s="557"/>
      <c r="O125" s="1852"/>
      <c r="P125" s="1852"/>
    </row>
    <row s="13661" customFormat="1" customHeight="1" ht="18.75" hidden="1">
      <c r="A126" s="2008" t="s">
        <v>256</v>
      </c>
      <c r="B126" s="2008" t="s">
        <v>257</v>
      </c>
      <c r="C126" s="592"/>
      <c r="D126" s="2596"/>
      <c r="E126" s="2339"/>
      <c r="F126" s="2505" t="str">
        <f>INDEX(PT_DIFFERENTIATION_VTAR,MATCH(A126,PT_DIFFERENTIATION_VTAR_ID,0))</f>
        <v>Тариф на транспортировку горячей воды</v>
      </c>
      <c r="G126" s="2551" t="str">
        <f>INDEX(PT_DIFFERENTIATION_NTAR,MATCH(B126,PT_DIFFERENTIATION_NTAR_ID,0))</f>
        <v/>
      </c>
      <c r="H126" s="2091"/>
      <c r="I126" s="1967"/>
      <c r="J126" s="2001"/>
      <c r="K126" s="2006"/>
      <c r="L126" s="2091" t="s">
        <v>307</v>
      </c>
      <c r="M126" s="564"/>
      <c r="N126" s="557"/>
      <c r="O126" s="1852"/>
      <c r="P126" s="1852"/>
    </row>
    <row s="13661" customFormat="1" customHeight="1" ht="18.75" hidden="1">
      <c r="A127" s="2008"/>
      <c r="B127" s="2008"/>
      <c r="C127" s="592" t="s">
        <v>1066</v>
      </c>
      <c r="D127" s="2596"/>
      <c r="E127" s="2339"/>
      <c r="F127" s="2505"/>
      <c r="G127" s="2551"/>
      <c r="H127" s="1728"/>
      <c r="I127" s="874" t="s">
        <v>1065</v>
      </c>
      <c r="J127" s="794"/>
      <c r="K127" s="1728"/>
      <c r="L127" s="437"/>
      <c r="M127" s="564"/>
      <c r="N127" s="557"/>
      <c r="O127" s="1852"/>
      <c r="P127" s="1852"/>
    </row>
    <row s="13661" customFormat="1" customHeight="1" ht="0.75" hidden="1">
      <c r="A128" s="2008"/>
      <c r="B128" s="2008"/>
      <c r="C128" s="592" t="s">
        <v>1073</v>
      </c>
      <c r="D128" s="2596"/>
      <c r="E128" s="2339"/>
      <c r="F128" s="2505"/>
      <c r="G128" s="623"/>
      <c r="H128" s="1728"/>
      <c r="I128" s="874"/>
      <c r="J128" s="794"/>
      <c r="K128" s="1728"/>
      <c r="L128" s="437"/>
      <c r="M128" s="564"/>
      <c r="N128" s="557"/>
      <c r="O128" s="1852"/>
      <c r="P128" s="1852"/>
    </row>
    <row s="13661" customFormat="1" customHeight="1" ht="18.75" hidden="1">
      <c r="A129" s="2008" t="s">
        <v>261</v>
      </c>
      <c r="B129" s="2008" t="s">
        <v>262</v>
      </c>
      <c r="C129" s="592"/>
      <c r="D129" s="2596"/>
      <c r="E129" s="2339"/>
      <c r="F129" s="250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51" t="str">
        <f>INDEX(PT_DIFFERENTIATION_NTAR,MATCH(B129,PT_DIFFERENTIATION_NTAR_ID,0))</f>
        <v/>
      </c>
      <c r="H129" s="2091"/>
      <c r="I129" s="1967"/>
      <c r="J129" s="2001"/>
      <c r="K129" s="2006"/>
      <c r="L129" s="2091" t="s">
        <v>307</v>
      </c>
      <c r="M129" s="564"/>
      <c r="N129" s="557"/>
      <c r="O129" s="1852"/>
      <c r="P129" s="1852"/>
    </row>
    <row s="13661" customFormat="1" customHeight="1" ht="18.75" hidden="1">
      <c r="A130" s="2008"/>
      <c r="B130" s="2008"/>
      <c r="C130" s="592" t="s">
        <v>1066</v>
      </c>
      <c r="D130" s="2596"/>
      <c r="E130" s="2339"/>
      <c r="F130" s="2505"/>
      <c r="G130" s="2551"/>
      <c r="H130" s="1728"/>
      <c r="I130" s="874" t="s">
        <v>1065</v>
      </c>
      <c r="J130" s="794"/>
      <c r="K130" s="1728"/>
      <c r="L130" s="437"/>
      <c r="M130" s="564"/>
      <c r="N130" s="557"/>
      <c r="O130" s="1852"/>
      <c r="P130" s="1852"/>
    </row>
    <row s="13661" customFormat="1" customHeight="1" ht="0.75" hidden="1">
      <c r="A131" s="2008"/>
      <c r="B131" s="2008"/>
      <c r="C131" s="592" t="s">
        <v>1073</v>
      </c>
      <c r="D131" s="2596"/>
      <c r="E131" s="2339"/>
      <c r="F131" s="2505"/>
      <c r="G131" s="623"/>
      <c r="H131" s="1728"/>
      <c r="I131" s="874"/>
      <c r="J131" s="794"/>
      <c r="K131" s="1728"/>
      <c r="L131" s="437"/>
      <c r="M131" s="564"/>
      <c r="N131" s="557"/>
      <c r="O131" s="1852"/>
      <c r="P131" s="1852"/>
    </row>
    <row s="13661" customFormat="1" customHeight="1" ht="18.75" hidden="1">
      <c r="A132" s="2008" t="s">
        <v>266</v>
      </c>
      <c r="B132" s="2008" t="s">
        <v>267</v>
      </c>
      <c r="C132" s="592"/>
      <c r="D132" s="2596"/>
      <c r="E132" s="2339"/>
      <c r="F132" s="2505" t="str">
        <f>INDEX(PT_DIFFERENTIATION_VTAR,MATCH(A132,PT_DIFFERENTIATION_VTAR_ID,0))</f>
        <v>Тариф на водоотведение</v>
      </c>
      <c r="G132" s="2551" t="str">
        <f>INDEX(PT_DIFFERENTIATION_NTAR,MATCH(B132,PT_DIFFERENTIATION_NTAR_ID,0))</f>
        <v/>
      </c>
      <c r="H132" s="2091"/>
      <c r="I132" s="1967"/>
      <c r="J132" s="2001"/>
      <c r="K132" s="2006"/>
      <c r="L132" s="2091" t="s">
        <v>307</v>
      </c>
      <c r="M132" s="564"/>
      <c r="N132" s="557"/>
      <c r="O132" s="1852"/>
      <c r="P132" s="1852"/>
    </row>
    <row s="13661" customFormat="1" customHeight="1" ht="18.75" hidden="1">
      <c r="A133" s="2008"/>
      <c r="B133" s="2008"/>
      <c r="C133" s="592" t="s">
        <v>1066</v>
      </c>
      <c r="D133" s="2596"/>
      <c r="E133" s="2339"/>
      <c r="F133" s="2505"/>
      <c r="G133" s="2551"/>
      <c r="H133" s="1728"/>
      <c r="I133" s="874" t="s">
        <v>1065</v>
      </c>
      <c r="J133" s="794"/>
      <c r="K133" s="1728"/>
      <c r="L133" s="437"/>
      <c r="M133" s="564"/>
      <c r="N133" s="557"/>
      <c r="O133" s="1852"/>
      <c r="P133" s="1852"/>
    </row>
    <row s="13661" customFormat="1" customHeight="1" ht="0.75" hidden="1">
      <c r="A134" s="2008"/>
      <c r="B134" s="2008"/>
      <c r="C134" s="592" t="s">
        <v>1073</v>
      </c>
      <c r="D134" s="2596"/>
      <c r="E134" s="2339"/>
      <c r="F134" s="2505"/>
      <c r="G134" s="623"/>
      <c r="H134" s="1728"/>
      <c r="I134" s="874"/>
      <c r="J134" s="794"/>
      <c r="K134" s="1728"/>
      <c r="L134" s="437"/>
      <c r="M134" s="564"/>
      <c r="N134" s="557"/>
      <c r="O134" s="1852"/>
      <c r="P134" s="1852"/>
    </row>
    <row s="13661" customFormat="1" customHeight="1" ht="18.75" hidden="1">
      <c r="A135" s="2008" t="s">
        <v>271</v>
      </c>
      <c r="B135" s="2008" t="s">
        <v>272</v>
      </c>
      <c r="C135" s="592"/>
      <c r="D135" s="2596"/>
      <c r="E135" s="2339"/>
      <c r="F135" s="2505" t="str">
        <f>INDEX(PT_DIFFERENTIATION_VTAR,MATCH(A135,PT_DIFFERENTIATION_VTAR_ID,0))</f>
        <v>Тариф на транспортировку сточных вод</v>
      </c>
      <c r="G135" s="2551" t="str">
        <f>INDEX(PT_DIFFERENTIATION_NTAR,MATCH(B135,PT_DIFFERENTIATION_NTAR_ID,0))</f>
        <v/>
      </c>
      <c r="H135" s="2091"/>
      <c r="I135" s="1967"/>
      <c r="J135" s="2001"/>
      <c r="K135" s="2006"/>
      <c r="L135" s="2091" t="s">
        <v>307</v>
      </c>
      <c r="M135" s="564"/>
      <c r="N135" s="557"/>
      <c r="O135" s="1852"/>
      <c r="P135" s="1852"/>
    </row>
    <row s="13661" customFormat="1" customHeight="1" ht="18.75" hidden="1">
      <c r="A136" s="2008"/>
      <c r="B136" s="2008"/>
      <c r="C136" s="592" t="s">
        <v>1066</v>
      </c>
      <c r="D136" s="2596"/>
      <c r="E136" s="2339"/>
      <c r="F136" s="2505"/>
      <c r="G136" s="2551"/>
      <c r="H136" s="1728"/>
      <c r="I136" s="874" t="s">
        <v>1065</v>
      </c>
      <c r="J136" s="794"/>
      <c r="K136" s="1728"/>
      <c r="L136" s="437"/>
      <c r="M136" s="564"/>
      <c r="N136" s="557"/>
      <c r="O136" s="1852"/>
      <c r="P136" s="1852"/>
    </row>
    <row s="13661" customFormat="1" customHeight="1" ht="0.75" hidden="1">
      <c r="A137" s="2008"/>
      <c r="B137" s="2008"/>
      <c r="C137" s="592" t="s">
        <v>1073</v>
      </c>
      <c r="D137" s="2596"/>
      <c r="E137" s="2339"/>
      <c r="F137" s="2505"/>
      <c r="G137" s="623"/>
      <c r="H137" s="1728"/>
      <c r="I137" s="874"/>
      <c r="J137" s="794"/>
      <c r="K137" s="1728"/>
      <c r="L137" s="437"/>
      <c r="M137" s="564"/>
      <c r="N137" s="557"/>
      <c r="O137" s="1852"/>
      <c r="P137" s="1852"/>
    </row>
    <row s="13661" customFormat="1" customHeight="1" ht="18.75" hidden="1">
      <c r="A138" s="2008" t="s">
        <v>276</v>
      </c>
      <c r="B138" s="2008" t="s">
        <v>277</v>
      </c>
      <c r="C138" s="592"/>
      <c r="D138" s="2596"/>
      <c r="E138" s="2339"/>
      <c r="F138" s="2505" t="str">
        <f>INDEX(PT_DIFFERENTIATION_VTAR,MATCH(A138,PT_DIFFERENTIATION_VTAR_ID,0))</f>
        <v>Тариф на подключение (технологическое присоединение) к централизованной системе водоотведения</v>
      </c>
      <c r="G138" s="2551" t="str">
        <f>INDEX(PT_DIFFERENTIATION_NTAR,MATCH(B138,PT_DIFFERENTIATION_NTAR_ID,0))</f>
        <v/>
      </c>
      <c r="H138" s="2091"/>
      <c r="I138" s="1967"/>
      <c r="J138" s="2001"/>
      <c r="K138" s="2006"/>
      <c r="L138" s="2091" t="s">
        <v>307</v>
      </c>
      <c r="M138" s="564"/>
      <c r="N138" s="557"/>
      <c r="O138" s="1852"/>
      <c r="P138" s="1852"/>
    </row>
    <row s="13661" customFormat="1" customHeight="1" ht="18.75" hidden="1">
      <c r="A139" s="2008"/>
      <c r="B139" s="2008"/>
      <c r="C139" s="592" t="s">
        <v>1066</v>
      </c>
      <c r="D139" s="2596"/>
      <c r="E139" s="2339"/>
      <c r="F139" s="2505"/>
      <c r="G139" s="2551"/>
      <c r="H139" s="1728"/>
      <c r="I139" s="874" t="s">
        <v>1065</v>
      </c>
      <c r="J139" s="794"/>
      <c r="K139" s="1728"/>
      <c r="L139" s="437"/>
      <c r="M139" s="564"/>
      <c r="N139" s="557"/>
      <c r="O139" s="1852"/>
      <c r="P139" s="1852"/>
    </row>
    <row s="13661" customFormat="1" customHeight="1" ht="0.75">
      <c r="A140" s="2008"/>
      <c r="B140" s="2008"/>
      <c r="C140" s="592" t="s">
        <v>1073</v>
      </c>
      <c r="D140" s="2596"/>
      <c r="E140" s="2339"/>
      <c r="F140" s="2505"/>
      <c r="G140" s="623"/>
      <c r="H140" s="1728"/>
      <c r="I140" s="874"/>
      <c r="J140" s="794"/>
      <c r="K140" s="1728"/>
      <c r="L140" s="437"/>
      <c r="M140" s="564"/>
      <c r="N140" s="557"/>
      <c r="O140" s="1852"/>
      <c r="P140" s="1852"/>
    </row>
    <row customHeight="1" ht="18.75">
      <c r="A141" s="2008"/>
      <c r="B141" s="2008"/>
      <c r="D141" s="599"/>
      <c r="E141" s="371" t="s">
        <v>90</v>
      </c>
      <c r="F141" s="25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588"/>
      <c r="H141" s="2588"/>
      <c r="I141" s="2588"/>
      <c r="J141" s="2588"/>
      <c r="K141" s="2588"/>
      <c r="L141" s="2588"/>
      <c r="M141" s="520"/>
      <c r="N141" s="557"/>
    </row>
    <row s="13661" customFormat="1" customHeight="1" ht="60.75" hidden="1">
      <c r="A142" s="2008" t="s">
        <v>154</v>
      </c>
      <c r="B142" s="2008" t="s">
        <v>155</v>
      </c>
      <c r="C142" s="592"/>
      <c r="D142" s="2596"/>
      <c r="E142" s="2339"/>
      <c r="F142" s="250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51" t="str">
        <f>INDEX(PT_DIFFERENTIATION_NTAR,MATCH(B142,PT_DIFFERENTIATION_NTAR_ID,0))</f>
        <v/>
      </c>
      <c r="H142" s="2091"/>
      <c r="I142" s="1967"/>
      <c r="J142" s="2001"/>
      <c r="K142" s="2006"/>
      <c r="L142" s="2091" t="s">
        <v>307</v>
      </c>
      <c r="M142"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557"/>
      <c r="O142" s="1852"/>
      <c r="P142" s="1852"/>
    </row>
    <row s="13661" customFormat="1" customHeight="1" ht="18.75" hidden="1">
      <c r="A143" s="2008"/>
      <c r="B143" s="2008"/>
      <c r="C143" s="592" t="s">
        <v>1066</v>
      </c>
      <c r="D143" s="2596"/>
      <c r="E143" s="2339"/>
      <c r="F143" s="2505"/>
      <c r="G143" s="2551"/>
      <c r="H143" s="1728"/>
      <c r="I143" s="874" t="s">
        <v>1065</v>
      </c>
      <c r="J143" s="794"/>
      <c r="K143" s="1728"/>
      <c r="L143" s="437"/>
      <c r="M143" s="2299"/>
      <c r="N143" s="557"/>
      <c r="O143" s="1852"/>
      <c r="P143" s="1852"/>
    </row>
    <row s="13661" customFormat="1" customHeight="1" ht="0.75" hidden="1">
      <c r="A144" s="2008"/>
      <c r="B144" s="2008"/>
      <c r="C144" s="592" t="s">
        <v>1073</v>
      </c>
      <c r="D144" s="2596"/>
      <c r="E144" s="2339"/>
      <c r="F144" s="2505"/>
      <c r="G144" s="623"/>
      <c r="H144" s="1728"/>
      <c r="I144" s="874"/>
      <c r="J144" s="794"/>
      <c r="K144" s="1728"/>
      <c r="L144" s="437"/>
      <c r="M144" s="2299"/>
      <c r="N144" s="557"/>
      <c r="O144" s="1852"/>
      <c r="P144" s="1852"/>
    </row>
    <row s="13661" customFormat="1" customHeight="1" ht="45" hidden="1">
      <c r="A145" s="2008" t="s">
        <v>160</v>
      </c>
      <c r="B145" s="2008" t="s">
        <v>161</v>
      </c>
      <c r="C145" s="592"/>
      <c r="D145" s="2596"/>
      <c r="E145" s="2339"/>
      <c r="F145" s="250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51" t="str">
        <f>INDEX(PT_DIFFERENTIATION_NTAR,MATCH(B145,PT_DIFFERENTIATION_NTAR_ID,0))</f>
        <v/>
      </c>
      <c r="H145" s="2091"/>
      <c r="I145" s="1967"/>
      <c r="J145" s="2001"/>
      <c r="K145" s="2006"/>
      <c r="L145" s="2091" t="s">
        <v>307</v>
      </c>
      <c r="M145" s="2300"/>
      <c r="N145" s="557"/>
      <c r="O145" s="1852"/>
      <c r="P145" s="1852"/>
    </row>
    <row s="13661" customFormat="1" customHeight="1" ht="18.75" hidden="1">
      <c r="A146" s="2008"/>
      <c r="B146" s="2008"/>
      <c r="C146" s="592" t="s">
        <v>1066</v>
      </c>
      <c r="D146" s="2596"/>
      <c r="E146" s="2339"/>
      <c r="F146" s="2505"/>
      <c r="G146" s="2551"/>
      <c r="H146" s="1728"/>
      <c r="I146" s="874" t="s">
        <v>1065</v>
      </c>
      <c r="J146" s="794"/>
      <c r="K146" s="1728"/>
      <c r="L146" s="437"/>
      <c r="M146" s="2090"/>
      <c r="N146" s="557"/>
      <c r="O146" s="1852"/>
      <c r="P146" s="1852"/>
    </row>
    <row s="13661" customFormat="1" customHeight="1" ht="0.75" hidden="1">
      <c r="A147" s="2008"/>
      <c r="B147" s="2008"/>
      <c r="C147" s="592" t="s">
        <v>1073</v>
      </c>
      <c r="D147" s="2596"/>
      <c r="E147" s="2339"/>
      <c r="F147" s="2505"/>
      <c r="G147" s="623"/>
      <c r="H147" s="1728"/>
      <c r="I147" s="874"/>
      <c r="J147" s="794"/>
      <c r="K147" s="1728"/>
      <c r="L147" s="437"/>
      <c r="M147" s="564"/>
      <c r="N147" s="557"/>
      <c r="O147" s="1852"/>
      <c r="P147" s="1852"/>
    </row>
    <row s="13661" customFormat="1" customHeight="1" ht="45" hidden="1">
      <c r="A148" s="2008" t="s">
        <v>166</v>
      </c>
      <c r="B148" s="2008" t="s">
        <v>167</v>
      </c>
      <c r="C148" s="592"/>
      <c r="D148" s="2596"/>
      <c r="E148" s="2339"/>
      <c r="F148" s="250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51" t="str">
        <f>INDEX(PT_DIFFERENTIATION_NTAR,MATCH(B148,PT_DIFFERENTIATION_NTAR_ID,0))</f>
        <v/>
      </c>
      <c r="H148" s="2091"/>
      <c r="I148" s="1967"/>
      <c r="J148" s="2001"/>
      <c r="K148" s="2006"/>
      <c r="L148" s="2091" t="s">
        <v>307</v>
      </c>
      <c r="M148" s="564"/>
      <c r="N148" s="557"/>
      <c r="O148" s="1852"/>
      <c r="P148" s="1852"/>
    </row>
    <row s="13661" customFormat="1" customHeight="1" ht="18.75" hidden="1">
      <c r="A149" s="2008"/>
      <c r="B149" s="2008"/>
      <c r="C149" s="592" t="s">
        <v>1066</v>
      </c>
      <c r="D149" s="2596"/>
      <c r="E149" s="2339"/>
      <c r="F149" s="2505"/>
      <c r="G149" s="2551"/>
      <c r="H149" s="1728"/>
      <c r="I149" s="874" t="s">
        <v>1065</v>
      </c>
      <c r="J149" s="794"/>
      <c r="K149" s="1728"/>
      <c r="L149" s="437"/>
      <c r="M149" s="564"/>
      <c r="N149" s="557"/>
      <c r="O149" s="1852"/>
      <c r="P149" s="1852"/>
    </row>
    <row s="13661" customFormat="1" customHeight="1" ht="0.75" hidden="1">
      <c r="A150" s="2008"/>
      <c r="B150" s="2008"/>
      <c r="C150" s="592" t="s">
        <v>1073</v>
      </c>
      <c r="D150" s="2596"/>
      <c r="E150" s="2339"/>
      <c r="F150" s="2505"/>
      <c r="G150" s="623"/>
      <c r="H150" s="1728"/>
      <c r="I150" s="874"/>
      <c r="J150" s="794"/>
      <c r="K150" s="1728"/>
      <c r="L150" s="437"/>
      <c r="M150" s="564"/>
      <c r="N150" s="557"/>
      <c r="O150" s="1852"/>
      <c r="P150" s="1852"/>
    </row>
    <row s="13661" customFormat="1" customHeight="1" ht="45" hidden="1">
      <c r="A151" s="2008" t="s">
        <v>172</v>
      </c>
      <c r="B151" s="2008" t="s">
        <v>173</v>
      </c>
      <c r="C151" s="592"/>
      <c r="D151" s="2596"/>
      <c r="E151" s="2339"/>
      <c r="F151" s="250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51" t="str">
        <f>INDEX(PT_DIFFERENTIATION_NTAR,MATCH(B151,PT_DIFFERENTIATION_NTAR_ID,0))</f>
        <v/>
      </c>
      <c r="H151" s="2091"/>
      <c r="I151" s="1967"/>
      <c r="J151" s="2001"/>
      <c r="K151" s="2006"/>
      <c r="L151" s="2091" t="s">
        <v>307</v>
      </c>
      <c r="M151" s="564"/>
      <c r="N151" s="557"/>
      <c r="O151" s="1852"/>
      <c r="P151" s="1852"/>
    </row>
    <row s="13661" customFormat="1" customHeight="1" ht="18.75" hidden="1">
      <c r="A152" s="2008"/>
      <c r="B152" s="2008"/>
      <c r="C152" s="592" t="s">
        <v>1066</v>
      </c>
      <c r="D152" s="2596"/>
      <c r="E152" s="2339"/>
      <c r="F152" s="2505"/>
      <c r="G152" s="2551"/>
      <c r="H152" s="1728"/>
      <c r="I152" s="874" t="s">
        <v>1065</v>
      </c>
      <c r="J152" s="794"/>
      <c r="K152" s="1728"/>
      <c r="L152" s="437"/>
      <c r="M152" s="564"/>
      <c r="N152" s="557"/>
      <c r="O152" s="1852"/>
      <c r="P152" s="1852"/>
    </row>
    <row s="13661" customFormat="1" customHeight="1" ht="0.75" hidden="1">
      <c r="A153" s="2008"/>
      <c r="B153" s="2008"/>
      <c r="C153" s="592" t="s">
        <v>1073</v>
      </c>
      <c r="D153" s="2596"/>
      <c r="E153" s="2339"/>
      <c r="F153" s="2505"/>
      <c r="G153" s="623"/>
      <c r="H153" s="1728"/>
      <c r="I153" s="874"/>
      <c r="J153" s="794"/>
      <c r="K153" s="1728"/>
      <c r="L153" s="437"/>
      <c r="M153" s="564"/>
      <c r="N153" s="557"/>
      <c r="O153" s="1852"/>
      <c r="P153" s="1852"/>
    </row>
    <row s="13661" customFormat="1" customHeight="1" ht="18.75" hidden="1">
      <c r="A154" s="2008" t="s">
        <v>178</v>
      </c>
      <c r="B154" s="2008" t="s">
        <v>179</v>
      </c>
      <c r="C154" s="592"/>
      <c r="D154" s="2596"/>
      <c r="E154" s="2339"/>
      <c r="F154" s="2505" t="str">
        <f>INDEX(PT_DIFFERENTIATION_VTAR,MATCH(A154,PT_DIFFERENTIATION_VTAR_ID,0))</f>
        <v>Тарифы на услуги по передаче тепловой энергии</v>
      </c>
      <c r="G154" s="2551" t="str">
        <f>INDEX(PT_DIFFERENTIATION_NTAR,MATCH(B154,PT_DIFFERENTIATION_NTAR_ID,0))</f>
        <v/>
      </c>
      <c r="H154" s="2091"/>
      <c r="I154" s="1967"/>
      <c r="J154" s="2001"/>
      <c r="K154" s="2006"/>
      <c r="L154" s="2091" t="s">
        <v>307</v>
      </c>
      <c r="M154" s="564"/>
      <c r="N154" s="557"/>
      <c r="O154" s="1852"/>
      <c r="P154" s="1852"/>
    </row>
    <row s="13661" customFormat="1" customHeight="1" ht="18.75" hidden="1">
      <c r="A155" s="2008"/>
      <c r="B155" s="2008"/>
      <c r="C155" s="592" t="s">
        <v>1066</v>
      </c>
      <c r="D155" s="2596"/>
      <c r="E155" s="2339"/>
      <c r="F155" s="2505"/>
      <c r="G155" s="2551"/>
      <c r="H155" s="1728"/>
      <c r="I155" s="874" t="s">
        <v>1065</v>
      </c>
      <c r="J155" s="794"/>
      <c r="K155" s="1728"/>
      <c r="L155" s="437"/>
      <c r="M155" s="564"/>
      <c r="N155" s="557"/>
      <c r="O155" s="1852"/>
      <c r="P155" s="1852"/>
    </row>
    <row s="13661" customFormat="1" customHeight="1" ht="0.75" hidden="1">
      <c r="A156" s="2008"/>
      <c r="B156" s="2008"/>
      <c r="C156" s="592" t="s">
        <v>1073</v>
      </c>
      <c r="D156" s="2596"/>
      <c r="E156" s="2339"/>
      <c r="F156" s="2505"/>
      <c r="G156" s="623"/>
      <c r="H156" s="1728"/>
      <c r="I156" s="874"/>
      <c r="J156" s="794"/>
      <c r="K156" s="1728"/>
      <c r="L156" s="437"/>
      <c r="M156" s="564"/>
      <c r="N156" s="557"/>
      <c r="O156" s="1852"/>
      <c r="P156" s="1852"/>
    </row>
    <row s="13661" customFormat="1" customHeight="1" ht="18.75" hidden="1">
      <c r="A157" s="2008" t="s">
        <v>184</v>
      </c>
      <c r="B157" s="2008" t="s">
        <v>185</v>
      </c>
      <c r="C157" s="592"/>
      <c r="D157" s="2596"/>
      <c r="E157" s="2339"/>
      <c r="F157" s="2505" t="str">
        <f>INDEX(PT_DIFFERENTIATION_VTAR,MATCH(A157,PT_DIFFERENTIATION_VTAR_ID,0))</f>
        <v>Тарифы на услуги по передаче теплоносителя</v>
      </c>
      <c r="G157" s="2551" t="str">
        <f>INDEX(PT_DIFFERENTIATION_NTAR,MATCH(B157,PT_DIFFERENTIATION_NTAR_ID,0))</f>
        <v/>
      </c>
      <c r="H157" s="2091"/>
      <c r="I157" s="1967"/>
      <c r="J157" s="2001"/>
      <c r="K157" s="2006"/>
      <c r="L157" s="2091" t="s">
        <v>307</v>
      </c>
      <c r="M157" s="564"/>
      <c r="N157" s="557"/>
      <c r="O157" s="1852"/>
      <c r="P157" s="1852"/>
    </row>
    <row s="13661" customFormat="1" customHeight="1" ht="18.75" hidden="1">
      <c r="A158" s="2008"/>
      <c r="B158" s="2008"/>
      <c r="C158" s="592" t="s">
        <v>1066</v>
      </c>
      <c r="D158" s="2596"/>
      <c r="E158" s="2339"/>
      <c r="F158" s="2505"/>
      <c r="G158" s="2551"/>
      <c r="H158" s="1728"/>
      <c r="I158" s="874" t="s">
        <v>1065</v>
      </c>
      <c r="J158" s="794"/>
      <c r="K158" s="1728"/>
      <c r="L158" s="437"/>
      <c r="M158" s="564"/>
      <c r="N158" s="557"/>
      <c r="O158" s="1852"/>
      <c r="P158" s="1852"/>
    </row>
    <row s="13661" customFormat="1" customHeight="1" ht="0.75" hidden="1">
      <c r="A159" s="2008"/>
      <c r="B159" s="2008"/>
      <c r="C159" s="592" t="s">
        <v>1073</v>
      </c>
      <c r="D159" s="2596"/>
      <c r="E159" s="2339"/>
      <c r="F159" s="2505"/>
      <c r="G159" s="623"/>
      <c r="H159" s="1728"/>
      <c r="I159" s="874"/>
      <c r="J159" s="794"/>
      <c r="K159" s="1728"/>
      <c r="L159" s="437"/>
      <c r="M159" s="564"/>
      <c r="N159" s="557"/>
      <c r="O159" s="1852"/>
      <c r="P159" s="1852"/>
    </row>
    <row s="13661" customFormat="1" customHeight="1" ht="18.75" hidden="1">
      <c r="A160" s="2008" t="s">
        <v>190</v>
      </c>
      <c r="B160" s="2008" t="s">
        <v>191</v>
      </c>
      <c r="C160" s="592"/>
      <c r="D160" s="2596"/>
      <c r="E160" s="2339"/>
      <c r="F160" s="250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51" t="str">
        <f>INDEX(PT_DIFFERENTIATION_NTAR,MATCH(B160,PT_DIFFERENTIATION_NTAR_ID,0))</f>
        <v/>
      </c>
      <c r="H160" s="2091"/>
      <c r="I160" s="1967"/>
      <c r="J160" s="2001"/>
      <c r="K160" s="2006"/>
      <c r="L160" s="2091" t="s">
        <v>307</v>
      </c>
      <c r="M160" s="564"/>
      <c r="N160" s="557"/>
      <c r="O160" s="1852"/>
      <c r="P160" s="1852"/>
    </row>
    <row s="13661" customFormat="1" customHeight="1" ht="18.75" hidden="1">
      <c r="A161" s="2008"/>
      <c r="B161" s="2008"/>
      <c r="C161" s="592" t="s">
        <v>1066</v>
      </c>
      <c r="D161" s="2596"/>
      <c r="E161" s="2339"/>
      <c r="F161" s="2505"/>
      <c r="G161" s="2551"/>
      <c r="H161" s="1728"/>
      <c r="I161" s="874" t="s">
        <v>1065</v>
      </c>
      <c r="J161" s="794"/>
      <c r="K161" s="1728"/>
      <c r="L161" s="437"/>
      <c r="M161" s="564"/>
      <c r="N161" s="557"/>
      <c r="O161" s="1852"/>
      <c r="P161" s="1852"/>
    </row>
    <row s="13661" customFormat="1" customHeight="1" ht="0.75" hidden="1">
      <c r="A162" s="2008"/>
      <c r="B162" s="2008"/>
      <c r="C162" s="592" t="s">
        <v>1073</v>
      </c>
      <c r="D162" s="2596"/>
      <c r="E162" s="2339"/>
      <c r="F162" s="2505"/>
      <c r="G162" s="623"/>
      <c r="H162" s="1728"/>
      <c r="I162" s="874"/>
      <c r="J162" s="794"/>
      <c r="K162" s="1728"/>
      <c r="L162" s="437"/>
      <c r="M162" s="564"/>
      <c r="N162" s="557"/>
      <c r="O162" s="1852"/>
      <c r="P162" s="1852"/>
    </row>
    <row s="13661" customFormat="1" customHeight="1" ht="18.75" hidden="1">
      <c r="A163" s="2008" t="s">
        <v>196</v>
      </c>
      <c r="B163" s="2008" t="s">
        <v>197</v>
      </c>
      <c r="C163" s="592"/>
      <c r="D163" s="2596"/>
      <c r="E163" s="2339"/>
      <c r="F163" s="2505" t="str">
        <f>INDEX(PT_DIFFERENTIATION_VTAR,MATCH(A163,PT_DIFFERENTIATION_VTAR_ID,0))</f>
        <v>Плата за подключение (технологическое присоединение) к системе теплоснабжения</v>
      </c>
      <c r="G163" s="2551" t="str">
        <f>INDEX(PT_DIFFERENTIATION_NTAR,MATCH(B163,PT_DIFFERENTIATION_NTAR_ID,0))</f>
        <v/>
      </c>
      <c r="H163" s="2091"/>
      <c r="I163" s="1967"/>
      <c r="J163" s="2001"/>
      <c r="K163" s="2006"/>
      <c r="L163" s="2091" t="s">
        <v>307</v>
      </c>
      <c r="M163" s="564"/>
      <c r="N163" s="557"/>
      <c r="O163" s="1852"/>
      <c r="P163" s="1852"/>
    </row>
    <row s="13661" customFormat="1" customHeight="1" ht="18.75" hidden="1">
      <c r="A164" s="2008"/>
      <c r="B164" s="2008"/>
      <c r="C164" s="592" t="s">
        <v>1066</v>
      </c>
      <c r="D164" s="2596"/>
      <c r="E164" s="2339"/>
      <c r="F164" s="2505"/>
      <c r="G164" s="2551"/>
      <c r="H164" s="1728"/>
      <c r="I164" s="874" t="s">
        <v>1065</v>
      </c>
      <c r="J164" s="794"/>
      <c r="K164" s="1728"/>
      <c r="L164" s="437"/>
      <c r="M164" s="564"/>
      <c r="N164" s="557"/>
      <c r="O164" s="1852"/>
      <c r="P164" s="1852"/>
    </row>
    <row s="13661" customFormat="1" customHeight="1" ht="0.75" hidden="1">
      <c r="A165" s="2008"/>
      <c r="B165" s="2008"/>
      <c r="C165" s="592" t="s">
        <v>1073</v>
      </c>
      <c r="D165" s="2596"/>
      <c r="E165" s="2339"/>
      <c r="F165" s="2505"/>
      <c r="G165" s="623"/>
      <c r="H165" s="1728"/>
      <c r="I165" s="874"/>
      <c r="J165" s="794"/>
      <c r="K165" s="1728"/>
      <c r="L165" s="437"/>
      <c r="M165" s="564"/>
      <c r="N165" s="557"/>
      <c r="O165" s="1852"/>
      <c r="P165" s="1852"/>
    </row>
    <row s="13661" customFormat="1" customHeight="1" ht="18.75" hidden="1">
      <c r="A166" s="2008" t="s">
        <v>222</v>
      </c>
      <c r="B166" s="2008" t="s">
        <v>223</v>
      </c>
      <c r="C166" s="592"/>
      <c r="D166" s="2596"/>
      <c r="E166" s="2339"/>
      <c r="F166" s="2505" t="str">
        <f>INDEX(PT_DIFFERENTIATION_VTAR,MATCH(A166,PT_DIFFERENTIATION_VTAR_ID,0))</f>
        <v>Тариф на питьевую воду (питьевое водоснабжение)</v>
      </c>
      <c r="G166" s="2551" t="str">
        <f>INDEX(PT_DIFFERENTIATION_NTAR,MATCH(B166,PT_DIFFERENTIATION_NTAR_ID,0))</f>
        <v/>
      </c>
      <c r="H166" s="2091"/>
      <c r="I166" s="1967"/>
      <c r="J166" s="2001"/>
      <c r="K166" s="2006"/>
      <c r="L166" s="2091" t="s">
        <v>307</v>
      </c>
      <c r="M166" s="564"/>
      <c r="N166" s="557"/>
      <c r="O166" s="1852"/>
      <c r="P166" s="1852"/>
    </row>
    <row s="13661" customFormat="1" customHeight="1" ht="18.75" hidden="1">
      <c r="A167" s="2008"/>
      <c r="B167" s="2008"/>
      <c r="C167" s="592" t="s">
        <v>1066</v>
      </c>
      <c r="D167" s="2596"/>
      <c r="E167" s="2339"/>
      <c r="F167" s="2505"/>
      <c r="G167" s="2551"/>
      <c r="H167" s="1728"/>
      <c r="I167" s="874" t="s">
        <v>1065</v>
      </c>
      <c r="J167" s="794"/>
      <c r="K167" s="1728"/>
      <c r="L167" s="437"/>
      <c r="M167" s="564"/>
      <c r="N167" s="557"/>
      <c r="O167" s="1852"/>
      <c r="P167" s="1852"/>
    </row>
    <row s="13661" customFormat="1" customHeight="1" ht="0.75" hidden="1">
      <c r="A168" s="2008"/>
      <c r="B168" s="2008"/>
      <c r="C168" s="592" t="s">
        <v>1073</v>
      </c>
      <c r="D168" s="2596"/>
      <c r="E168" s="2339"/>
      <c r="F168" s="2505"/>
      <c r="G168" s="623"/>
      <c r="H168" s="1728"/>
      <c r="I168" s="874"/>
      <c r="J168" s="794"/>
      <c r="K168" s="1728"/>
      <c r="L168" s="437"/>
      <c r="M168" s="564"/>
      <c r="N168" s="557"/>
      <c r="O168" s="1852"/>
      <c r="P168" s="1852"/>
    </row>
    <row s="13661" customFormat="1" customHeight="1" ht="18.75" hidden="1">
      <c r="A169" s="2008" t="s">
        <v>227</v>
      </c>
      <c r="B169" s="2008" t="s">
        <v>228</v>
      </c>
      <c r="C169" s="592"/>
      <c r="D169" s="2596"/>
      <c r="E169" s="2339"/>
      <c r="F169" s="2505" t="str">
        <f>INDEX(PT_DIFFERENTIATION_VTAR,MATCH(A169,PT_DIFFERENTIATION_VTAR_ID,0))</f>
        <v>Тариф на техническую воду</v>
      </c>
      <c r="G169" s="2551" t="str">
        <f>INDEX(PT_DIFFERENTIATION_NTAR,MATCH(B169,PT_DIFFERENTIATION_NTAR_ID,0))</f>
        <v/>
      </c>
      <c r="H169" s="2091"/>
      <c r="I169" s="1967"/>
      <c r="J169" s="2001"/>
      <c r="K169" s="2006"/>
      <c r="L169" s="2091" t="s">
        <v>307</v>
      </c>
      <c r="M169" s="564"/>
      <c r="N169" s="557"/>
      <c r="O169" s="1852"/>
      <c r="P169" s="1852"/>
    </row>
    <row s="13661" customFormat="1" customHeight="1" ht="18.75" hidden="1">
      <c r="A170" s="2008"/>
      <c r="B170" s="2008"/>
      <c r="C170" s="592" t="s">
        <v>1066</v>
      </c>
      <c r="D170" s="2596"/>
      <c r="E170" s="2339"/>
      <c r="F170" s="2505"/>
      <c r="G170" s="2551"/>
      <c r="H170" s="1728"/>
      <c r="I170" s="874" t="s">
        <v>1065</v>
      </c>
      <c r="J170" s="794"/>
      <c r="K170" s="1728"/>
      <c r="L170" s="437"/>
      <c r="M170" s="564"/>
      <c r="N170" s="557"/>
      <c r="O170" s="1852"/>
      <c r="P170" s="1852"/>
    </row>
    <row s="13661" customFormat="1" customHeight="1" ht="0.75" hidden="1">
      <c r="A171" s="2008"/>
      <c r="B171" s="2008"/>
      <c r="C171" s="592" t="s">
        <v>1073</v>
      </c>
      <c r="D171" s="2596"/>
      <c r="E171" s="2339"/>
      <c r="F171" s="2505"/>
      <c r="G171" s="623"/>
      <c r="H171" s="1728"/>
      <c r="I171" s="874"/>
      <c r="J171" s="794"/>
      <c r="K171" s="1728"/>
      <c r="L171" s="437"/>
      <c r="M171" s="564"/>
      <c r="N171" s="557"/>
      <c r="O171" s="1852"/>
      <c r="P171" s="1852"/>
    </row>
    <row s="13661" customFormat="1" customHeight="1" ht="18.75" hidden="1">
      <c r="A172" s="2008" t="s">
        <v>232</v>
      </c>
      <c r="B172" s="2008" t="s">
        <v>233</v>
      </c>
      <c r="C172" s="592"/>
      <c r="D172" s="2596"/>
      <c r="E172" s="2339"/>
      <c r="F172" s="2505" t="str">
        <f>INDEX(PT_DIFFERENTIATION_VTAR,MATCH(A172,PT_DIFFERENTIATION_VTAR_ID,0))</f>
        <v>Тариф на транспортировку воды</v>
      </c>
      <c r="G172" s="2551" t="str">
        <f>INDEX(PT_DIFFERENTIATION_NTAR,MATCH(B172,PT_DIFFERENTIATION_NTAR_ID,0))</f>
        <v/>
      </c>
      <c r="H172" s="2091"/>
      <c r="I172" s="1967"/>
      <c r="J172" s="2001"/>
      <c r="K172" s="2006"/>
      <c r="L172" s="2091" t="s">
        <v>307</v>
      </c>
      <c r="M172" s="564"/>
      <c r="N172" s="557"/>
      <c r="O172" s="1852"/>
      <c r="P172" s="1852"/>
    </row>
    <row s="13661" customFormat="1" customHeight="1" ht="18.75" hidden="1">
      <c r="A173" s="2008"/>
      <c r="B173" s="2008"/>
      <c r="C173" s="592" t="s">
        <v>1066</v>
      </c>
      <c r="D173" s="2596"/>
      <c r="E173" s="2339"/>
      <c r="F173" s="2505"/>
      <c r="G173" s="2551"/>
      <c r="H173" s="1728"/>
      <c r="I173" s="874" t="s">
        <v>1065</v>
      </c>
      <c r="J173" s="794"/>
      <c r="K173" s="1728"/>
      <c r="L173" s="437"/>
      <c r="M173" s="564"/>
      <c r="N173" s="557"/>
      <c r="O173" s="1852"/>
      <c r="P173" s="1852"/>
    </row>
    <row s="13661" customFormat="1" customHeight="1" ht="0.75" hidden="1">
      <c r="A174" s="2008"/>
      <c r="B174" s="2008"/>
      <c r="C174" s="592" t="s">
        <v>1073</v>
      </c>
      <c r="D174" s="2596"/>
      <c r="E174" s="2339"/>
      <c r="F174" s="2505"/>
      <c r="G174" s="623"/>
      <c r="H174" s="1728"/>
      <c r="I174" s="874"/>
      <c r="J174" s="794"/>
      <c r="K174" s="1728"/>
      <c r="L174" s="437"/>
      <c r="M174" s="564"/>
      <c r="N174" s="557"/>
      <c r="O174" s="1852"/>
      <c r="P174" s="1852"/>
    </row>
    <row s="13661" customFormat="1" customHeight="1" ht="18.75" hidden="1">
      <c r="A175" s="2008" t="s">
        <v>237</v>
      </c>
      <c r="B175" s="2008" t="s">
        <v>238</v>
      </c>
      <c r="C175" s="592"/>
      <c r="D175" s="2596"/>
      <c r="E175" s="2339"/>
      <c r="F175" s="2505" t="str">
        <f>INDEX(PT_DIFFERENTIATION_VTAR,MATCH(A175,PT_DIFFERENTIATION_VTAR_ID,0))</f>
        <v>Тариф на подвоз воды</v>
      </c>
      <c r="G175" s="2551" t="str">
        <f>INDEX(PT_DIFFERENTIATION_NTAR,MATCH(B175,PT_DIFFERENTIATION_NTAR_ID,0))</f>
        <v/>
      </c>
      <c r="H175" s="2091"/>
      <c r="I175" s="1967"/>
      <c r="J175" s="2001"/>
      <c r="K175" s="2006"/>
      <c r="L175" s="2091" t="s">
        <v>307</v>
      </c>
      <c r="M175" s="564"/>
      <c r="N175" s="557"/>
      <c r="O175" s="1852"/>
      <c r="P175" s="1852"/>
    </row>
    <row s="13661" customFormat="1" customHeight="1" ht="18.75" hidden="1">
      <c r="A176" s="2008"/>
      <c r="B176" s="2008"/>
      <c r="C176" s="592" t="s">
        <v>1066</v>
      </c>
      <c r="D176" s="2596"/>
      <c r="E176" s="2339"/>
      <c r="F176" s="2505"/>
      <c r="G176" s="2551"/>
      <c r="H176" s="1728"/>
      <c r="I176" s="874" t="s">
        <v>1065</v>
      </c>
      <c r="J176" s="794"/>
      <c r="K176" s="1728"/>
      <c r="L176" s="437"/>
      <c r="M176" s="564"/>
      <c r="N176" s="557"/>
      <c r="O176" s="1852"/>
      <c r="P176" s="1852"/>
    </row>
    <row s="13661" customFormat="1" customHeight="1" ht="0.75" hidden="1">
      <c r="A177" s="2008"/>
      <c r="B177" s="2008"/>
      <c r="C177" s="592" t="s">
        <v>1073</v>
      </c>
      <c r="D177" s="2596"/>
      <c r="E177" s="2339"/>
      <c r="F177" s="2505"/>
      <c r="G177" s="623"/>
      <c r="H177" s="1728"/>
      <c r="I177" s="874"/>
      <c r="J177" s="794"/>
      <c r="K177" s="1728"/>
      <c r="L177" s="437"/>
      <c r="M177" s="564"/>
      <c r="N177" s="557"/>
      <c r="O177" s="1852"/>
      <c r="P177" s="1852"/>
    </row>
    <row s="13661" customFormat="1" customHeight="1" ht="18.75" hidden="1">
      <c r="A178" s="2008" t="s">
        <v>242</v>
      </c>
      <c r="B178" s="2008" t="s">
        <v>243</v>
      </c>
      <c r="C178" s="592"/>
      <c r="D178" s="2596"/>
      <c r="E178" s="2339"/>
      <c r="F178" s="250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51" t="str">
        <f>INDEX(PT_DIFFERENTIATION_NTAR,MATCH(B178,PT_DIFFERENTIATION_NTAR_ID,0))</f>
        <v/>
      </c>
      <c r="H178" s="2091"/>
      <c r="I178" s="1967"/>
      <c r="J178" s="2001"/>
      <c r="K178" s="2006"/>
      <c r="L178" s="2091" t="s">
        <v>307</v>
      </c>
      <c r="M178" s="564"/>
      <c r="N178" s="557"/>
      <c r="O178" s="1852"/>
      <c r="P178" s="1852"/>
    </row>
    <row s="13661" customFormat="1" customHeight="1" ht="18.75" hidden="1">
      <c r="A179" s="2008"/>
      <c r="B179" s="2008"/>
      <c r="C179" s="592" t="s">
        <v>1066</v>
      </c>
      <c r="D179" s="2596"/>
      <c r="E179" s="2339"/>
      <c r="F179" s="2505"/>
      <c r="G179" s="2551"/>
      <c r="H179" s="1728"/>
      <c r="I179" s="874" t="s">
        <v>1065</v>
      </c>
      <c r="J179" s="794"/>
      <c r="K179" s="1728"/>
      <c r="L179" s="437"/>
      <c r="M179" s="564"/>
      <c r="N179" s="557"/>
      <c r="O179" s="1852"/>
      <c r="P179" s="1852"/>
    </row>
    <row s="13661" customFormat="1" customHeight="1" ht="0.75" hidden="1">
      <c r="A180" s="2008"/>
      <c r="B180" s="2008"/>
      <c r="C180" s="592" t="s">
        <v>1073</v>
      </c>
      <c r="D180" s="2596"/>
      <c r="E180" s="2339"/>
      <c r="F180" s="2505"/>
      <c r="G180" s="623"/>
      <c r="H180" s="1728"/>
      <c r="I180" s="874"/>
      <c r="J180" s="794"/>
      <c r="K180" s="1728"/>
      <c r="L180" s="437"/>
      <c r="M180" s="564"/>
      <c r="N180" s="557"/>
      <c r="O180" s="1852"/>
      <c r="P180" s="1852"/>
    </row>
    <row s="13661" customFormat="1" customHeight="1" ht="18.75" hidden="1">
      <c r="A181" s="2008" t="s">
        <v>248</v>
      </c>
      <c r="B181" s="2008" t="s">
        <v>249</v>
      </c>
      <c r="C181" s="592"/>
      <c r="D181" s="2596"/>
      <c r="E181" s="2339"/>
      <c r="F181" s="2505" t="str">
        <f>INDEX(PT_DIFFERENTIATION_VTAR,MATCH(A181,PT_DIFFERENTIATION_VTAR_ID,0))</f>
        <v>Тариф на горячую воду (горячее водоснабжение)</v>
      </c>
      <c r="G181" s="2551" t="str">
        <f>INDEX(PT_DIFFERENTIATION_NTAR,MATCH(B181,PT_DIFFERENTIATION_NTAR_ID,0))</f>
        <v/>
      </c>
      <c r="H181" s="2091"/>
      <c r="I181" s="1967"/>
      <c r="J181" s="2001"/>
      <c r="K181" s="2006"/>
      <c r="L181" s="2091" t="s">
        <v>307</v>
      </c>
      <c r="M181" s="564"/>
      <c r="N181" s="557"/>
      <c r="O181" s="1852"/>
      <c r="P181" s="1852"/>
    </row>
    <row s="13661" customFormat="1" customHeight="1" ht="18.75" hidden="1">
      <c r="A182" s="2008"/>
      <c r="B182" s="2008"/>
      <c r="C182" s="592" t="s">
        <v>1066</v>
      </c>
      <c r="D182" s="2596"/>
      <c r="E182" s="2339"/>
      <c r="F182" s="2505"/>
      <c r="G182" s="2551"/>
      <c r="H182" s="1728"/>
      <c r="I182" s="874" t="s">
        <v>1065</v>
      </c>
      <c r="J182" s="794"/>
      <c r="K182" s="1728"/>
      <c r="L182" s="437"/>
      <c r="M182" s="564"/>
      <c r="N182" s="557"/>
      <c r="O182" s="1852"/>
      <c r="P182" s="1852"/>
    </row>
    <row s="13661" customFormat="1" customHeight="1" ht="0.75" hidden="1">
      <c r="A183" s="2008"/>
      <c r="B183" s="2008"/>
      <c r="C183" s="592" t="s">
        <v>1073</v>
      </c>
      <c r="D183" s="2596"/>
      <c r="E183" s="2339"/>
      <c r="F183" s="2505"/>
      <c r="G183" s="623"/>
      <c r="H183" s="1728"/>
      <c r="I183" s="874"/>
      <c r="J183" s="794"/>
      <c r="K183" s="1728"/>
      <c r="L183" s="437"/>
      <c r="M183" s="564"/>
      <c r="N183" s="557"/>
      <c r="O183" s="1852"/>
      <c r="P183" s="1852"/>
    </row>
    <row s="13661" customFormat="1" customHeight="1" ht="18.75" hidden="1">
      <c r="A184" s="2008" t="s">
        <v>256</v>
      </c>
      <c r="B184" s="2008" t="s">
        <v>257</v>
      </c>
      <c r="C184" s="592"/>
      <c r="D184" s="2596"/>
      <c r="E184" s="2339"/>
      <c r="F184" s="2505" t="str">
        <f>INDEX(PT_DIFFERENTIATION_VTAR,MATCH(A184,PT_DIFFERENTIATION_VTAR_ID,0))</f>
        <v>Тариф на транспортировку горячей воды</v>
      </c>
      <c r="G184" s="2551" t="str">
        <f>INDEX(PT_DIFFERENTIATION_NTAR,MATCH(B184,PT_DIFFERENTIATION_NTAR_ID,0))</f>
        <v/>
      </c>
      <c r="H184" s="2091"/>
      <c r="I184" s="1967"/>
      <c r="J184" s="2001"/>
      <c r="K184" s="2006"/>
      <c r="L184" s="2091" t="s">
        <v>307</v>
      </c>
      <c r="M184" s="564"/>
      <c r="N184" s="557"/>
      <c r="O184" s="1852"/>
      <c r="P184" s="1852"/>
    </row>
    <row s="13661" customFormat="1" customHeight="1" ht="18.75" hidden="1">
      <c r="A185" s="2008"/>
      <c r="B185" s="2008"/>
      <c r="C185" s="592" t="s">
        <v>1066</v>
      </c>
      <c r="D185" s="2596"/>
      <c r="E185" s="2339"/>
      <c r="F185" s="2505"/>
      <c r="G185" s="2551"/>
      <c r="H185" s="1728"/>
      <c r="I185" s="874" t="s">
        <v>1065</v>
      </c>
      <c r="J185" s="794"/>
      <c r="K185" s="1728"/>
      <c r="L185" s="437"/>
      <c r="M185" s="564"/>
      <c r="N185" s="557"/>
      <c r="O185" s="1852"/>
      <c r="P185" s="1852"/>
    </row>
    <row s="13661" customFormat="1" customHeight="1" ht="0.75" hidden="1">
      <c r="A186" s="2008"/>
      <c r="B186" s="2008"/>
      <c r="C186" s="592" t="s">
        <v>1073</v>
      </c>
      <c r="D186" s="2596"/>
      <c r="E186" s="2339"/>
      <c r="F186" s="2505"/>
      <c r="G186" s="623"/>
      <c r="H186" s="1728"/>
      <c r="I186" s="874"/>
      <c r="J186" s="794"/>
      <c r="K186" s="1728"/>
      <c r="L186" s="437"/>
      <c r="M186" s="564"/>
      <c r="N186" s="557"/>
      <c r="O186" s="1852"/>
      <c r="P186" s="1852"/>
    </row>
    <row s="13661" customFormat="1" customHeight="1" ht="18.75" hidden="1">
      <c r="A187" s="2008" t="s">
        <v>261</v>
      </c>
      <c r="B187" s="2008" t="s">
        <v>262</v>
      </c>
      <c r="C187" s="592"/>
      <c r="D187" s="2596"/>
      <c r="E187" s="2339"/>
      <c r="F187" s="250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51" t="str">
        <f>INDEX(PT_DIFFERENTIATION_NTAR,MATCH(B187,PT_DIFFERENTIATION_NTAR_ID,0))</f>
        <v/>
      </c>
      <c r="H187" s="2091"/>
      <c r="I187" s="1967"/>
      <c r="J187" s="2001"/>
      <c r="K187" s="2006"/>
      <c r="L187" s="2091" t="s">
        <v>307</v>
      </c>
      <c r="M187" s="564"/>
      <c r="N187" s="557"/>
      <c r="O187" s="1852"/>
      <c r="P187" s="1852"/>
    </row>
    <row s="13661" customFormat="1" customHeight="1" ht="18.75" hidden="1">
      <c r="A188" s="2008"/>
      <c r="B188" s="2008"/>
      <c r="C188" s="592" t="s">
        <v>1066</v>
      </c>
      <c r="D188" s="2596"/>
      <c r="E188" s="2339"/>
      <c r="F188" s="2505"/>
      <c r="G188" s="2551"/>
      <c r="H188" s="1728"/>
      <c r="I188" s="874" t="s">
        <v>1065</v>
      </c>
      <c r="J188" s="794"/>
      <c r="K188" s="1728"/>
      <c r="L188" s="437"/>
      <c r="M188" s="564"/>
      <c r="N188" s="557"/>
      <c r="O188" s="1852"/>
      <c r="P188" s="1852"/>
    </row>
    <row s="13661" customFormat="1" customHeight="1" ht="0.75" hidden="1">
      <c r="A189" s="2008"/>
      <c r="B189" s="2008"/>
      <c r="C189" s="592" t="s">
        <v>1073</v>
      </c>
      <c r="D189" s="2596"/>
      <c r="E189" s="2339"/>
      <c r="F189" s="2505"/>
      <c r="G189" s="623"/>
      <c r="H189" s="1728"/>
      <c r="I189" s="874"/>
      <c r="J189" s="794"/>
      <c r="K189" s="1728"/>
      <c r="L189" s="437"/>
      <c r="M189" s="564"/>
      <c r="N189" s="557"/>
      <c r="O189" s="1852"/>
      <c r="P189" s="1852"/>
    </row>
    <row s="13661" customFormat="1" customHeight="1" ht="18.75" hidden="1">
      <c r="A190" s="2008" t="s">
        <v>266</v>
      </c>
      <c r="B190" s="2008" t="s">
        <v>267</v>
      </c>
      <c r="C190" s="592"/>
      <c r="D190" s="2596"/>
      <c r="E190" s="2339"/>
      <c r="F190" s="2505" t="str">
        <f>INDEX(PT_DIFFERENTIATION_VTAR,MATCH(A190,PT_DIFFERENTIATION_VTAR_ID,0))</f>
        <v>Тариф на водоотведение</v>
      </c>
      <c r="G190" s="2551" t="str">
        <f>INDEX(PT_DIFFERENTIATION_NTAR,MATCH(B190,PT_DIFFERENTIATION_NTAR_ID,0))</f>
        <v/>
      </c>
      <c r="H190" s="2091"/>
      <c r="I190" s="1967"/>
      <c r="J190" s="2001"/>
      <c r="K190" s="2006"/>
      <c r="L190" s="2091" t="s">
        <v>307</v>
      </c>
      <c r="M190" s="564"/>
      <c r="N190" s="557"/>
      <c r="O190" s="1852"/>
      <c r="P190" s="1852"/>
    </row>
    <row s="13661" customFormat="1" customHeight="1" ht="18.75" hidden="1">
      <c r="A191" s="2008"/>
      <c r="B191" s="2008"/>
      <c r="C191" s="592" t="s">
        <v>1066</v>
      </c>
      <c r="D191" s="2596"/>
      <c r="E191" s="2339"/>
      <c r="F191" s="2505"/>
      <c r="G191" s="2551"/>
      <c r="H191" s="1728"/>
      <c r="I191" s="874" t="s">
        <v>1065</v>
      </c>
      <c r="J191" s="794"/>
      <c r="K191" s="1728"/>
      <c r="L191" s="437"/>
      <c r="M191" s="564"/>
      <c r="N191" s="557"/>
      <c r="O191" s="1852"/>
      <c r="P191" s="1852"/>
    </row>
    <row s="13661" customFormat="1" customHeight="1" ht="0.75" hidden="1">
      <c r="A192" s="2008"/>
      <c r="B192" s="2008"/>
      <c r="C192" s="592" t="s">
        <v>1073</v>
      </c>
      <c r="D192" s="2596"/>
      <c r="E192" s="2339"/>
      <c r="F192" s="2505"/>
      <c r="G192" s="623"/>
      <c r="H192" s="1728"/>
      <c r="I192" s="874"/>
      <c r="J192" s="794"/>
      <c r="K192" s="1728"/>
      <c r="L192" s="437"/>
      <c r="M192" s="564"/>
      <c r="N192" s="557"/>
      <c r="O192" s="1852"/>
      <c r="P192" s="1852"/>
    </row>
    <row s="13661" customFormat="1" customHeight="1" ht="18.75" hidden="1">
      <c r="A193" s="2008" t="s">
        <v>271</v>
      </c>
      <c r="B193" s="2008" t="s">
        <v>272</v>
      </c>
      <c r="C193" s="592"/>
      <c r="D193" s="2596"/>
      <c r="E193" s="2339"/>
      <c r="F193" s="2505" t="str">
        <f>INDEX(PT_DIFFERENTIATION_VTAR,MATCH(A193,PT_DIFFERENTIATION_VTAR_ID,0))</f>
        <v>Тариф на транспортировку сточных вод</v>
      </c>
      <c r="G193" s="2551" t="str">
        <f>INDEX(PT_DIFFERENTIATION_NTAR,MATCH(B193,PT_DIFFERENTIATION_NTAR_ID,0))</f>
        <v/>
      </c>
      <c r="H193" s="2091"/>
      <c r="I193" s="1967"/>
      <c r="J193" s="2001"/>
      <c r="K193" s="2006"/>
      <c r="L193" s="2091" t="s">
        <v>307</v>
      </c>
      <c r="M193" s="564"/>
      <c r="N193" s="557"/>
      <c r="O193" s="1852"/>
      <c r="P193" s="1852"/>
    </row>
    <row s="13661" customFormat="1" customHeight="1" ht="18.75" hidden="1">
      <c r="A194" s="2008"/>
      <c r="B194" s="2008"/>
      <c r="C194" s="592" t="s">
        <v>1066</v>
      </c>
      <c r="D194" s="2596"/>
      <c r="E194" s="2339"/>
      <c r="F194" s="2505"/>
      <c r="G194" s="2551"/>
      <c r="H194" s="1728"/>
      <c r="I194" s="874" t="s">
        <v>1065</v>
      </c>
      <c r="J194" s="794"/>
      <c r="K194" s="1728"/>
      <c r="L194" s="437"/>
      <c r="M194" s="564"/>
      <c r="N194" s="557"/>
      <c r="O194" s="1852"/>
      <c r="P194" s="1852"/>
    </row>
    <row s="13661" customFormat="1" customHeight="1" ht="0.75" hidden="1">
      <c r="A195" s="2008"/>
      <c r="B195" s="2008"/>
      <c r="C195" s="592" t="s">
        <v>1073</v>
      </c>
      <c r="D195" s="2596"/>
      <c r="E195" s="2339"/>
      <c r="F195" s="2505"/>
      <c r="G195" s="623"/>
      <c r="H195" s="1728"/>
      <c r="I195" s="874"/>
      <c r="J195" s="794"/>
      <c r="K195" s="1728"/>
      <c r="L195" s="437"/>
      <c r="M195" s="564"/>
      <c r="N195" s="557"/>
      <c r="O195" s="1852"/>
      <c r="P195" s="1852"/>
    </row>
    <row s="13661" customFormat="1" customHeight="1" ht="18.75" hidden="1">
      <c r="A196" s="2008" t="s">
        <v>276</v>
      </c>
      <c r="B196" s="2008" t="s">
        <v>277</v>
      </c>
      <c r="C196" s="592"/>
      <c r="D196" s="2596"/>
      <c r="E196" s="2339"/>
      <c r="F196" s="2505" t="str">
        <f>INDEX(PT_DIFFERENTIATION_VTAR,MATCH(A196,PT_DIFFERENTIATION_VTAR_ID,0))</f>
        <v>Тариф на подключение (технологическое присоединение) к централизованной системе водоотведения</v>
      </c>
      <c r="G196" s="2551" t="str">
        <f>INDEX(PT_DIFFERENTIATION_NTAR,MATCH(B196,PT_DIFFERENTIATION_NTAR_ID,0))</f>
        <v/>
      </c>
      <c r="H196" s="2091"/>
      <c r="I196" s="1967"/>
      <c r="J196" s="2001"/>
      <c r="K196" s="2006"/>
      <c r="L196" s="2091" t="s">
        <v>307</v>
      </c>
      <c r="M196" s="564"/>
      <c r="N196" s="557"/>
      <c r="O196" s="1852"/>
      <c r="P196" s="1852"/>
    </row>
    <row s="13661" customFormat="1" customHeight="1" ht="18.75" hidden="1">
      <c r="A197" s="2008"/>
      <c r="B197" s="2008"/>
      <c r="C197" s="592" t="s">
        <v>1066</v>
      </c>
      <c r="D197" s="2596"/>
      <c r="E197" s="2339"/>
      <c r="F197" s="2505"/>
      <c r="G197" s="2551"/>
      <c r="H197" s="1728"/>
      <c r="I197" s="874" t="s">
        <v>1065</v>
      </c>
      <c r="J197" s="794"/>
      <c r="K197" s="1728"/>
      <c r="L197" s="437"/>
      <c r="M197" s="564"/>
      <c r="N197" s="557"/>
      <c r="O197" s="1852"/>
      <c r="P197" s="1852"/>
    </row>
    <row s="13661" customFormat="1" customHeight="1" ht="0.75">
      <c r="A198" s="2008"/>
      <c r="B198" s="2008"/>
      <c r="C198" s="592" t="s">
        <v>1073</v>
      </c>
      <c r="D198" s="2596"/>
      <c r="E198" s="2339"/>
      <c r="F198" s="2505"/>
      <c r="G198" s="623"/>
      <c r="H198" s="1728"/>
      <c r="I198" s="874"/>
      <c r="J198" s="794"/>
      <c r="K198" s="1728"/>
      <c r="L198" s="437"/>
      <c r="M198" s="564"/>
      <c r="N198" s="557"/>
      <c r="O198" s="1852"/>
      <c r="P198" s="1852"/>
    </row>
    <row customHeight="1" ht="26.25">
      <c r="A199" s="2008"/>
      <c r="B199" s="2008"/>
      <c r="D199" s="599"/>
      <c r="E199" s="371" t="s">
        <v>110</v>
      </c>
      <c r="F199" s="25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88"/>
      <c r="H199" s="2588"/>
      <c r="I199" s="2588"/>
      <c r="J199" s="2588"/>
      <c r="K199" s="2588"/>
      <c r="L199" s="2588"/>
      <c r="M199" s="520"/>
      <c r="N199" s="557"/>
    </row>
    <row s="13661" customFormat="1" customHeight="1" ht="60.75" hidden="1">
      <c r="A200" s="2008" t="s">
        <v>154</v>
      </c>
      <c r="B200" s="2008" t="s">
        <v>155</v>
      </c>
      <c r="C200" s="592"/>
      <c r="D200" s="2596"/>
      <c r="E200" s="2339"/>
      <c r="F200" s="250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51" t="str">
        <f>INDEX(PT_DIFFERENTIATION_NTAR,MATCH(B200,PT_DIFFERENTIATION_NTAR_ID,0))</f>
        <v/>
      </c>
      <c r="H200" s="2091"/>
      <c r="I200" s="1967"/>
      <c r="J200" s="2001"/>
      <c r="K200" s="2006"/>
      <c r="L200" s="2091" t="s">
        <v>307</v>
      </c>
      <c r="M200"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557"/>
      <c r="O200" s="1852"/>
      <c r="P200" s="1852"/>
    </row>
    <row s="13661" customFormat="1" customHeight="1" ht="18.75" hidden="1">
      <c r="A201" s="2008"/>
      <c r="B201" s="2008"/>
      <c r="C201" s="592" t="s">
        <v>1066</v>
      </c>
      <c r="D201" s="2596"/>
      <c r="E201" s="2339"/>
      <c r="F201" s="2505"/>
      <c r="G201" s="2551"/>
      <c r="H201" s="1728"/>
      <c r="I201" s="874" t="s">
        <v>1065</v>
      </c>
      <c r="J201" s="794"/>
      <c r="K201" s="1728"/>
      <c r="L201" s="437"/>
      <c r="M201" s="2299"/>
      <c r="N201" s="557"/>
      <c r="O201" s="1852"/>
      <c r="P201" s="1852"/>
    </row>
    <row s="13661" customFormat="1" customHeight="1" ht="0.75" hidden="1">
      <c r="A202" s="2008"/>
      <c r="B202" s="2008"/>
      <c r="C202" s="592" t="s">
        <v>1073</v>
      </c>
      <c r="D202" s="2596"/>
      <c r="E202" s="2339"/>
      <c r="F202" s="2505"/>
      <c r="G202" s="623"/>
      <c r="H202" s="1728"/>
      <c r="I202" s="874"/>
      <c r="J202" s="794"/>
      <c r="K202" s="1728"/>
      <c r="L202" s="437"/>
      <c r="M202" s="2299"/>
      <c r="N202" s="557"/>
      <c r="O202" s="1852"/>
      <c r="P202" s="1852"/>
    </row>
    <row s="13661" customFormat="1" customHeight="1" ht="45" hidden="1">
      <c r="A203" s="2008" t="s">
        <v>160</v>
      </c>
      <c r="B203" s="2008" t="s">
        <v>161</v>
      </c>
      <c r="C203" s="592"/>
      <c r="D203" s="2596"/>
      <c r="E203" s="2339"/>
      <c r="F203" s="250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51" t="str">
        <f>INDEX(PT_DIFFERENTIATION_NTAR,MATCH(B203,PT_DIFFERENTIATION_NTAR_ID,0))</f>
        <v/>
      </c>
      <c r="H203" s="2091"/>
      <c r="I203" s="1967"/>
      <c r="J203" s="2001"/>
      <c r="K203" s="2006"/>
      <c r="L203" s="2091" t="s">
        <v>307</v>
      </c>
      <c r="M203" s="2300"/>
      <c r="N203" s="557"/>
      <c r="O203" s="1852"/>
      <c r="P203" s="1852"/>
    </row>
    <row s="13661" customFormat="1" customHeight="1" ht="18.75" hidden="1">
      <c r="A204" s="2008"/>
      <c r="B204" s="2008"/>
      <c r="C204" s="592" t="s">
        <v>1066</v>
      </c>
      <c r="D204" s="2596"/>
      <c r="E204" s="2339"/>
      <c r="F204" s="2505"/>
      <c r="G204" s="2551"/>
      <c r="H204" s="1728"/>
      <c r="I204" s="874" t="s">
        <v>1065</v>
      </c>
      <c r="J204" s="794"/>
      <c r="K204" s="1728"/>
      <c r="L204" s="437"/>
      <c r="M204" s="2090"/>
      <c r="N204" s="557"/>
      <c r="O204" s="1852"/>
      <c r="P204" s="1852"/>
    </row>
    <row s="13661" customFormat="1" customHeight="1" ht="0.75" hidden="1">
      <c r="A205" s="2008"/>
      <c r="B205" s="2008"/>
      <c r="C205" s="592" t="s">
        <v>1073</v>
      </c>
      <c r="D205" s="2596"/>
      <c r="E205" s="2339"/>
      <c r="F205" s="2505"/>
      <c r="G205" s="623"/>
      <c r="H205" s="1728"/>
      <c r="I205" s="874"/>
      <c r="J205" s="794"/>
      <c r="K205" s="1728"/>
      <c r="L205" s="437"/>
      <c r="M205" s="564"/>
      <c r="N205" s="557"/>
      <c r="O205" s="1852"/>
      <c r="P205" s="1852"/>
    </row>
    <row s="13661" customFormat="1" customHeight="1" ht="45" hidden="1">
      <c r="A206" s="2008" t="s">
        <v>166</v>
      </c>
      <c r="B206" s="2008" t="s">
        <v>167</v>
      </c>
      <c r="C206" s="592"/>
      <c r="D206" s="2596"/>
      <c r="E206" s="2339"/>
      <c r="F206" s="250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51" t="str">
        <f>INDEX(PT_DIFFERENTIATION_NTAR,MATCH(B206,PT_DIFFERENTIATION_NTAR_ID,0))</f>
        <v/>
      </c>
      <c r="H206" s="2091"/>
      <c r="I206" s="1967"/>
      <c r="J206" s="2001"/>
      <c r="K206" s="2006"/>
      <c r="L206" s="2091" t="s">
        <v>307</v>
      </c>
      <c r="M206" s="564"/>
      <c r="N206" s="557"/>
      <c r="O206" s="1852"/>
      <c r="P206" s="1852"/>
    </row>
    <row s="13661" customFormat="1" customHeight="1" ht="18.75" hidden="1">
      <c r="A207" s="2008"/>
      <c r="B207" s="2008"/>
      <c r="C207" s="592" t="s">
        <v>1066</v>
      </c>
      <c r="D207" s="2596"/>
      <c r="E207" s="2339"/>
      <c r="F207" s="2505"/>
      <c r="G207" s="2551"/>
      <c r="H207" s="1728"/>
      <c r="I207" s="874" t="s">
        <v>1065</v>
      </c>
      <c r="J207" s="794"/>
      <c r="K207" s="1728"/>
      <c r="L207" s="437"/>
      <c r="M207" s="564"/>
      <c r="N207" s="557"/>
      <c r="O207" s="1852"/>
      <c r="P207" s="1852"/>
    </row>
    <row s="13661" customFormat="1" customHeight="1" ht="0.75" hidden="1">
      <c r="A208" s="2008"/>
      <c r="B208" s="2008"/>
      <c r="C208" s="592" t="s">
        <v>1073</v>
      </c>
      <c r="D208" s="2596"/>
      <c r="E208" s="2339"/>
      <c r="F208" s="2505"/>
      <c r="G208" s="623"/>
      <c r="H208" s="1728"/>
      <c r="I208" s="874"/>
      <c r="J208" s="794"/>
      <c r="K208" s="1728"/>
      <c r="L208" s="437"/>
      <c r="M208" s="564"/>
      <c r="N208" s="557"/>
      <c r="O208" s="1852"/>
      <c r="P208" s="1852"/>
    </row>
    <row s="13661" customFormat="1" customHeight="1" ht="45" hidden="1">
      <c r="A209" s="2008" t="s">
        <v>172</v>
      </c>
      <c r="B209" s="2008" t="s">
        <v>173</v>
      </c>
      <c r="C209" s="592"/>
      <c r="D209" s="2596"/>
      <c r="E209" s="2339"/>
      <c r="F209" s="250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51" t="str">
        <f>INDEX(PT_DIFFERENTIATION_NTAR,MATCH(B209,PT_DIFFERENTIATION_NTAR_ID,0))</f>
        <v/>
      </c>
      <c r="H209" s="2091"/>
      <c r="I209" s="1967"/>
      <c r="J209" s="2001"/>
      <c r="K209" s="2006"/>
      <c r="L209" s="2091" t="s">
        <v>307</v>
      </c>
      <c r="M209" s="564"/>
      <c r="N209" s="557"/>
      <c r="O209" s="1852"/>
      <c r="P209" s="1852"/>
    </row>
    <row s="13661" customFormat="1" customHeight="1" ht="18.75" hidden="1">
      <c r="A210" s="2008"/>
      <c r="B210" s="2008"/>
      <c r="C210" s="592" t="s">
        <v>1066</v>
      </c>
      <c r="D210" s="2596"/>
      <c r="E210" s="2339"/>
      <c r="F210" s="2505"/>
      <c r="G210" s="2551"/>
      <c r="H210" s="1728"/>
      <c r="I210" s="874" t="s">
        <v>1065</v>
      </c>
      <c r="J210" s="794"/>
      <c r="K210" s="1728"/>
      <c r="L210" s="437"/>
      <c r="M210" s="564"/>
      <c r="N210" s="557"/>
      <c r="O210" s="1852"/>
      <c r="P210" s="1852"/>
    </row>
    <row s="13661" customFormat="1" customHeight="1" ht="0.75" hidden="1">
      <c r="A211" s="2008"/>
      <c r="B211" s="2008"/>
      <c r="C211" s="592" t="s">
        <v>1073</v>
      </c>
      <c r="D211" s="2596"/>
      <c r="E211" s="2339"/>
      <c r="F211" s="2505"/>
      <c r="G211" s="623"/>
      <c r="H211" s="1728"/>
      <c r="I211" s="874"/>
      <c r="J211" s="794"/>
      <c r="K211" s="1728"/>
      <c r="L211" s="437"/>
      <c r="M211" s="564"/>
      <c r="N211" s="557"/>
      <c r="O211" s="1852"/>
      <c r="P211" s="1852"/>
    </row>
    <row s="13661" customFormat="1" customHeight="1" ht="18.75" hidden="1">
      <c r="A212" s="2008" t="s">
        <v>178</v>
      </c>
      <c r="B212" s="2008" t="s">
        <v>179</v>
      </c>
      <c r="C212" s="592"/>
      <c r="D212" s="2596"/>
      <c r="E212" s="2339"/>
      <c r="F212" s="2505" t="str">
        <f>INDEX(PT_DIFFERENTIATION_VTAR,MATCH(A212,PT_DIFFERENTIATION_VTAR_ID,0))</f>
        <v>Тарифы на услуги по передаче тепловой энергии</v>
      </c>
      <c r="G212" s="2551" t="str">
        <f>INDEX(PT_DIFFERENTIATION_NTAR,MATCH(B212,PT_DIFFERENTIATION_NTAR_ID,0))</f>
        <v/>
      </c>
      <c r="H212" s="2091"/>
      <c r="I212" s="1967"/>
      <c r="J212" s="2001"/>
      <c r="K212" s="2006"/>
      <c r="L212" s="2091" t="s">
        <v>307</v>
      </c>
      <c r="M212" s="564"/>
      <c r="N212" s="557"/>
      <c r="O212" s="1852"/>
      <c r="P212" s="1852"/>
    </row>
    <row s="13661" customFormat="1" customHeight="1" ht="18.75" hidden="1">
      <c r="A213" s="2008"/>
      <c r="B213" s="2008"/>
      <c r="C213" s="592" t="s">
        <v>1066</v>
      </c>
      <c r="D213" s="2596"/>
      <c r="E213" s="2339"/>
      <c r="F213" s="2505"/>
      <c r="G213" s="2551"/>
      <c r="H213" s="1728"/>
      <c r="I213" s="874" t="s">
        <v>1065</v>
      </c>
      <c r="J213" s="794"/>
      <c r="K213" s="1728"/>
      <c r="L213" s="437"/>
      <c r="M213" s="564"/>
      <c r="N213" s="557"/>
      <c r="O213" s="1852"/>
      <c r="P213" s="1852"/>
    </row>
    <row s="13661" customFormat="1" customHeight="1" ht="0.75" hidden="1">
      <c r="A214" s="2008"/>
      <c r="B214" s="2008"/>
      <c r="C214" s="592" t="s">
        <v>1073</v>
      </c>
      <c r="D214" s="2596"/>
      <c r="E214" s="2339"/>
      <c r="F214" s="2505"/>
      <c r="G214" s="623"/>
      <c r="H214" s="1728"/>
      <c r="I214" s="874"/>
      <c r="J214" s="794"/>
      <c r="K214" s="1728"/>
      <c r="L214" s="437"/>
      <c r="M214" s="564"/>
      <c r="N214" s="557"/>
      <c r="O214" s="1852"/>
      <c r="P214" s="1852"/>
    </row>
    <row s="13661" customFormat="1" customHeight="1" ht="18.75" hidden="1">
      <c r="A215" s="2008" t="s">
        <v>184</v>
      </c>
      <c r="B215" s="2008" t="s">
        <v>185</v>
      </c>
      <c r="C215" s="592"/>
      <c r="D215" s="2596"/>
      <c r="E215" s="2339"/>
      <c r="F215" s="2505" t="str">
        <f>INDEX(PT_DIFFERENTIATION_VTAR,MATCH(A215,PT_DIFFERENTIATION_VTAR_ID,0))</f>
        <v>Тарифы на услуги по передаче теплоносителя</v>
      </c>
      <c r="G215" s="2551" t="str">
        <f>INDEX(PT_DIFFERENTIATION_NTAR,MATCH(B215,PT_DIFFERENTIATION_NTAR_ID,0))</f>
        <v/>
      </c>
      <c r="H215" s="2091"/>
      <c r="I215" s="1967"/>
      <c r="J215" s="2001"/>
      <c r="K215" s="2006"/>
      <c r="L215" s="2091" t="s">
        <v>307</v>
      </c>
      <c r="M215" s="564"/>
      <c r="N215" s="557"/>
      <c r="O215" s="1852"/>
      <c r="P215" s="1852"/>
    </row>
    <row s="13661" customFormat="1" customHeight="1" ht="18.75" hidden="1">
      <c r="A216" s="2008"/>
      <c r="B216" s="2008"/>
      <c r="C216" s="592" t="s">
        <v>1066</v>
      </c>
      <c r="D216" s="2596"/>
      <c r="E216" s="2339"/>
      <c r="F216" s="2505"/>
      <c r="G216" s="2551"/>
      <c r="H216" s="1728"/>
      <c r="I216" s="874" t="s">
        <v>1065</v>
      </c>
      <c r="J216" s="794"/>
      <c r="K216" s="1728"/>
      <c r="L216" s="437"/>
      <c r="M216" s="564"/>
      <c r="N216" s="557"/>
      <c r="O216" s="1852"/>
      <c r="P216" s="1852"/>
    </row>
    <row s="13661" customFormat="1" customHeight="1" ht="0.75" hidden="1">
      <c r="A217" s="2008"/>
      <c r="B217" s="2008"/>
      <c r="C217" s="592" t="s">
        <v>1073</v>
      </c>
      <c r="D217" s="2596"/>
      <c r="E217" s="2339"/>
      <c r="F217" s="2505"/>
      <c r="G217" s="623"/>
      <c r="H217" s="1728"/>
      <c r="I217" s="874"/>
      <c r="J217" s="794"/>
      <c r="K217" s="1728"/>
      <c r="L217" s="437"/>
      <c r="M217" s="564"/>
      <c r="N217" s="557"/>
      <c r="O217" s="1852"/>
      <c r="P217" s="1852"/>
    </row>
    <row s="13661" customFormat="1" customHeight="1" ht="18.75" hidden="1">
      <c r="A218" s="2008" t="s">
        <v>190</v>
      </c>
      <c r="B218" s="2008" t="s">
        <v>191</v>
      </c>
      <c r="C218" s="592"/>
      <c r="D218" s="2596"/>
      <c r="E218" s="2339"/>
      <c r="F218" s="250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51" t="str">
        <f>INDEX(PT_DIFFERENTIATION_NTAR,MATCH(B218,PT_DIFFERENTIATION_NTAR_ID,0))</f>
        <v/>
      </c>
      <c r="H218" s="2091"/>
      <c r="I218" s="1967"/>
      <c r="J218" s="2001"/>
      <c r="K218" s="2006"/>
      <c r="L218" s="2091" t="s">
        <v>307</v>
      </c>
      <c r="M218" s="564"/>
      <c r="N218" s="557"/>
      <c r="O218" s="1852"/>
      <c r="P218" s="1852"/>
    </row>
    <row s="13661" customFormat="1" customHeight="1" ht="18.75" hidden="1">
      <c r="A219" s="2008"/>
      <c r="B219" s="2008"/>
      <c r="C219" s="592" t="s">
        <v>1066</v>
      </c>
      <c r="D219" s="2596"/>
      <c r="E219" s="2339"/>
      <c r="F219" s="2505"/>
      <c r="G219" s="2551"/>
      <c r="H219" s="1728"/>
      <c r="I219" s="874" t="s">
        <v>1065</v>
      </c>
      <c r="J219" s="794"/>
      <c r="K219" s="1728"/>
      <c r="L219" s="437"/>
      <c r="M219" s="564"/>
      <c r="N219" s="557"/>
      <c r="O219" s="1852"/>
      <c r="P219" s="1852"/>
    </row>
    <row s="13661" customFormat="1" customHeight="1" ht="0.75" hidden="1">
      <c r="A220" s="2008"/>
      <c r="B220" s="2008"/>
      <c r="C220" s="592" t="s">
        <v>1073</v>
      </c>
      <c r="D220" s="2596"/>
      <c r="E220" s="2339"/>
      <c r="F220" s="2505"/>
      <c r="G220" s="623"/>
      <c r="H220" s="1728"/>
      <c r="I220" s="874"/>
      <c r="J220" s="794"/>
      <c r="K220" s="1728"/>
      <c r="L220" s="437"/>
      <c r="M220" s="564"/>
      <c r="N220" s="557"/>
      <c r="O220" s="1852"/>
      <c r="P220" s="1852"/>
    </row>
    <row s="13661" customFormat="1" customHeight="1" ht="18.75" hidden="1">
      <c r="A221" s="2008" t="s">
        <v>196</v>
      </c>
      <c r="B221" s="2008" t="s">
        <v>197</v>
      </c>
      <c r="C221" s="592"/>
      <c r="D221" s="2596"/>
      <c r="E221" s="2339"/>
      <c r="F221" s="2505" t="str">
        <f>INDEX(PT_DIFFERENTIATION_VTAR,MATCH(A221,PT_DIFFERENTIATION_VTAR_ID,0))</f>
        <v>Плата за подключение (технологическое присоединение) к системе теплоснабжения</v>
      </c>
      <c r="G221" s="2551" t="str">
        <f>INDEX(PT_DIFFERENTIATION_NTAR,MATCH(B221,PT_DIFFERENTIATION_NTAR_ID,0))</f>
        <v/>
      </c>
      <c r="H221" s="2091"/>
      <c r="I221" s="1967"/>
      <c r="J221" s="2001"/>
      <c r="K221" s="2006"/>
      <c r="L221" s="2091" t="s">
        <v>307</v>
      </c>
      <c r="M221" s="564"/>
      <c r="N221" s="557"/>
      <c r="O221" s="1852"/>
      <c r="P221" s="1852"/>
    </row>
    <row s="13661" customFormat="1" customHeight="1" ht="18.75" hidden="1">
      <c r="A222" s="2008"/>
      <c r="B222" s="2008"/>
      <c r="C222" s="592" t="s">
        <v>1066</v>
      </c>
      <c r="D222" s="2596"/>
      <c r="E222" s="2339"/>
      <c r="F222" s="2505"/>
      <c r="G222" s="2551"/>
      <c r="H222" s="1728"/>
      <c r="I222" s="874" t="s">
        <v>1065</v>
      </c>
      <c r="J222" s="794"/>
      <c r="K222" s="1728"/>
      <c r="L222" s="437"/>
      <c r="M222" s="564"/>
      <c r="N222" s="557"/>
      <c r="O222" s="1852"/>
      <c r="P222" s="1852"/>
    </row>
    <row s="13661" customFormat="1" customHeight="1" ht="0.75" hidden="1">
      <c r="A223" s="2008"/>
      <c r="B223" s="2008"/>
      <c r="C223" s="592" t="s">
        <v>1073</v>
      </c>
      <c r="D223" s="2596"/>
      <c r="E223" s="2339"/>
      <c r="F223" s="2505"/>
      <c r="G223" s="623"/>
      <c r="H223" s="1728"/>
      <c r="I223" s="874"/>
      <c r="J223" s="794"/>
      <c r="K223" s="1728"/>
      <c r="L223" s="437"/>
      <c r="M223" s="564"/>
      <c r="N223" s="557"/>
      <c r="O223" s="1852"/>
      <c r="P223" s="1852"/>
    </row>
    <row s="13661" customFormat="1" customHeight="1" ht="18.75" hidden="1">
      <c r="A224" s="2008" t="s">
        <v>222</v>
      </c>
      <c r="B224" s="2008" t="s">
        <v>223</v>
      </c>
      <c r="C224" s="592"/>
      <c r="D224" s="2596"/>
      <c r="E224" s="2339"/>
      <c r="F224" s="2505" t="str">
        <f>INDEX(PT_DIFFERENTIATION_VTAR,MATCH(A224,PT_DIFFERENTIATION_VTAR_ID,0))</f>
        <v>Тариф на питьевую воду (питьевое водоснабжение)</v>
      </c>
      <c r="G224" s="2551" t="str">
        <f>INDEX(PT_DIFFERENTIATION_NTAR,MATCH(B224,PT_DIFFERENTIATION_NTAR_ID,0))</f>
        <v/>
      </c>
      <c r="H224" s="2091"/>
      <c r="I224" s="1967"/>
      <c r="J224" s="2001"/>
      <c r="K224" s="2006"/>
      <c r="L224" s="2091" t="s">
        <v>307</v>
      </c>
      <c r="M224" s="564"/>
      <c r="N224" s="557"/>
      <c r="O224" s="1852"/>
      <c r="P224" s="1852"/>
    </row>
    <row s="13661" customFormat="1" customHeight="1" ht="18.75" hidden="1">
      <c r="A225" s="2008"/>
      <c r="B225" s="2008"/>
      <c r="C225" s="592" t="s">
        <v>1066</v>
      </c>
      <c r="D225" s="2596"/>
      <c r="E225" s="2339"/>
      <c r="F225" s="2505"/>
      <c r="G225" s="2551"/>
      <c r="H225" s="1728"/>
      <c r="I225" s="874" t="s">
        <v>1065</v>
      </c>
      <c r="J225" s="794"/>
      <c r="K225" s="1728"/>
      <c r="L225" s="437"/>
      <c r="M225" s="564"/>
      <c r="N225" s="557"/>
      <c r="O225" s="1852"/>
      <c r="P225" s="1852"/>
    </row>
    <row s="13661" customFormat="1" customHeight="1" ht="0.75" hidden="1">
      <c r="A226" s="2008"/>
      <c r="B226" s="2008"/>
      <c r="C226" s="592" t="s">
        <v>1073</v>
      </c>
      <c r="D226" s="2596"/>
      <c r="E226" s="2339"/>
      <c r="F226" s="2505"/>
      <c r="G226" s="623"/>
      <c r="H226" s="1728"/>
      <c r="I226" s="874"/>
      <c r="J226" s="794"/>
      <c r="K226" s="1728"/>
      <c r="L226" s="437"/>
      <c r="M226" s="564"/>
      <c r="N226" s="557"/>
      <c r="O226" s="1852"/>
      <c r="P226" s="1852"/>
    </row>
    <row s="13661" customFormat="1" customHeight="1" ht="18.75" hidden="1">
      <c r="A227" s="2008" t="s">
        <v>227</v>
      </c>
      <c r="B227" s="2008" t="s">
        <v>228</v>
      </c>
      <c r="C227" s="592"/>
      <c r="D227" s="2596"/>
      <c r="E227" s="2339"/>
      <c r="F227" s="2505" t="str">
        <f>INDEX(PT_DIFFERENTIATION_VTAR,MATCH(A227,PT_DIFFERENTIATION_VTAR_ID,0))</f>
        <v>Тариф на техническую воду</v>
      </c>
      <c r="G227" s="2551" t="str">
        <f>INDEX(PT_DIFFERENTIATION_NTAR,MATCH(B227,PT_DIFFERENTIATION_NTAR_ID,0))</f>
        <v/>
      </c>
      <c r="H227" s="2091"/>
      <c r="I227" s="1967"/>
      <c r="J227" s="2001"/>
      <c r="K227" s="2006"/>
      <c r="L227" s="2091" t="s">
        <v>307</v>
      </c>
      <c r="M227" s="564"/>
      <c r="N227" s="557"/>
      <c r="O227" s="1852"/>
      <c r="P227" s="1852"/>
    </row>
    <row s="13661" customFormat="1" customHeight="1" ht="18.75" hidden="1">
      <c r="A228" s="2008"/>
      <c r="B228" s="2008"/>
      <c r="C228" s="592" t="s">
        <v>1066</v>
      </c>
      <c r="D228" s="2596"/>
      <c r="E228" s="2339"/>
      <c r="F228" s="2505"/>
      <c r="G228" s="2551"/>
      <c r="H228" s="1728"/>
      <c r="I228" s="874" t="s">
        <v>1065</v>
      </c>
      <c r="J228" s="794"/>
      <c r="K228" s="1728"/>
      <c r="L228" s="437"/>
      <c r="M228" s="564"/>
      <c r="N228" s="557"/>
      <c r="O228" s="1852"/>
      <c r="P228" s="1852"/>
    </row>
    <row s="13661" customFormat="1" customHeight="1" ht="0.75" hidden="1">
      <c r="A229" s="2008"/>
      <c r="B229" s="2008"/>
      <c r="C229" s="592" t="s">
        <v>1073</v>
      </c>
      <c r="D229" s="2596"/>
      <c r="E229" s="2339"/>
      <c r="F229" s="2505"/>
      <c r="G229" s="623"/>
      <c r="H229" s="1728"/>
      <c r="I229" s="874"/>
      <c r="J229" s="794"/>
      <c r="K229" s="1728"/>
      <c r="L229" s="437"/>
      <c r="M229" s="564"/>
      <c r="N229" s="557"/>
      <c r="O229" s="1852"/>
      <c r="P229" s="1852"/>
    </row>
    <row s="13661" customFormat="1" customHeight="1" ht="18.75" hidden="1">
      <c r="A230" s="2008" t="s">
        <v>232</v>
      </c>
      <c r="B230" s="2008" t="s">
        <v>233</v>
      </c>
      <c r="C230" s="592"/>
      <c r="D230" s="2596"/>
      <c r="E230" s="2339"/>
      <c r="F230" s="2505" t="str">
        <f>INDEX(PT_DIFFERENTIATION_VTAR,MATCH(A230,PT_DIFFERENTIATION_VTAR_ID,0))</f>
        <v>Тариф на транспортировку воды</v>
      </c>
      <c r="G230" s="2551" t="str">
        <f>INDEX(PT_DIFFERENTIATION_NTAR,MATCH(B230,PT_DIFFERENTIATION_NTAR_ID,0))</f>
        <v/>
      </c>
      <c r="H230" s="2091"/>
      <c r="I230" s="1967"/>
      <c r="J230" s="2001"/>
      <c r="K230" s="2006"/>
      <c r="L230" s="2091" t="s">
        <v>307</v>
      </c>
      <c r="M230" s="564"/>
      <c r="N230" s="557"/>
      <c r="O230" s="1852"/>
      <c r="P230" s="1852"/>
    </row>
    <row s="13661" customFormat="1" customHeight="1" ht="18.75" hidden="1">
      <c r="A231" s="2008"/>
      <c r="B231" s="2008"/>
      <c r="C231" s="592" t="s">
        <v>1066</v>
      </c>
      <c r="D231" s="2596"/>
      <c r="E231" s="2339"/>
      <c r="F231" s="2505"/>
      <c r="G231" s="2551"/>
      <c r="H231" s="1728"/>
      <c r="I231" s="874" t="s">
        <v>1065</v>
      </c>
      <c r="J231" s="794"/>
      <c r="K231" s="1728"/>
      <c r="L231" s="437"/>
      <c r="M231" s="564"/>
      <c r="N231" s="557"/>
      <c r="O231" s="1852"/>
      <c r="P231" s="1852"/>
    </row>
    <row s="13661" customFormat="1" customHeight="1" ht="0.75" hidden="1">
      <c r="A232" s="2008"/>
      <c r="B232" s="2008"/>
      <c r="C232" s="592" t="s">
        <v>1073</v>
      </c>
      <c r="D232" s="2596"/>
      <c r="E232" s="2339"/>
      <c r="F232" s="2505"/>
      <c r="G232" s="623"/>
      <c r="H232" s="1728"/>
      <c r="I232" s="874"/>
      <c r="J232" s="794"/>
      <c r="K232" s="1728"/>
      <c r="L232" s="437"/>
      <c r="M232" s="564"/>
      <c r="N232" s="557"/>
      <c r="O232" s="1852"/>
      <c r="P232" s="1852"/>
    </row>
    <row s="13661" customFormat="1" customHeight="1" ht="18.75" hidden="1">
      <c r="A233" s="2008" t="s">
        <v>237</v>
      </c>
      <c r="B233" s="2008" t="s">
        <v>238</v>
      </c>
      <c r="C233" s="592"/>
      <c r="D233" s="2596"/>
      <c r="E233" s="2339"/>
      <c r="F233" s="2505" t="str">
        <f>INDEX(PT_DIFFERENTIATION_VTAR,MATCH(A233,PT_DIFFERENTIATION_VTAR_ID,0))</f>
        <v>Тариф на подвоз воды</v>
      </c>
      <c r="G233" s="2551" t="str">
        <f>INDEX(PT_DIFFERENTIATION_NTAR,MATCH(B233,PT_DIFFERENTIATION_NTAR_ID,0))</f>
        <v/>
      </c>
      <c r="H233" s="2091"/>
      <c r="I233" s="1967"/>
      <c r="J233" s="2001"/>
      <c r="K233" s="2006"/>
      <c r="L233" s="2091" t="s">
        <v>307</v>
      </c>
      <c r="M233" s="564"/>
      <c r="N233" s="557"/>
      <c r="O233" s="1852"/>
      <c r="P233" s="1852"/>
    </row>
    <row s="13661" customFormat="1" customHeight="1" ht="18.75" hidden="1">
      <c r="A234" s="2008"/>
      <c r="B234" s="2008"/>
      <c r="C234" s="592" t="s">
        <v>1066</v>
      </c>
      <c r="D234" s="2596"/>
      <c r="E234" s="2339"/>
      <c r="F234" s="2505"/>
      <c r="G234" s="2551"/>
      <c r="H234" s="1728"/>
      <c r="I234" s="874" t="s">
        <v>1065</v>
      </c>
      <c r="J234" s="794"/>
      <c r="K234" s="1728"/>
      <c r="L234" s="437"/>
      <c r="M234" s="564"/>
      <c r="N234" s="557"/>
      <c r="O234" s="1852"/>
      <c r="P234" s="1852"/>
    </row>
    <row s="13661" customFormat="1" customHeight="1" ht="0.75" hidden="1">
      <c r="A235" s="2008"/>
      <c r="B235" s="2008"/>
      <c r="C235" s="592" t="s">
        <v>1073</v>
      </c>
      <c r="D235" s="2596"/>
      <c r="E235" s="2339"/>
      <c r="F235" s="2505"/>
      <c r="G235" s="623"/>
      <c r="H235" s="1728"/>
      <c r="I235" s="874"/>
      <c r="J235" s="794"/>
      <c r="K235" s="1728"/>
      <c r="L235" s="437"/>
      <c r="M235" s="564"/>
      <c r="N235" s="557"/>
      <c r="O235" s="1852"/>
      <c r="P235" s="1852"/>
    </row>
    <row s="13661" customFormat="1" customHeight="1" ht="18.75" hidden="1">
      <c r="A236" s="2008" t="s">
        <v>242</v>
      </c>
      <c r="B236" s="2008" t="s">
        <v>243</v>
      </c>
      <c r="C236" s="592"/>
      <c r="D236" s="2596"/>
      <c r="E236" s="2339"/>
      <c r="F236" s="250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51" t="str">
        <f>INDEX(PT_DIFFERENTIATION_NTAR,MATCH(B236,PT_DIFFERENTIATION_NTAR_ID,0))</f>
        <v/>
      </c>
      <c r="H236" s="2091"/>
      <c r="I236" s="1967"/>
      <c r="J236" s="2001"/>
      <c r="K236" s="2006"/>
      <c r="L236" s="2091" t="s">
        <v>307</v>
      </c>
      <c r="M236" s="564"/>
      <c r="N236" s="557"/>
      <c r="O236" s="1852"/>
      <c r="P236" s="1852"/>
    </row>
    <row s="13661" customFormat="1" customHeight="1" ht="18.75" hidden="1">
      <c r="A237" s="2008"/>
      <c r="B237" s="2008"/>
      <c r="C237" s="592" t="s">
        <v>1066</v>
      </c>
      <c r="D237" s="2596"/>
      <c r="E237" s="2339"/>
      <c r="F237" s="2505"/>
      <c r="G237" s="2551"/>
      <c r="H237" s="1728"/>
      <c r="I237" s="874" t="s">
        <v>1065</v>
      </c>
      <c r="J237" s="794"/>
      <c r="K237" s="1728"/>
      <c r="L237" s="437"/>
      <c r="M237" s="564"/>
      <c r="N237" s="557"/>
      <c r="O237" s="1852"/>
      <c r="P237" s="1852"/>
    </row>
    <row s="13661" customFormat="1" customHeight="1" ht="0.75" hidden="1">
      <c r="A238" s="2008"/>
      <c r="B238" s="2008"/>
      <c r="C238" s="592" t="s">
        <v>1073</v>
      </c>
      <c r="D238" s="2596"/>
      <c r="E238" s="2339"/>
      <c r="F238" s="2505"/>
      <c r="G238" s="623"/>
      <c r="H238" s="1728"/>
      <c r="I238" s="874"/>
      <c r="J238" s="794"/>
      <c r="K238" s="1728"/>
      <c r="L238" s="437"/>
      <c r="M238" s="564"/>
      <c r="N238" s="557"/>
      <c r="O238" s="1852"/>
      <c r="P238" s="1852"/>
    </row>
    <row s="13661" customFormat="1" customHeight="1" ht="18.75" hidden="1">
      <c r="A239" s="2008" t="s">
        <v>248</v>
      </c>
      <c r="B239" s="2008" t="s">
        <v>249</v>
      </c>
      <c r="C239" s="592"/>
      <c r="D239" s="2596"/>
      <c r="E239" s="2339"/>
      <c r="F239" s="2505" t="str">
        <f>INDEX(PT_DIFFERENTIATION_VTAR,MATCH(A239,PT_DIFFERENTIATION_VTAR_ID,0))</f>
        <v>Тариф на горячую воду (горячее водоснабжение)</v>
      </c>
      <c r="G239" s="2551" t="str">
        <f>INDEX(PT_DIFFERENTIATION_NTAR,MATCH(B239,PT_DIFFERENTIATION_NTAR_ID,0))</f>
        <v/>
      </c>
      <c r="H239" s="2091"/>
      <c r="I239" s="1967"/>
      <c r="J239" s="2001"/>
      <c r="K239" s="2006"/>
      <c r="L239" s="2091" t="s">
        <v>307</v>
      </c>
      <c r="M239" s="564"/>
      <c r="N239" s="557"/>
      <c r="O239" s="1852"/>
      <c r="P239" s="1852"/>
    </row>
    <row s="13661" customFormat="1" customHeight="1" ht="18.75" hidden="1">
      <c r="A240" s="2008"/>
      <c r="B240" s="2008"/>
      <c r="C240" s="592" t="s">
        <v>1066</v>
      </c>
      <c r="D240" s="2596"/>
      <c r="E240" s="2339"/>
      <c r="F240" s="2505"/>
      <c r="G240" s="2551"/>
      <c r="H240" s="1728"/>
      <c r="I240" s="874" t="s">
        <v>1065</v>
      </c>
      <c r="J240" s="794"/>
      <c r="K240" s="1728"/>
      <c r="L240" s="437"/>
      <c r="M240" s="564"/>
      <c r="N240" s="557"/>
      <c r="O240" s="1852"/>
      <c r="P240" s="1852"/>
    </row>
    <row s="13661" customFormat="1" customHeight="1" ht="0.75" hidden="1">
      <c r="A241" s="2008"/>
      <c r="B241" s="2008"/>
      <c r="C241" s="592" t="s">
        <v>1073</v>
      </c>
      <c r="D241" s="2596"/>
      <c r="E241" s="2339"/>
      <c r="F241" s="2505"/>
      <c r="G241" s="623"/>
      <c r="H241" s="1728"/>
      <c r="I241" s="874"/>
      <c r="J241" s="794"/>
      <c r="K241" s="1728"/>
      <c r="L241" s="437"/>
      <c r="M241" s="564"/>
      <c r="N241" s="557"/>
      <c r="O241" s="1852"/>
      <c r="P241" s="1852"/>
    </row>
    <row s="13661" customFormat="1" customHeight="1" ht="18.75" hidden="1">
      <c r="A242" s="2008" t="s">
        <v>256</v>
      </c>
      <c r="B242" s="2008" t="s">
        <v>257</v>
      </c>
      <c r="C242" s="592"/>
      <c r="D242" s="2596"/>
      <c r="E242" s="2339"/>
      <c r="F242" s="2505" t="str">
        <f>INDEX(PT_DIFFERENTIATION_VTAR,MATCH(A242,PT_DIFFERENTIATION_VTAR_ID,0))</f>
        <v>Тариф на транспортировку горячей воды</v>
      </c>
      <c r="G242" s="2551" t="str">
        <f>INDEX(PT_DIFFERENTIATION_NTAR,MATCH(B242,PT_DIFFERENTIATION_NTAR_ID,0))</f>
        <v/>
      </c>
      <c r="H242" s="2091"/>
      <c r="I242" s="1967"/>
      <c r="J242" s="2001"/>
      <c r="K242" s="2006"/>
      <c r="L242" s="2091" t="s">
        <v>307</v>
      </c>
      <c r="M242" s="564"/>
      <c r="N242" s="557"/>
      <c r="O242" s="1852"/>
      <c r="P242" s="1852"/>
    </row>
    <row s="13661" customFormat="1" customHeight="1" ht="18.75" hidden="1">
      <c r="A243" s="2008"/>
      <c r="B243" s="2008"/>
      <c r="C243" s="592" t="s">
        <v>1066</v>
      </c>
      <c r="D243" s="2596"/>
      <c r="E243" s="2339"/>
      <c r="F243" s="2505"/>
      <c r="G243" s="2551"/>
      <c r="H243" s="1728"/>
      <c r="I243" s="874" t="s">
        <v>1065</v>
      </c>
      <c r="J243" s="794"/>
      <c r="K243" s="1728"/>
      <c r="L243" s="437"/>
      <c r="M243" s="564"/>
      <c r="N243" s="557"/>
      <c r="O243" s="1852"/>
      <c r="P243" s="1852"/>
    </row>
    <row s="13661" customFormat="1" customHeight="1" ht="0.75" hidden="1">
      <c r="A244" s="2008"/>
      <c r="B244" s="2008"/>
      <c r="C244" s="592" t="s">
        <v>1073</v>
      </c>
      <c r="D244" s="2596"/>
      <c r="E244" s="2339"/>
      <c r="F244" s="2505"/>
      <c r="G244" s="623"/>
      <c r="H244" s="1728"/>
      <c r="I244" s="874"/>
      <c r="J244" s="794"/>
      <c r="K244" s="1728"/>
      <c r="L244" s="437"/>
      <c r="M244" s="564"/>
      <c r="N244" s="557"/>
      <c r="O244" s="1852"/>
      <c r="P244" s="1852"/>
    </row>
    <row s="13661" customFormat="1" customHeight="1" ht="18.75" hidden="1">
      <c r="A245" s="2008" t="s">
        <v>261</v>
      </c>
      <c r="B245" s="2008" t="s">
        <v>262</v>
      </c>
      <c r="C245" s="592"/>
      <c r="D245" s="2596"/>
      <c r="E245" s="2339"/>
      <c r="F245" s="250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51" t="str">
        <f>INDEX(PT_DIFFERENTIATION_NTAR,MATCH(B245,PT_DIFFERENTIATION_NTAR_ID,0))</f>
        <v/>
      </c>
      <c r="H245" s="2091"/>
      <c r="I245" s="1967"/>
      <c r="J245" s="2001"/>
      <c r="K245" s="2006"/>
      <c r="L245" s="2091" t="s">
        <v>307</v>
      </c>
      <c r="M245" s="564"/>
      <c r="N245" s="557"/>
      <c r="O245" s="1852"/>
      <c r="P245" s="1852"/>
    </row>
    <row s="13661" customFormat="1" customHeight="1" ht="18.75" hidden="1">
      <c r="A246" s="2008"/>
      <c r="B246" s="2008"/>
      <c r="C246" s="592" t="s">
        <v>1066</v>
      </c>
      <c r="D246" s="2596"/>
      <c r="E246" s="2339"/>
      <c r="F246" s="2505"/>
      <c r="G246" s="2551"/>
      <c r="H246" s="1728"/>
      <c r="I246" s="874" t="s">
        <v>1065</v>
      </c>
      <c r="J246" s="794"/>
      <c r="K246" s="1728"/>
      <c r="L246" s="437"/>
      <c r="M246" s="564"/>
      <c r="N246" s="557"/>
      <c r="O246" s="1852"/>
      <c r="P246" s="1852"/>
    </row>
    <row s="13661" customFormat="1" customHeight="1" ht="0.75" hidden="1">
      <c r="A247" s="2008"/>
      <c r="B247" s="2008"/>
      <c r="C247" s="592" t="s">
        <v>1073</v>
      </c>
      <c r="D247" s="2596"/>
      <c r="E247" s="2339"/>
      <c r="F247" s="2505"/>
      <c r="G247" s="623"/>
      <c r="H247" s="1728"/>
      <c r="I247" s="874"/>
      <c r="J247" s="794"/>
      <c r="K247" s="1728"/>
      <c r="L247" s="437"/>
      <c r="M247" s="564"/>
      <c r="N247" s="557"/>
      <c r="O247" s="1852"/>
      <c r="P247" s="1852"/>
    </row>
    <row s="13661" customFormat="1" customHeight="1" ht="18.75" hidden="1">
      <c r="A248" s="2008" t="s">
        <v>266</v>
      </c>
      <c r="B248" s="2008" t="s">
        <v>267</v>
      </c>
      <c r="C248" s="592"/>
      <c r="D248" s="2596"/>
      <c r="E248" s="2339"/>
      <c r="F248" s="2505" t="str">
        <f>INDEX(PT_DIFFERENTIATION_VTAR,MATCH(A248,PT_DIFFERENTIATION_VTAR_ID,0))</f>
        <v>Тариф на водоотведение</v>
      </c>
      <c r="G248" s="2551" t="str">
        <f>INDEX(PT_DIFFERENTIATION_NTAR,MATCH(B248,PT_DIFFERENTIATION_NTAR_ID,0))</f>
        <v/>
      </c>
      <c r="H248" s="2091"/>
      <c r="I248" s="1967"/>
      <c r="J248" s="2001"/>
      <c r="K248" s="2006"/>
      <c r="L248" s="2091" t="s">
        <v>307</v>
      </c>
      <c r="M248" s="564"/>
      <c r="N248" s="557"/>
      <c r="O248" s="1852"/>
      <c r="P248" s="1852"/>
    </row>
    <row s="13661" customFormat="1" customHeight="1" ht="18.75" hidden="1">
      <c r="A249" s="2008"/>
      <c r="B249" s="2008"/>
      <c r="C249" s="592" t="s">
        <v>1066</v>
      </c>
      <c r="D249" s="2596"/>
      <c r="E249" s="2339"/>
      <c r="F249" s="2505"/>
      <c r="G249" s="2551"/>
      <c r="H249" s="1728"/>
      <c r="I249" s="874" t="s">
        <v>1065</v>
      </c>
      <c r="J249" s="794"/>
      <c r="K249" s="1728"/>
      <c r="L249" s="437"/>
      <c r="M249" s="564"/>
      <c r="N249" s="557"/>
      <c r="O249" s="1852"/>
      <c r="P249" s="1852"/>
    </row>
    <row s="13661" customFormat="1" customHeight="1" ht="0.75" hidden="1">
      <c r="A250" s="2008"/>
      <c r="B250" s="2008"/>
      <c r="C250" s="592" t="s">
        <v>1073</v>
      </c>
      <c r="D250" s="2596"/>
      <c r="E250" s="2339"/>
      <c r="F250" s="2505"/>
      <c r="G250" s="623"/>
      <c r="H250" s="1728"/>
      <c r="I250" s="874"/>
      <c r="J250" s="794"/>
      <c r="K250" s="1728"/>
      <c r="L250" s="437"/>
      <c r="M250" s="564"/>
      <c r="N250" s="557"/>
      <c r="O250" s="1852"/>
      <c r="P250" s="1852"/>
    </row>
    <row s="13661" customFormat="1" customHeight="1" ht="18.75" hidden="1">
      <c r="A251" s="2008" t="s">
        <v>271</v>
      </c>
      <c r="B251" s="2008" t="s">
        <v>272</v>
      </c>
      <c r="C251" s="592"/>
      <c r="D251" s="2596"/>
      <c r="E251" s="2339"/>
      <c r="F251" s="2505" t="str">
        <f>INDEX(PT_DIFFERENTIATION_VTAR,MATCH(A251,PT_DIFFERENTIATION_VTAR_ID,0))</f>
        <v>Тариф на транспортировку сточных вод</v>
      </c>
      <c r="G251" s="2551" t="str">
        <f>INDEX(PT_DIFFERENTIATION_NTAR,MATCH(B251,PT_DIFFERENTIATION_NTAR_ID,0))</f>
        <v/>
      </c>
      <c r="H251" s="2091"/>
      <c r="I251" s="1967"/>
      <c r="J251" s="2001"/>
      <c r="K251" s="2006"/>
      <c r="L251" s="2091" t="s">
        <v>307</v>
      </c>
      <c r="M251" s="564"/>
      <c r="N251" s="557"/>
      <c r="O251" s="1852"/>
      <c r="P251" s="1852"/>
    </row>
    <row s="13661" customFormat="1" customHeight="1" ht="18.75" hidden="1">
      <c r="A252" s="2008"/>
      <c r="B252" s="2008"/>
      <c r="C252" s="592" t="s">
        <v>1066</v>
      </c>
      <c r="D252" s="2596"/>
      <c r="E252" s="2339"/>
      <c r="F252" s="2505"/>
      <c r="G252" s="2551"/>
      <c r="H252" s="1728"/>
      <c r="I252" s="874" t="s">
        <v>1065</v>
      </c>
      <c r="J252" s="794"/>
      <c r="K252" s="1728"/>
      <c r="L252" s="437"/>
      <c r="M252" s="564"/>
      <c r="N252" s="557"/>
      <c r="O252" s="1852"/>
      <c r="P252" s="1852"/>
    </row>
    <row s="13661" customFormat="1" customHeight="1" ht="0.75" hidden="1">
      <c r="A253" s="2008"/>
      <c r="B253" s="2008"/>
      <c r="C253" s="592" t="s">
        <v>1073</v>
      </c>
      <c r="D253" s="2596"/>
      <c r="E253" s="2339"/>
      <c r="F253" s="2505"/>
      <c r="G253" s="623"/>
      <c r="H253" s="1728"/>
      <c r="I253" s="874"/>
      <c r="J253" s="794"/>
      <c r="K253" s="1728"/>
      <c r="L253" s="437"/>
      <c r="M253" s="564"/>
      <c r="N253" s="557"/>
      <c r="O253" s="1852"/>
      <c r="P253" s="1852"/>
    </row>
    <row s="13661" customFormat="1" customHeight="1" ht="18.75" hidden="1">
      <c r="A254" s="2008" t="s">
        <v>276</v>
      </c>
      <c r="B254" s="2008" t="s">
        <v>277</v>
      </c>
      <c r="C254" s="592"/>
      <c r="D254" s="2596"/>
      <c r="E254" s="2339"/>
      <c r="F254" s="2505" t="str">
        <f>INDEX(PT_DIFFERENTIATION_VTAR,MATCH(A254,PT_DIFFERENTIATION_VTAR_ID,0))</f>
        <v>Тариф на подключение (технологическое присоединение) к централизованной системе водоотведения</v>
      </c>
      <c r="G254" s="2551" t="str">
        <f>INDEX(PT_DIFFERENTIATION_NTAR,MATCH(B254,PT_DIFFERENTIATION_NTAR_ID,0))</f>
        <v/>
      </c>
      <c r="H254" s="2091"/>
      <c r="I254" s="1967"/>
      <c r="J254" s="2001"/>
      <c r="K254" s="2006"/>
      <c r="L254" s="2091" t="s">
        <v>307</v>
      </c>
      <c r="M254" s="564"/>
      <c r="N254" s="557"/>
      <c r="O254" s="1852"/>
      <c r="P254" s="1852"/>
    </row>
    <row s="13661" customFormat="1" customHeight="1" ht="18.75" hidden="1">
      <c r="A255" s="2008"/>
      <c r="B255" s="2008"/>
      <c r="C255" s="592" t="s">
        <v>1066</v>
      </c>
      <c r="D255" s="2596"/>
      <c r="E255" s="2339"/>
      <c r="F255" s="2505"/>
      <c r="G255" s="2551"/>
      <c r="H255" s="1728"/>
      <c r="I255" s="874" t="s">
        <v>1065</v>
      </c>
      <c r="J255" s="794"/>
      <c r="K255" s="1728"/>
      <c r="L255" s="437"/>
      <c r="M255" s="564"/>
      <c r="N255" s="557"/>
      <c r="O255" s="1852"/>
      <c r="P255" s="1852"/>
    </row>
    <row s="13661" customFormat="1" customHeight="1" ht="0.75">
      <c r="A256" s="2008"/>
      <c r="B256" s="2008"/>
      <c r="C256" s="592" t="s">
        <v>1073</v>
      </c>
      <c r="D256" s="2596"/>
      <c r="E256" s="2339"/>
      <c r="F256" s="2505"/>
      <c r="G256" s="623"/>
      <c r="H256" s="1728"/>
      <c r="I256" s="874"/>
      <c r="J256" s="794"/>
      <c r="K256" s="1728"/>
      <c r="L256" s="437"/>
      <c r="M256" s="564"/>
      <c r="N256" s="557"/>
      <c r="O256" s="1852"/>
      <c r="P256" s="1852"/>
    </row>
    <row customHeight="1" ht="25.5">
      <c r="A257" s="2008"/>
      <c r="B257" s="2008"/>
      <c r="D257" s="599"/>
      <c r="E257" s="371" t="s">
        <v>91</v>
      </c>
      <c r="F257" s="25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88"/>
      <c r="H257" s="2588"/>
      <c r="I257" s="2588"/>
      <c r="J257" s="2588"/>
      <c r="K257" s="2588"/>
      <c r="L257" s="2588"/>
      <c r="M257" s="520"/>
      <c r="N257" s="557"/>
    </row>
    <row s="13661" customFormat="1" customHeight="1" ht="60.75" hidden="1">
      <c r="A258" s="2008" t="s">
        <v>154</v>
      </c>
      <c r="B258" s="2008" t="s">
        <v>155</v>
      </c>
      <c r="C258" s="592"/>
      <c r="D258" s="2596"/>
      <c r="E258" s="2339"/>
      <c r="F258" s="250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51" t="str">
        <f>INDEX(PT_DIFFERENTIATION_NTAR,MATCH(B258,PT_DIFFERENTIATION_NTAR_ID,0))</f>
        <v/>
      </c>
      <c r="H258" s="2091"/>
      <c r="I258" s="1967"/>
      <c r="J258" s="2001"/>
      <c r="K258" s="2006"/>
      <c r="L258" s="2091" t="s">
        <v>307</v>
      </c>
      <c r="M258"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557"/>
      <c r="O258" s="1852"/>
      <c r="P258" s="1852"/>
    </row>
    <row s="13661" customFormat="1" customHeight="1" ht="18.75" hidden="1">
      <c r="A259" s="2008"/>
      <c r="B259" s="2008"/>
      <c r="C259" s="592" t="s">
        <v>1066</v>
      </c>
      <c r="D259" s="2596"/>
      <c r="E259" s="2339"/>
      <c r="F259" s="2505"/>
      <c r="G259" s="2551"/>
      <c r="H259" s="1728"/>
      <c r="I259" s="874" t="s">
        <v>1065</v>
      </c>
      <c r="J259" s="794"/>
      <c r="K259" s="1728"/>
      <c r="L259" s="437"/>
      <c r="M259" s="2299"/>
      <c r="N259" s="557"/>
      <c r="O259" s="1852"/>
      <c r="P259" s="1852"/>
    </row>
    <row s="13661" customFormat="1" customHeight="1" ht="0.75" hidden="1">
      <c r="A260" s="2008"/>
      <c r="B260" s="2008"/>
      <c r="C260" s="592" t="s">
        <v>1073</v>
      </c>
      <c r="D260" s="2596"/>
      <c r="E260" s="2339"/>
      <c r="F260" s="2505"/>
      <c r="G260" s="623"/>
      <c r="H260" s="1728"/>
      <c r="I260" s="874"/>
      <c r="J260" s="794"/>
      <c r="K260" s="1728"/>
      <c r="L260" s="437"/>
      <c r="M260" s="2299"/>
      <c r="N260" s="557"/>
      <c r="O260" s="1852"/>
      <c r="P260" s="1852"/>
    </row>
    <row s="13661" customFormat="1" customHeight="1" ht="45" hidden="1">
      <c r="A261" s="2008" t="s">
        <v>160</v>
      </c>
      <c r="B261" s="2008" t="s">
        <v>161</v>
      </c>
      <c r="C261" s="592"/>
      <c r="D261" s="2596"/>
      <c r="E261" s="2339"/>
      <c r="F261" s="250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51" t="str">
        <f>INDEX(PT_DIFFERENTIATION_NTAR,MATCH(B261,PT_DIFFERENTIATION_NTAR_ID,0))</f>
        <v/>
      </c>
      <c r="H261" s="2091"/>
      <c r="I261" s="1967"/>
      <c r="J261" s="2001"/>
      <c r="K261" s="2006"/>
      <c r="L261" s="2091" t="s">
        <v>307</v>
      </c>
      <c r="M261" s="2300"/>
      <c r="N261" s="557"/>
      <c r="O261" s="1852"/>
      <c r="P261" s="1852"/>
    </row>
    <row s="13661" customFormat="1" customHeight="1" ht="18.75" hidden="1">
      <c r="A262" s="2008"/>
      <c r="B262" s="2008"/>
      <c r="C262" s="592" t="s">
        <v>1066</v>
      </c>
      <c r="D262" s="2596"/>
      <c r="E262" s="2339"/>
      <c r="F262" s="2505"/>
      <c r="G262" s="2551"/>
      <c r="H262" s="1728"/>
      <c r="I262" s="874" t="s">
        <v>1065</v>
      </c>
      <c r="J262" s="794"/>
      <c r="K262" s="1728"/>
      <c r="L262" s="437"/>
      <c r="M262" s="2090"/>
      <c r="N262" s="557"/>
      <c r="O262" s="1852"/>
      <c r="P262" s="1852"/>
    </row>
    <row s="13661" customFormat="1" customHeight="1" ht="0.75" hidden="1">
      <c r="A263" s="2008"/>
      <c r="B263" s="2008"/>
      <c r="C263" s="592" t="s">
        <v>1073</v>
      </c>
      <c r="D263" s="2596"/>
      <c r="E263" s="2339"/>
      <c r="F263" s="2505"/>
      <c r="G263" s="623"/>
      <c r="H263" s="1728"/>
      <c r="I263" s="874"/>
      <c r="J263" s="794"/>
      <c r="K263" s="1728"/>
      <c r="L263" s="437"/>
      <c r="M263" s="564"/>
      <c r="N263" s="557"/>
      <c r="O263" s="1852"/>
      <c r="P263" s="1852"/>
    </row>
    <row s="13661" customFormat="1" customHeight="1" ht="45" hidden="1">
      <c r="A264" s="2008" t="s">
        <v>166</v>
      </c>
      <c r="B264" s="2008" t="s">
        <v>167</v>
      </c>
      <c r="C264" s="592"/>
      <c r="D264" s="2596"/>
      <c r="E264" s="2339"/>
      <c r="F264" s="250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51" t="str">
        <f>INDEX(PT_DIFFERENTIATION_NTAR,MATCH(B264,PT_DIFFERENTIATION_NTAR_ID,0))</f>
        <v/>
      </c>
      <c r="H264" s="2091"/>
      <c r="I264" s="1967"/>
      <c r="J264" s="2001"/>
      <c r="K264" s="2006"/>
      <c r="L264" s="2091" t="s">
        <v>307</v>
      </c>
      <c r="M264" s="564"/>
      <c r="N264" s="557"/>
      <c r="O264" s="1852"/>
      <c r="P264" s="1852"/>
    </row>
    <row s="13661" customFormat="1" customHeight="1" ht="18.75" hidden="1">
      <c r="A265" s="2008"/>
      <c r="B265" s="2008"/>
      <c r="C265" s="592" t="s">
        <v>1066</v>
      </c>
      <c r="D265" s="2596"/>
      <c r="E265" s="2339"/>
      <c r="F265" s="2505"/>
      <c r="G265" s="2551"/>
      <c r="H265" s="1728"/>
      <c r="I265" s="874" t="s">
        <v>1065</v>
      </c>
      <c r="J265" s="794"/>
      <c r="K265" s="1728"/>
      <c r="L265" s="437"/>
      <c r="M265" s="564"/>
      <c r="N265" s="557"/>
      <c r="O265" s="1852"/>
      <c r="P265" s="1852"/>
    </row>
    <row s="13661" customFormat="1" customHeight="1" ht="0.75" hidden="1">
      <c r="A266" s="2008"/>
      <c r="B266" s="2008"/>
      <c r="C266" s="592" t="s">
        <v>1073</v>
      </c>
      <c r="D266" s="2596"/>
      <c r="E266" s="2339"/>
      <c r="F266" s="2505"/>
      <c r="G266" s="623"/>
      <c r="H266" s="1728"/>
      <c r="I266" s="874"/>
      <c r="J266" s="794"/>
      <c r="K266" s="1728"/>
      <c r="L266" s="437"/>
      <c r="M266" s="564"/>
      <c r="N266" s="557"/>
      <c r="O266" s="1852"/>
      <c r="P266" s="1852"/>
    </row>
    <row s="13661" customFormat="1" customHeight="1" ht="45" hidden="1">
      <c r="A267" s="2008" t="s">
        <v>172</v>
      </c>
      <c r="B267" s="2008" t="s">
        <v>173</v>
      </c>
      <c r="C267" s="592"/>
      <c r="D267" s="2596"/>
      <c r="E267" s="2339"/>
      <c r="F267" s="250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51" t="str">
        <f>INDEX(PT_DIFFERENTIATION_NTAR,MATCH(B267,PT_DIFFERENTIATION_NTAR_ID,0))</f>
        <v/>
      </c>
      <c r="H267" s="2091"/>
      <c r="I267" s="1967"/>
      <c r="J267" s="2001"/>
      <c r="K267" s="2006"/>
      <c r="L267" s="2091" t="s">
        <v>307</v>
      </c>
      <c r="M267" s="564"/>
      <c r="N267" s="557"/>
      <c r="O267" s="1852"/>
      <c r="P267" s="1852"/>
    </row>
    <row s="13661" customFormat="1" customHeight="1" ht="18.75" hidden="1">
      <c r="A268" s="2008"/>
      <c r="B268" s="2008"/>
      <c r="C268" s="592" t="s">
        <v>1066</v>
      </c>
      <c r="D268" s="2596"/>
      <c r="E268" s="2339"/>
      <c r="F268" s="2505"/>
      <c r="G268" s="2551"/>
      <c r="H268" s="1728"/>
      <c r="I268" s="874" t="s">
        <v>1065</v>
      </c>
      <c r="J268" s="794"/>
      <c r="K268" s="1728"/>
      <c r="L268" s="437"/>
      <c r="M268" s="564"/>
      <c r="N268" s="557"/>
      <c r="O268" s="1852"/>
      <c r="P268" s="1852"/>
    </row>
    <row s="13661" customFormat="1" customHeight="1" ht="0.75" hidden="1">
      <c r="A269" s="2008"/>
      <c r="B269" s="2008"/>
      <c r="C269" s="592" t="s">
        <v>1073</v>
      </c>
      <c r="D269" s="2596"/>
      <c r="E269" s="2339"/>
      <c r="F269" s="2505"/>
      <c r="G269" s="623"/>
      <c r="H269" s="1728"/>
      <c r="I269" s="874"/>
      <c r="J269" s="794"/>
      <c r="K269" s="1728"/>
      <c r="L269" s="437"/>
      <c r="M269" s="564"/>
      <c r="N269" s="557"/>
      <c r="O269" s="1852"/>
      <c r="P269" s="1852"/>
    </row>
    <row s="13661" customFormat="1" customHeight="1" ht="18.75" hidden="1">
      <c r="A270" s="2008" t="s">
        <v>178</v>
      </c>
      <c r="B270" s="2008" t="s">
        <v>179</v>
      </c>
      <c r="C270" s="592"/>
      <c r="D270" s="2596"/>
      <c r="E270" s="2339"/>
      <c r="F270" s="2505" t="str">
        <f>INDEX(PT_DIFFERENTIATION_VTAR,MATCH(A270,PT_DIFFERENTIATION_VTAR_ID,0))</f>
        <v>Тарифы на услуги по передаче тепловой энергии</v>
      </c>
      <c r="G270" s="2551" t="str">
        <f>INDEX(PT_DIFFERENTIATION_NTAR,MATCH(B270,PT_DIFFERENTIATION_NTAR_ID,0))</f>
        <v/>
      </c>
      <c r="H270" s="2091"/>
      <c r="I270" s="1967"/>
      <c r="J270" s="2001"/>
      <c r="K270" s="2006"/>
      <c r="L270" s="2091" t="s">
        <v>307</v>
      </c>
      <c r="M270" s="564"/>
      <c r="N270" s="557"/>
      <c r="O270" s="1852"/>
      <c r="P270" s="1852"/>
    </row>
    <row s="13661" customFormat="1" customHeight="1" ht="18.75" hidden="1">
      <c r="A271" s="2008"/>
      <c r="B271" s="2008"/>
      <c r="C271" s="592" t="s">
        <v>1066</v>
      </c>
      <c r="D271" s="2596"/>
      <c r="E271" s="2339"/>
      <c r="F271" s="2505"/>
      <c r="G271" s="2551"/>
      <c r="H271" s="1728"/>
      <c r="I271" s="874" t="s">
        <v>1065</v>
      </c>
      <c r="J271" s="794"/>
      <c r="K271" s="1728"/>
      <c r="L271" s="437"/>
      <c r="M271" s="564"/>
      <c r="N271" s="557"/>
      <c r="O271" s="1852"/>
      <c r="P271" s="1852"/>
    </row>
    <row s="13661" customFormat="1" customHeight="1" ht="0.75" hidden="1">
      <c r="A272" s="2008"/>
      <c r="B272" s="2008"/>
      <c r="C272" s="592" t="s">
        <v>1073</v>
      </c>
      <c r="D272" s="2596"/>
      <c r="E272" s="2339"/>
      <c r="F272" s="2505"/>
      <c r="G272" s="623"/>
      <c r="H272" s="1728"/>
      <c r="I272" s="874"/>
      <c r="J272" s="794"/>
      <c r="K272" s="1728"/>
      <c r="L272" s="437"/>
      <c r="M272" s="564"/>
      <c r="N272" s="557"/>
      <c r="O272" s="1852"/>
      <c r="P272" s="1852"/>
    </row>
    <row s="13661" customFormat="1" customHeight="1" ht="18.75" hidden="1">
      <c r="A273" s="2008" t="s">
        <v>184</v>
      </c>
      <c r="B273" s="2008" t="s">
        <v>185</v>
      </c>
      <c r="C273" s="592"/>
      <c r="D273" s="2596"/>
      <c r="E273" s="2339"/>
      <c r="F273" s="2505" t="str">
        <f>INDEX(PT_DIFFERENTIATION_VTAR,MATCH(A273,PT_DIFFERENTIATION_VTAR_ID,0))</f>
        <v>Тарифы на услуги по передаче теплоносителя</v>
      </c>
      <c r="G273" s="2551" t="str">
        <f>INDEX(PT_DIFFERENTIATION_NTAR,MATCH(B273,PT_DIFFERENTIATION_NTAR_ID,0))</f>
        <v/>
      </c>
      <c r="H273" s="2091"/>
      <c r="I273" s="1967"/>
      <c r="J273" s="2001"/>
      <c r="K273" s="2006"/>
      <c r="L273" s="2091" t="s">
        <v>307</v>
      </c>
      <c r="M273" s="564"/>
      <c r="N273" s="557"/>
      <c r="O273" s="1852"/>
      <c r="P273" s="1852"/>
    </row>
    <row s="13661" customFormat="1" customHeight="1" ht="18.75" hidden="1">
      <c r="A274" s="2008"/>
      <c r="B274" s="2008"/>
      <c r="C274" s="592" t="s">
        <v>1066</v>
      </c>
      <c r="D274" s="2596"/>
      <c r="E274" s="2339"/>
      <c r="F274" s="2505"/>
      <c r="G274" s="2551"/>
      <c r="H274" s="1728"/>
      <c r="I274" s="874" t="s">
        <v>1065</v>
      </c>
      <c r="J274" s="794"/>
      <c r="K274" s="1728"/>
      <c r="L274" s="437"/>
      <c r="M274" s="564"/>
      <c r="N274" s="557"/>
      <c r="O274" s="1852"/>
      <c r="P274" s="1852"/>
    </row>
    <row s="13661" customFormat="1" customHeight="1" ht="0.75" hidden="1">
      <c r="A275" s="2008"/>
      <c r="B275" s="2008"/>
      <c r="C275" s="592" t="s">
        <v>1073</v>
      </c>
      <c r="D275" s="2596"/>
      <c r="E275" s="2339"/>
      <c r="F275" s="2505"/>
      <c r="G275" s="623"/>
      <c r="H275" s="1728"/>
      <c r="I275" s="874"/>
      <c r="J275" s="794"/>
      <c r="K275" s="1728"/>
      <c r="L275" s="437"/>
      <c r="M275" s="564"/>
      <c r="N275" s="557"/>
      <c r="O275" s="1852"/>
      <c r="P275" s="1852"/>
    </row>
    <row s="13661" customFormat="1" customHeight="1" ht="18.75" hidden="1">
      <c r="A276" s="2008" t="s">
        <v>190</v>
      </c>
      <c r="B276" s="2008" t="s">
        <v>191</v>
      </c>
      <c r="C276" s="592"/>
      <c r="D276" s="2596"/>
      <c r="E276" s="2339"/>
      <c r="F276" s="250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51" t="str">
        <f>INDEX(PT_DIFFERENTIATION_NTAR,MATCH(B276,PT_DIFFERENTIATION_NTAR_ID,0))</f>
        <v/>
      </c>
      <c r="H276" s="2091"/>
      <c r="I276" s="1967"/>
      <c r="J276" s="2001"/>
      <c r="K276" s="2006"/>
      <c r="L276" s="2091" t="s">
        <v>307</v>
      </c>
      <c r="M276" s="564"/>
      <c r="N276" s="557"/>
      <c r="O276" s="1852"/>
      <c r="P276" s="1852"/>
    </row>
    <row s="13661" customFormat="1" customHeight="1" ht="18.75" hidden="1">
      <c r="A277" s="2008"/>
      <c r="B277" s="2008"/>
      <c r="C277" s="592" t="s">
        <v>1066</v>
      </c>
      <c r="D277" s="2596"/>
      <c r="E277" s="2339"/>
      <c r="F277" s="2505"/>
      <c r="G277" s="2551"/>
      <c r="H277" s="1728"/>
      <c r="I277" s="874" t="s">
        <v>1065</v>
      </c>
      <c r="J277" s="794"/>
      <c r="K277" s="1728"/>
      <c r="L277" s="437"/>
      <c r="M277" s="564"/>
      <c r="N277" s="557"/>
      <c r="O277" s="1852"/>
      <c r="P277" s="1852"/>
    </row>
    <row s="13661" customFormat="1" customHeight="1" ht="0.75" hidden="1">
      <c r="A278" s="2008"/>
      <c r="B278" s="2008"/>
      <c r="C278" s="592" t="s">
        <v>1073</v>
      </c>
      <c r="D278" s="2596"/>
      <c r="E278" s="2339"/>
      <c r="F278" s="2505"/>
      <c r="G278" s="623"/>
      <c r="H278" s="1728"/>
      <c r="I278" s="874"/>
      <c r="J278" s="794"/>
      <c r="K278" s="1728"/>
      <c r="L278" s="437"/>
      <c r="M278" s="564"/>
      <c r="N278" s="557"/>
      <c r="O278" s="1852"/>
      <c r="P278" s="1852"/>
    </row>
    <row s="13661" customFormat="1" customHeight="1" ht="18.75" hidden="1">
      <c r="A279" s="2008" t="s">
        <v>196</v>
      </c>
      <c r="B279" s="2008" t="s">
        <v>197</v>
      </c>
      <c r="C279" s="592"/>
      <c r="D279" s="2596"/>
      <c r="E279" s="2339"/>
      <c r="F279" s="2505" t="str">
        <f>INDEX(PT_DIFFERENTIATION_VTAR,MATCH(A279,PT_DIFFERENTIATION_VTAR_ID,0))</f>
        <v>Плата за подключение (технологическое присоединение) к системе теплоснабжения</v>
      </c>
      <c r="G279" s="2551" t="str">
        <f>INDEX(PT_DIFFERENTIATION_NTAR,MATCH(B279,PT_DIFFERENTIATION_NTAR_ID,0))</f>
        <v/>
      </c>
      <c r="H279" s="2091"/>
      <c r="I279" s="1967"/>
      <c r="J279" s="2001"/>
      <c r="K279" s="2006"/>
      <c r="L279" s="2091" t="s">
        <v>307</v>
      </c>
      <c r="M279" s="564"/>
      <c r="N279" s="557"/>
      <c r="O279" s="1852"/>
      <c r="P279" s="1852"/>
    </row>
    <row s="13661" customFormat="1" customHeight="1" ht="18.75" hidden="1">
      <c r="A280" s="2008"/>
      <c r="B280" s="2008"/>
      <c r="C280" s="592" t="s">
        <v>1066</v>
      </c>
      <c r="D280" s="2596"/>
      <c r="E280" s="2339"/>
      <c r="F280" s="2505"/>
      <c r="G280" s="2551"/>
      <c r="H280" s="1728"/>
      <c r="I280" s="874" t="s">
        <v>1065</v>
      </c>
      <c r="J280" s="794"/>
      <c r="K280" s="1728"/>
      <c r="L280" s="437"/>
      <c r="M280" s="564"/>
      <c r="N280" s="557"/>
      <c r="O280" s="1852"/>
      <c r="P280" s="1852"/>
    </row>
    <row s="13661" customFormat="1" customHeight="1" ht="0.75" hidden="1">
      <c r="A281" s="2008"/>
      <c r="B281" s="2008"/>
      <c r="C281" s="592" t="s">
        <v>1073</v>
      </c>
      <c r="D281" s="2596"/>
      <c r="E281" s="2339"/>
      <c r="F281" s="2505"/>
      <c r="G281" s="623"/>
      <c r="H281" s="1728"/>
      <c r="I281" s="874"/>
      <c r="J281" s="794"/>
      <c r="K281" s="1728"/>
      <c r="L281" s="437"/>
      <c r="M281" s="564"/>
      <c r="N281" s="557"/>
      <c r="O281" s="1852"/>
      <c r="P281" s="1852"/>
    </row>
    <row s="13661" customFormat="1" customHeight="1" ht="18.75" hidden="1">
      <c r="A282" s="2008" t="s">
        <v>222</v>
      </c>
      <c r="B282" s="2008" t="s">
        <v>223</v>
      </c>
      <c r="C282" s="592"/>
      <c r="D282" s="2596"/>
      <c r="E282" s="2339"/>
      <c r="F282" s="2505" t="str">
        <f>INDEX(PT_DIFFERENTIATION_VTAR,MATCH(A282,PT_DIFFERENTIATION_VTAR_ID,0))</f>
        <v>Тариф на питьевую воду (питьевое водоснабжение)</v>
      </c>
      <c r="G282" s="2551" t="str">
        <f>INDEX(PT_DIFFERENTIATION_NTAR,MATCH(B282,PT_DIFFERENTIATION_NTAR_ID,0))</f>
        <v/>
      </c>
      <c r="H282" s="2091"/>
      <c r="I282" s="1967"/>
      <c r="J282" s="2001"/>
      <c r="K282" s="2006"/>
      <c r="L282" s="2091" t="s">
        <v>307</v>
      </c>
      <c r="M282" s="564"/>
      <c r="N282" s="557"/>
      <c r="O282" s="1852"/>
      <c r="P282" s="1852"/>
    </row>
    <row s="13661" customFormat="1" customHeight="1" ht="18.75" hidden="1">
      <c r="A283" s="2008"/>
      <c r="B283" s="2008"/>
      <c r="C283" s="592" t="s">
        <v>1066</v>
      </c>
      <c r="D283" s="2596"/>
      <c r="E283" s="2339"/>
      <c r="F283" s="2505"/>
      <c r="G283" s="2551"/>
      <c r="H283" s="1728"/>
      <c r="I283" s="874" t="s">
        <v>1065</v>
      </c>
      <c r="J283" s="794"/>
      <c r="K283" s="1728"/>
      <c r="L283" s="437"/>
      <c r="M283" s="564"/>
      <c r="N283" s="557"/>
      <c r="O283" s="1852"/>
      <c r="P283" s="1852"/>
    </row>
    <row s="13661" customFormat="1" customHeight="1" ht="0.75" hidden="1">
      <c r="A284" s="2008"/>
      <c r="B284" s="2008"/>
      <c r="C284" s="592" t="s">
        <v>1073</v>
      </c>
      <c r="D284" s="2596"/>
      <c r="E284" s="2339"/>
      <c r="F284" s="2505"/>
      <c r="G284" s="623"/>
      <c r="H284" s="1728"/>
      <c r="I284" s="874"/>
      <c r="J284" s="794"/>
      <c r="K284" s="1728"/>
      <c r="L284" s="437"/>
      <c r="M284" s="564"/>
      <c r="N284" s="557"/>
      <c r="O284" s="1852"/>
      <c r="P284" s="1852"/>
    </row>
    <row s="13661" customFormat="1" customHeight="1" ht="18.75" hidden="1">
      <c r="A285" s="2008" t="s">
        <v>227</v>
      </c>
      <c r="B285" s="2008" t="s">
        <v>228</v>
      </c>
      <c r="C285" s="592"/>
      <c r="D285" s="2596"/>
      <c r="E285" s="2339"/>
      <c r="F285" s="2505" t="str">
        <f>INDEX(PT_DIFFERENTIATION_VTAR,MATCH(A285,PT_DIFFERENTIATION_VTAR_ID,0))</f>
        <v>Тариф на техническую воду</v>
      </c>
      <c r="G285" s="2551" t="str">
        <f>INDEX(PT_DIFFERENTIATION_NTAR,MATCH(B285,PT_DIFFERENTIATION_NTAR_ID,0))</f>
        <v/>
      </c>
      <c r="H285" s="2091"/>
      <c r="I285" s="1967"/>
      <c r="J285" s="2001"/>
      <c r="K285" s="2006"/>
      <c r="L285" s="2091" t="s">
        <v>307</v>
      </c>
      <c r="M285" s="564"/>
      <c r="N285" s="557"/>
      <c r="O285" s="1852"/>
      <c r="P285" s="1852"/>
    </row>
    <row s="13661" customFormat="1" customHeight="1" ht="18.75" hidden="1">
      <c r="A286" s="2008"/>
      <c r="B286" s="2008"/>
      <c r="C286" s="592" t="s">
        <v>1066</v>
      </c>
      <c r="D286" s="2596"/>
      <c r="E286" s="2339"/>
      <c r="F286" s="2505"/>
      <c r="G286" s="2551"/>
      <c r="H286" s="1728"/>
      <c r="I286" s="874" t="s">
        <v>1065</v>
      </c>
      <c r="J286" s="794"/>
      <c r="K286" s="1728"/>
      <c r="L286" s="437"/>
      <c r="M286" s="564"/>
      <c r="N286" s="557"/>
      <c r="O286" s="1852"/>
      <c r="P286" s="1852"/>
    </row>
    <row s="13661" customFormat="1" customHeight="1" ht="0.75" hidden="1">
      <c r="A287" s="2008"/>
      <c r="B287" s="2008"/>
      <c r="C287" s="592" t="s">
        <v>1073</v>
      </c>
      <c r="D287" s="2596"/>
      <c r="E287" s="2339"/>
      <c r="F287" s="2505"/>
      <c r="G287" s="623"/>
      <c r="H287" s="1728"/>
      <c r="I287" s="874"/>
      <c r="J287" s="794"/>
      <c r="K287" s="1728"/>
      <c r="L287" s="437"/>
      <c r="M287" s="564"/>
      <c r="N287" s="557"/>
      <c r="O287" s="1852"/>
      <c r="P287" s="1852"/>
    </row>
    <row s="13661" customFormat="1" customHeight="1" ht="18.75" hidden="1">
      <c r="A288" s="2008" t="s">
        <v>232</v>
      </c>
      <c r="B288" s="2008" t="s">
        <v>233</v>
      </c>
      <c r="C288" s="592"/>
      <c r="D288" s="2596"/>
      <c r="E288" s="2339"/>
      <c r="F288" s="2505" t="str">
        <f>INDEX(PT_DIFFERENTIATION_VTAR,MATCH(A288,PT_DIFFERENTIATION_VTAR_ID,0))</f>
        <v>Тариф на транспортировку воды</v>
      </c>
      <c r="G288" s="2551" t="str">
        <f>INDEX(PT_DIFFERENTIATION_NTAR,MATCH(B288,PT_DIFFERENTIATION_NTAR_ID,0))</f>
        <v/>
      </c>
      <c r="H288" s="2091"/>
      <c r="I288" s="1967"/>
      <c r="J288" s="2001"/>
      <c r="K288" s="2006"/>
      <c r="L288" s="2091" t="s">
        <v>307</v>
      </c>
      <c r="M288" s="564"/>
      <c r="N288" s="557"/>
      <c r="O288" s="1852"/>
      <c r="P288" s="1852"/>
    </row>
    <row s="13661" customFormat="1" customHeight="1" ht="18.75" hidden="1">
      <c r="A289" s="2008"/>
      <c r="B289" s="2008"/>
      <c r="C289" s="592" t="s">
        <v>1066</v>
      </c>
      <c r="D289" s="2596"/>
      <c r="E289" s="2339"/>
      <c r="F289" s="2505"/>
      <c r="G289" s="2551"/>
      <c r="H289" s="1728"/>
      <c r="I289" s="874" t="s">
        <v>1065</v>
      </c>
      <c r="J289" s="794"/>
      <c r="K289" s="1728"/>
      <c r="L289" s="437"/>
      <c r="M289" s="564"/>
      <c r="N289" s="557"/>
      <c r="O289" s="1852"/>
      <c r="P289" s="1852"/>
    </row>
    <row s="13661" customFormat="1" customHeight="1" ht="0.75" hidden="1">
      <c r="A290" s="2008"/>
      <c r="B290" s="2008"/>
      <c r="C290" s="592" t="s">
        <v>1073</v>
      </c>
      <c r="D290" s="2596"/>
      <c r="E290" s="2339"/>
      <c r="F290" s="2505"/>
      <c r="G290" s="623"/>
      <c r="H290" s="1728"/>
      <c r="I290" s="874"/>
      <c r="J290" s="794"/>
      <c r="K290" s="1728"/>
      <c r="L290" s="437"/>
      <c r="M290" s="564"/>
      <c r="N290" s="557"/>
      <c r="O290" s="1852"/>
      <c r="P290" s="1852"/>
    </row>
    <row s="13661" customFormat="1" customHeight="1" ht="18.75" hidden="1">
      <c r="A291" s="2008" t="s">
        <v>237</v>
      </c>
      <c r="B291" s="2008" t="s">
        <v>238</v>
      </c>
      <c r="C291" s="592"/>
      <c r="D291" s="2596"/>
      <c r="E291" s="2339"/>
      <c r="F291" s="2505" t="str">
        <f>INDEX(PT_DIFFERENTIATION_VTAR,MATCH(A291,PT_DIFFERENTIATION_VTAR_ID,0))</f>
        <v>Тариф на подвоз воды</v>
      </c>
      <c r="G291" s="2551" t="str">
        <f>INDEX(PT_DIFFERENTIATION_NTAR,MATCH(B291,PT_DIFFERENTIATION_NTAR_ID,0))</f>
        <v/>
      </c>
      <c r="H291" s="2091"/>
      <c r="I291" s="1967"/>
      <c r="J291" s="2001"/>
      <c r="K291" s="2006"/>
      <c r="L291" s="2091" t="s">
        <v>307</v>
      </c>
      <c r="M291" s="564"/>
      <c r="N291" s="557"/>
      <c r="O291" s="1852"/>
      <c r="P291" s="1852"/>
    </row>
    <row s="13661" customFormat="1" customHeight="1" ht="18.75" hidden="1">
      <c r="A292" s="2008"/>
      <c r="B292" s="2008"/>
      <c r="C292" s="592" t="s">
        <v>1066</v>
      </c>
      <c r="D292" s="2596"/>
      <c r="E292" s="2339"/>
      <c r="F292" s="2505"/>
      <c r="G292" s="2551"/>
      <c r="H292" s="1728"/>
      <c r="I292" s="874" t="s">
        <v>1065</v>
      </c>
      <c r="J292" s="794"/>
      <c r="K292" s="1728"/>
      <c r="L292" s="437"/>
      <c r="M292" s="564"/>
      <c r="N292" s="557"/>
      <c r="O292" s="1852"/>
      <c r="P292" s="1852"/>
    </row>
    <row s="13661" customFormat="1" customHeight="1" ht="0.75" hidden="1">
      <c r="A293" s="2008"/>
      <c r="B293" s="2008"/>
      <c r="C293" s="592" t="s">
        <v>1073</v>
      </c>
      <c r="D293" s="2596"/>
      <c r="E293" s="2339"/>
      <c r="F293" s="2505"/>
      <c r="G293" s="623"/>
      <c r="H293" s="1728"/>
      <c r="I293" s="874"/>
      <c r="J293" s="794"/>
      <c r="K293" s="1728"/>
      <c r="L293" s="437"/>
      <c r="M293" s="564"/>
      <c r="N293" s="557"/>
      <c r="O293" s="1852"/>
      <c r="P293" s="1852"/>
    </row>
    <row s="13661" customFormat="1" customHeight="1" ht="18.75" hidden="1">
      <c r="A294" s="2008" t="s">
        <v>242</v>
      </c>
      <c r="B294" s="2008" t="s">
        <v>243</v>
      </c>
      <c r="C294" s="592"/>
      <c r="D294" s="2596"/>
      <c r="E294" s="2339"/>
      <c r="F294" s="250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51" t="str">
        <f>INDEX(PT_DIFFERENTIATION_NTAR,MATCH(B294,PT_DIFFERENTIATION_NTAR_ID,0))</f>
        <v/>
      </c>
      <c r="H294" s="2091"/>
      <c r="I294" s="1967"/>
      <c r="J294" s="2001"/>
      <c r="K294" s="2006"/>
      <c r="L294" s="2091" t="s">
        <v>307</v>
      </c>
      <c r="M294" s="564"/>
      <c r="N294" s="557"/>
      <c r="O294" s="1852"/>
      <c r="P294" s="1852"/>
    </row>
    <row s="13661" customFormat="1" customHeight="1" ht="18.75" hidden="1">
      <c r="A295" s="2008"/>
      <c r="B295" s="2008"/>
      <c r="C295" s="592" t="s">
        <v>1066</v>
      </c>
      <c r="D295" s="2596"/>
      <c r="E295" s="2339"/>
      <c r="F295" s="2505"/>
      <c r="G295" s="2551"/>
      <c r="H295" s="1728"/>
      <c r="I295" s="874" t="s">
        <v>1065</v>
      </c>
      <c r="J295" s="794"/>
      <c r="K295" s="1728"/>
      <c r="L295" s="437"/>
      <c r="M295" s="564"/>
      <c r="N295" s="557"/>
      <c r="O295" s="1852"/>
      <c r="P295" s="1852"/>
    </row>
    <row s="13661" customFormat="1" customHeight="1" ht="0.75" hidden="1">
      <c r="A296" s="2008"/>
      <c r="B296" s="2008"/>
      <c r="C296" s="592" t="s">
        <v>1073</v>
      </c>
      <c r="D296" s="2596"/>
      <c r="E296" s="2339"/>
      <c r="F296" s="2505"/>
      <c r="G296" s="623"/>
      <c r="H296" s="1728"/>
      <c r="I296" s="874"/>
      <c r="J296" s="794"/>
      <c r="K296" s="1728"/>
      <c r="L296" s="437"/>
      <c r="M296" s="564"/>
      <c r="N296" s="557"/>
      <c r="O296" s="1852"/>
      <c r="P296" s="1852"/>
    </row>
    <row s="13661" customFormat="1" customHeight="1" ht="18.75" hidden="1">
      <c r="A297" s="2008" t="s">
        <v>248</v>
      </c>
      <c r="B297" s="2008" t="s">
        <v>249</v>
      </c>
      <c r="C297" s="592"/>
      <c r="D297" s="2596"/>
      <c r="E297" s="2339"/>
      <c r="F297" s="2505" t="str">
        <f>INDEX(PT_DIFFERENTIATION_VTAR,MATCH(A297,PT_DIFFERENTIATION_VTAR_ID,0))</f>
        <v>Тариф на горячую воду (горячее водоснабжение)</v>
      </c>
      <c r="G297" s="2551" t="str">
        <f>INDEX(PT_DIFFERENTIATION_NTAR,MATCH(B297,PT_DIFFERENTIATION_NTAR_ID,0))</f>
        <v/>
      </c>
      <c r="H297" s="2091"/>
      <c r="I297" s="1967"/>
      <c r="J297" s="2001"/>
      <c r="K297" s="2006"/>
      <c r="L297" s="2091" t="s">
        <v>307</v>
      </c>
      <c r="M297" s="564"/>
      <c r="N297" s="557"/>
      <c r="O297" s="1852"/>
      <c r="P297" s="1852"/>
    </row>
    <row s="13661" customFormat="1" customHeight="1" ht="18.75" hidden="1">
      <c r="A298" s="2008"/>
      <c r="B298" s="2008"/>
      <c r="C298" s="592" t="s">
        <v>1066</v>
      </c>
      <c r="D298" s="2596"/>
      <c r="E298" s="2339"/>
      <c r="F298" s="2505"/>
      <c r="G298" s="2551"/>
      <c r="H298" s="1728"/>
      <c r="I298" s="874" t="s">
        <v>1065</v>
      </c>
      <c r="J298" s="794"/>
      <c r="K298" s="1728"/>
      <c r="L298" s="437"/>
      <c r="M298" s="564"/>
      <c r="N298" s="557"/>
      <c r="O298" s="1852"/>
      <c r="P298" s="1852"/>
    </row>
    <row s="13661" customFormat="1" customHeight="1" ht="0.75" hidden="1">
      <c r="A299" s="2008"/>
      <c r="B299" s="2008"/>
      <c r="C299" s="592" t="s">
        <v>1073</v>
      </c>
      <c r="D299" s="2596"/>
      <c r="E299" s="2339"/>
      <c r="F299" s="2505"/>
      <c r="G299" s="623"/>
      <c r="H299" s="1728"/>
      <c r="I299" s="874"/>
      <c r="J299" s="794"/>
      <c r="K299" s="1728"/>
      <c r="L299" s="437"/>
      <c r="M299" s="564"/>
      <c r="N299" s="557"/>
      <c r="O299" s="1852"/>
      <c r="P299" s="1852"/>
    </row>
    <row s="13661" customFormat="1" customHeight="1" ht="18.75" hidden="1">
      <c r="A300" s="2008" t="s">
        <v>256</v>
      </c>
      <c r="B300" s="2008" t="s">
        <v>257</v>
      </c>
      <c r="C300" s="592"/>
      <c r="D300" s="2596"/>
      <c r="E300" s="2339"/>
      <c r="F300" s="2505" t="str">
        <f>INDEX(PT_DIFFERENTIATION_VTAR,MATCH(A300,PT_DIFFERENTIATION_VTAR_ID,0))</f>
        <v>Тариф на транспортировку горячей воды</v>
      </c>
      <c r="G300" s="2551" t="str">
        <f>INDEX(PT_DIFFERENTIATION_NTAR,MATCH(B300,PT_DIFFERENTIATION_NTAR_ID,0))</f>
        <v/>
      </c>
      <c r="H300" s="2091"/>
      <c r="I300" s="1967"/>
      <c r="J300" s="2001"/>
      <c r="K300" s="2006"/>
      <c r="L300" s="2091" t="s">
        <v>307</v>
      </c>
      <c r="M300" s="564"/>
      <c r="N300" s="557"/>
      <c r="O300" s="1852"/>
      <c r="P300" s="1852"/>
    </row>
    <row s="13661" customFormat="1" customHeight="1" ht="18.75" hidden="1">
      <c r="A301" s="2008"/>
      <c r="B301" s="2008"/>
      <c r="C301" s="592" t="s">
        <v>1066</v>
      </c>
      <c r="D301" s="2596"/>
      <c r="E301" s="2339"/>
      <c r="F301" s="2505"/>
      <c r="G301" s="2551"/>
      <c r="H301" s="1728"/>
      <c r="I301" s="874" t="s">
        <v>1065</v>
      </c>
      <c r="J301" s="794"/>
      <c r="K301" s="1728"/>
      <c r="L301" s="437"/>
      <c r="M301" s="564"/>
      <c r="N301" s="557"/>
      <c r="O301" s="1852"/>
      <c r="P301" s="1852"/>
    </row>
    <row s="13661" customFormat="1" customHeight="1" ht="0.75" hidden="1">
      <c r="A302" s="2008"/>
      <c r="B302" s="2008"/>
      <c r="C302" s="592" t="s">
        <v>1073</v>
      </c>
      <c r="D302" s="2596"/>
      <c r="E302" s="2339"/>
      <c r="F302" s="2505"/>
      <c r="G302" s="623"/>
      <c r="H302" s="1728"/>
      <c r="I302" s="874"/>
      <c r="J302" s="794"/>
      <c r="K302" s="1728"/>
      <c r="L302" s="437"/>
      <c r="M302" s="564"/>
      <c r="N302" s="557"/>
      <c r="O302" s="1852"/>
      <c r="P302" s="1852"/>
    </row>
    <row s="13661" customFormat="1" customHeight="1" ht="18.75" hidden="1">
      <c r="A303" s="2008" t="s">
        <v>261</v>
      </c>
      <c r="B303" s="2008" t="s">
        <v>262</v>
      </c>
      <c r="C303" s="592"/>
      <c r="D303" s="2596"/>
      <c r="E303" s="2339"/>
      <c r="F303" s="250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51" t="str">
        <f>INDEX(PT_DIFFERENTIATION_NTAR,MATCH(B303,PT_DIFFERENTIATION_NTAR_ID,0))</f>
        <v/>
      </c>
      <c r="H303" s="2091"/>
      <c r="I303" s="1967"/>
      <c r="J303" s="2001"/>
      <c r="K303" s="2006"/>
      <c r="L303" s="2091" t="s">
        <v>307</v>
      </c>
      <c r="M303" s="564"/>
      <c r="N303" s="557"/>
      <c r="O303" s="1852"/>
      <c r="P303" s="1852"/>
    </row>
    <row s="13661" customFormat="1" customHeight="1" ht="18.75" hidden="1">
      <c r="A304" s="2008"/>
      <c r="B304" s="2008"/>
      <c r="C304" s="592" t="s">
        <v>1066</v>
      </c>
      <c r="D304" s="2596"/>
      <c r="E304" s="2339"/>
      <c r="F304" s="2505"/>
      <c r="G304" s="2551"/>
      <c r="H304" s="1728"/>
      <c r="I304" s="874" t="s">
        <v>1065</v>
      </c>
      <c r="J304" s="794"/>
      <c r="K304" s="1728"/>
      <c r="L304" s="437"/>
      <c r="M304" s="564"/>
      <c r="N304" s="557"/>
      <c r="O304" s="1852"/>
      <c r="P304" s="1852"/>
    </row>
    <row s="13661" customFormat="1" customHeight="1" ht="0.75" hidden="1">
      <c r="A305" s="2008"/>
      <c r="B305" s="2008"/>
      <c r="C305" s="592" t="s">
        <v>1073</v>
      </c>
      <c r="D305" s="2596"/>
      <c r="E305" s="2339"/>
      <c r="F305" s="2505"/>
      <c r="G305" s="623"/>
      <c r="H305" s="1728"/>
      <c r="I305" s="874"/>
      <c r="J305" s="794"/>
      <c r="K305" s="1728"/>
      <c r="L305" s="437"/>
      <c r="M305" s="564"/>
      <c r="N305" s="557"/>
      <c r="O305" s="1852"/>
      <c r="P305" s="1852"/>
    </row>
    <row s="13661" customFormat="1" customHeight="1" ht="18.75" hidden="1">
      <c r="A306" s="2008" t="s">
        <v>266</v>
      </c>
      <c r="B306" s="2008" t="s">
        <v>267</v>
      </c>
      <c r="C306" s="592"/>
      <c r="D306" s="2596"/>
      <c r="E306" s="2339"/>
      <c r="F306" s="2505" t="str">
        <f>INDEX(PT_DIFFERENTIATION_VTAR,MATCH(A306,PT_DIFFERENTIATION_VTAR_ID,0))</f>
        <v>Тариф на водоотведение</v>
      </c>
      <c r="G306" s="2551" t="str">
        <f>INDEX(PT_DIFFERENTIATION_NTAR,MATCH(B306,PT_DIFFERENTIATION_NTAR_ID,0))</f>
        <v/>
      </c>
      <c r="H306" s="2091"/>
      <c r="I306" s="1967"/>
      <c r="J306" s="2001"/>
      <c r="K306" s="2006"/>
      <c r="L306" s="2091" t="s">
        <v>307</v>
      </c>
      <c r="M306" s="564"/>
      <c r="N306" s="557"/>
      <c r="O306" s="1852"/>
      <c r="P306" s="1852"/>
    </row>
    <row s="13661" customFormat="1" customHeight="1" ht="18.75" hidden="1">
      <c r="A307" s="2008"/>
      <c r="B307" s="2008"/>
      <c r="C307" s="592" t="s">
        <v>1066</v>
      </c>
      <c r="D307" s="2596"/>
      <c r="E307" s="2339"/>
      <c r="F307" s="2505"/>
      <c r="G307" s="2551"/>
      <c r="H307" s="1728"/>
      <c r="I307" s="874" t="s">
        <v>1065</v>
      </c>
      <c r="J307" s="794"/>
      <c r="K307" s="1728"/>
      <c r="L307" s="437"/>
      <c r="M307" s="564"/>
      <c r="N307" s="557"/>
      <c r="O307" s="1852"/>
      <c r="P307" s="1852"/>
    </row>
    <row s="13661" customFormat="1" customHeight="1" ht="0.75" hidden="1">
      <c r="A308" s="2008"/>
      <c r="B308" s="2008"/>
      <c r="C308" s="592" t="s">
        <v>1073</v>
      </c>
      <c r="D308" s="2596"/>
      <c r="E308" s="2339"/>
      <c r="F308" s="2505"/>
      <c r="G308" s="623"/>
      <c r="H308" s="1728"/>
      <c r="I308" s="874"/>
      <c r="J308" s="794"/>
      <c r="K308" s="1728"/>
      <c r="L308" s="437"/>
      <c r="M308" s="564"/>
      <c r="N308" s="557"/>
      <c r="O308" s="1852"/>
      <c r="P308" s="1852"/>
    </row>
    <row s="13661" customFormat="1" customHeight="1" ht="18.75" hidden="1">
      <c r="A309" s="2008" t="s">
        <v>271</v>
      </c>
      <c r="B309" s="2008" t="s">
        <v>272</v>
      </c>
      <c r="C309" s="592"/>
      <c r="D309" s="2596"/>
      <c r="E309" s="2339"/>
      <c r="F309" s="2505" t="str">
        <f>INDEX(PT_DIFFERENTIATION_VTAR,MATCH(A309,PT_DIFFERENTIATION_VTAR_ID,0))</f>
        <v>Тариф на транспортировку сточных вод</v>
      </c>
      <c r="G309" s="2551" t="str">
        <f>INDEX(PT_DIFFERENTIATION_NTAR,MATCH(B309,PT_DIFFERENTIATION_NTAR_ID,0))</f>
        <v/>
      </c>
      <c r="H309" s="2091"/>
      <c r="I309" s="1967"/>
      <c r="J309" s="2001"/>
      <c r="K309" s="2006"/>
      <c r="L309" s="2091" t="s">
        <v>307</v>
      </c>
      <c r="M309" s="564"/>
      <c r="N309" s="557"/>
      <c r="O309" s="1852"/>
      <c r="P309" s="1852"/>
    </row>
    <row s="13661" customFormat="1" customHeight="1" ht="18.75" hidden="1">
      <c r="A310" s="2008"/>
      <c r="B310" s="2008"/>
      <c r="C310" s="592" t="s">
        <v>1066</v>
      </c>
      <c r="D310" s="2596"/>
      <c r="E310" s="2339"/>
      <c r="F310" s="2505"/>
      <c r="G310" s="2551"/>
      <c r="H310" s="1728"/>
      <c r="I310" s="874" t="s">
        <v>1065</v>
      </c>
      <c r="J310" s="794"/>
      <c r="K310" s="1728"/>
      <c r="L310" s="437"/>
      <c r="M310" s="564"/>
      <c r="N310" s="557"/>
      <c r="O310" s="1852"/>
      <c r="P310" s="1852"/>
    </row>
    <row s="13661" customFormat="1" customHeight="1" ht="0.75" hidden="1">
      <c r="A311" s="2008"/>
      <c r="B311" s="2008"/>
      <c r="C311" s="592" t="s">
        <v>1073</v>
      </c>
      <c r="D311" s="2596"/>
      <c r="E311" s="2339"/>
      <c r="F311" s="2505"/>
      <c r="G311" s="623"/>
      <c r="H311" s="1728"/>
      <c r="I311" s="874"/>
      <c r="J311" s="794"/>
      <c r="K311" s="1728"/>
      <c r="L311" s="437"/>
      <c r="M311" s="564"/>
      <c r="N311" s="557"/>
      <c r="O311" s="1852"/>
      <c r="P311" s="1852"/>
    </row>
    <row s="13661" customFormat="1" customHeight="1" ht="18.75" hidden="1">
      <c r="A312" s="2008" t="s">
        <v>276</v>
      </c>
      <c r="B312" s="2008" t="s">
        <v>277</v>
      </c>
      <c r="C312" s="592"/>
      <c r="D312" s="2596"/>
      <c r="E312" s="2339"/>
      <c r="F312" s="2505" t="str">
        <f>INDEX(PT_DIFFERENTIATION_VTAR,MATCH(A312,PT_DIFFERENTIATION_VTAR_ID,0))</f>
        <v>Тариф на подключение (технологическое присоединение) к централизованной системе водоотведения</v>
      </c>
      <c r="G312" s="2551" t="str">
        <f>INDEX(PT_DIFFERENTIATION_NTAR,MATCH(B312,PT_DIFFERENTIATION_NTAR_ID,0))</f>
        <v/>
      </c>
      <c r="H312" s="2091"/>
      <c r="I312" s="1967"/>
      <c r="J312" s="2001"/>
      <c r="K312" s="2006"/>
      <c r="L312" s="2091" t="s">
        <v>307</v>
      </c>
      <c r="M312" s="564"/>
      <c r="N312" s="557"/>
      <c r="O312" s="1852"/>
      <c r="P312" s="1852"/>
    </row>
    <row s="13661" customFormat="1" customHeight="1" ht="18.75" hidden="1">
      <c r="A313" s="2008"/>
      <c r="B313" s="2008"/>
      <c r="C313" s="592" t="s">
        <v>1066</v>
      </c>
      <c r="D313" s="2596"/>
      <c r="E313" s="2339"/>
      <c r="F313" s="2505"/>
      <c r="G313" s="2551"/>
      <c r="H313" s="1728"/>
      <c r="I313" s="874" t="s">
        <v>1065</v>
      </c>
      <c r="J313" s="794"/>
      <c r="K313" s="1728"/>
      <c r="L313" s="437"/>
      <c r="M313" s="564"/>
      <c r="N313" s="557"/>
      <c r="O313" s="1852"/>
      <c r="P313" s="1852"/>
    </row>
    <row s="13661" customFormat="1" customHeight="1" ht="0.75">
      <c r="A314" s="2008"/>
      <c r="B314" s="2008"/>
      <c r="C314" s="592" t="s">
        <v>1073</v>
      </c>
      <c r="D314" s="2596"/>
      <c r="E314" s="2339"/>
      <c r="F314" s="2505"/>
      <c r="G314" s="623"/>
      <c r="H314" s="1728"/>
      <c r="I314" s="874"/>
      <c r="J314" s="794"/>
      <c r="K314" s="1728"/>
      <c r="L314" s="437"/>
      <c r="M314" s="564"/>
      <c r="N314" s="557"/>
      <c r="O314" s="1852"/>
      <c r="P314" s="1852"/>
    </row>
    <row s="17236" customFormat="1" customHeight="1" ht="3">
      <c r="A315" s="2008"/>
      <c r="B315" s="2008"/>
      <c r="C315" s="2009"/>
      <c r="E315" s="625"/>
      <c r="F315" s="625"/>
      <c r="G315" s="625"/>
      <c r="H315" s="625"/>
      <c r="I315" s="625"/>
      <c r="J315" s="625"/>
      <c r="K315" s="625"/>
      <c r="L315" s="625"/>
      <c r="M315" s="625"/>
      <c r="O315" s="419"/>
      <c r="P315" s="419"/>
    </row>
    <row customHeight="1" ht="24.75">
      <c r="E316" s="425"/>
      <c r="F316" s="2388"/>
      <c r="G316" s="2388"/>
      <c r="H316" s="2388"/>
      <c r="I316" s="2388"/>
      <c r="J316" s="2388"/>
      <c r="K316" s="2388"/>
      <c r="L316" s="2388"/>
      <c r="M316" s="23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8556F-527C-1433-9255-F4C1ED96C55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7292" width="9.140625" hidden="1" customWidth="1"/>
    <col min="2" max="2" style="17215" width="9.140625" hidden="1" customWidth="1"/>
    <col min="3" max="3" style="13617" width="3.7109375" customWidth="1"/>
    <col min="4" max="4" style="17277" width="6.28125" customWidth="1"/>
    <col min="5" max="5" style="17277" width="53.8515625" customWidth="1"/>
    <col min="6" max="7" style="17277" width="35.7109375" customWidth="1"/>
    <col min="8" max="8" style="17277" width="89.57421875" customWidth="1"/>
    <col min="9" max="9" style="17277" width="10.57421875"/>
    <col min="10" max="11" style="17278" width="10.57421875"/>
    <col min="12" max="17" style="17277" width="10.57421875"/>
  </cols>
  <sheetData>
    <row customHeight="1" ht="14.25" hidden="1">
      <c r="N1" s="478"/>
      <c r="O1" s="478"/>
      <c r="Q1" s="478"/>
    </row>
    <row s="13661" customFormat="1" customHeight="1" ht="18.75" hidden="1">
      <c r="A2" s="326"/>
      <c r="B2" s="1385"/>
      <c r="C2" s="1958" t="s">
        <v>531</v>
      </c>
      <c r="D2" s="1901"/>
      <c r="E2" s="1910"/>
      <c r="F2" s="480"/>
      <c r="G2" s="1386"/>
      <c r="H2" s="597"/>
      <c r="I2" s="1852"/>
      <c r="J2" s="1852"/>
    </row>
    <row customHeight="1" ht="14.25" hidden="1"/>
    <row customHeight="1" ht="6">
      <c r="C4" s="599"/>
      <c r="D4" s="586"/>
      <c r="E4" s="586"/>
      <c r="F4" s="586"/>
      <c r="G4" s="308"/>
      <c r="H4" s="308"/>
    </row>
    <row customHeight="1" ht="33">
      <c r="C5" s="599"/>
      <c r="D5" s="25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82"/>
      <c r="F5" s="2582"/>
      <c r="G5" s="2583"/>
      <c r="H5" s="489"/>
    </row>
    <row s="13661" customFormat="1" customHeight="1" ht="17.25">
      <c r="A6" s="1897"/>
      <c r="B6" s="1385"/>
      <c r="C6" s="599"/>
      <c r="D6" s="2584" t="str">
        <f>IF(org=0,"Не определено",org)</f>
        <v>ООО "Новая Энергетика"</v>
      </c>
      <c r="E6" s="2585"/>
      <c r="F6" s="2585"/>
      <c r="G6" s="2586"/>
      <c r="H6" s="489"/>
      <c r="J6" s="1852"/>
      <c r="K6" s="1852"/>
    </row>
    <row customHeight="1" ht="14.25">
      <c r="C7" s="599"/>
      <c r="D7" s="586"/>
      <c r="E7" s="612"/>
      <c r="F7" s="612"/>
      <c r="G7" s="975"/>
      <c r="H7" s="416"/>
    </row>
    <row customHeight="1" ht="14.25">
      <c r="C8" s="599"/>
      <c r="D8" s="2344" t="s">
        <v>301</v>
      </c>
      <c r="E8" s="2344"/>
      <c r="F8" s="2344"/>
      <c r="G8" s="2344"/>
      <c r="H8" s="2587" t="s">
        <v>302</v>
      </c>
    </row>
    <row customHeight="1" ht="14.25">
      <c r="C9" s="599"/>
      <c r="D9" s="609" t="s">
        <v>87</v>
      </c>
      <c r="E9" s="332" t="s">
        <v>303</v>
      </c>
      <c r="F9" s="332" t="s">
        <v>304</v>
      </c>
      <c r="G9" s="332" t="s">
        <v>391</v>
      </c>
      <c r="H9" s="2587"/>
    </row>
    <row customHeight="1" ht="14.25">
      <c r="A10" s="566"/>
      <c r="C10" s="599"/>
      <c r="D10" s="371" t="s">
        <v>108</v>
      </c>
      <c r="E10" s="21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80"/>
      <c r="G10" s="436"/>
      <c r="H10" s="2298" t="s">
        <v>1074</v>
      </c>
    </row>
    <row customHeight="1" ht="14.25">
      <c r="A11" s="566"/>
      <c r="C11" s="599"/>
      <c r="D11" s="371" t="s">
        <v>109</v>
      </c>
      <c r="E11" s="21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80"/>
      <c r="G11" s="436"/>
      <c r="H11" s="2299"/>
    </row>
    <row customHeight="1" ht="14.25">
      <c r="A12" s="326"/>
      <c r="C12" s="610"/>
      <c r="D12" s="371" t="s">
        <v>89</v>
      </c>
      <c r="E12" s="611" t="str">
        <f>"Сведения о планировании закупочных процедур"&amp;IF(TEMPLATE_SPHERE="TKO"," &lt;1&gt;","")</f>
        <v>Сведения о планировании закупочных процедур</v>
      </c>
      <c r="F12" s="480"/>
      <c r="G12" s="436"/>
      <c r="H12" s="22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3"/>
      <c r="K12" s="597"/>
    </row>
    <row customHeight="1" ht="14.25">
      <c r="A13" s="326"/>
      <c r="C13" s="610"/>
      <c r="D13" s="371" t="s">
        <v>90</v>
      </c>
      <c r="E13" s="611" t="str">
        <f>"Сведения о результатах проведения закупочных процедур"&amp;IF(TEMPLATE_SPHERE="TKO"," &lt;1&gt;","")</f>
        <v>Сведения о результатах проведения закупочных процедур</v>
      </c>
      <c r="F13" s="480"/>
      <c r="G13" s="436"/>
      <c r="H13" s="2299"/>
      <c r="I13" s="573"/>
      <c r="K13" s="597"/>
    </row>
    <row customHeight="1" ht="14.25">
      <c r="A14" s="566"/>
      <c r="C14" s="599"/>
      <c r="D14" s="570"/>
      <c r="E14" s="618" t="s">
        <v>323</v>
      </c>
      <c r="F14" s="572"/>
      <c r="G14" s="424"/>
      <c r="H14" s="2300"/>
    </row>
    <row s="13661" customFormat="1" customHeight="1" ht="14.25">
      <c r="A15" s="566"/>
      <c r="B15" s="1385"/>
      <c r="C15" s="599"/>
      <c r="D15" s="619"/>
      <c r="E15" s="1905"/>
      <c r="F15" s="1906"/>
      <c r="G15" s="1907"/>
      <c r="H15" s="1908"/>
      <c r="J15" s="1852"/>
      <c r="K15" s="1852"/>
    </row>
    <row customHeight="1" ht="14.25">
      <c r="D16" s="1909"/>
      <c r="E16" s="2518"/>
      <c r="F16" s="2518"/>
      <c r="G16" s="2518"/>
      <c r="H16" s="251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32046-F01F-13F7-5C17-03BB7EDC339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3385" width="9.140625" hidden="1" customWidth="1"/>
    <col min="2" max="2" style="13388" width="9.140625" hidden="1" customWidth="1"/>
    <col min="3" max="3" style="16964" width="4.7109375" customWidth="1"/>
    <col min="4" max="4" style="13388" width="6.28125" customWidth="1"/>
    <col min="5" max="5" style="13388" width="47.8515625" customWidth="1"/>
    <col min="6" max="6" style="13388" width="9.57421875" customWidth="1"/>
    <col min="7" max="7" style="12890" width="25.7109375" hidden="1" customWidth="1"/>
    <col min="8" max="8" style="12890" width="34.00390625" hidden="1" customWidth="1"/>
    <col min="9" max="9" style="13388" width="25.7109375" customWidth="1"/>
    <col min="10" max="10" style="13388" width="34.00390625" customWidth="1"/>
    <col min="11" max="11" style="12891" width="50.8515625" customWidth="1"/>
    <col min="12" max="20" style="13388" width="10.57421875"/>
    <col min="21" max="21" style="16965" width="10.57421875"/>
  </cols>
  <sheetData>
    <row s="12891" customFormat="1" customHeight="1" ht="15" hidden="1">
      <c r="C1" s="895"/>
      <c r="G1" s="640">
        <v>4</v>
      </c>
      <c r="I1" s="640">
        <v>4</v>
      </c>
      <c r="U1" s="643"/>
    </row>
    <row s="16777" customFormat="1" customHeight="1" ht="15" hidden="1">
      <c r="A2" s="585"/>
      <c r="C2" s="400"/>
      <c r="D2" s="569"/>
      <c r="E2" s="896"/>
      <c r="F2" s="745"/>
      <c r="G2" s="839"/>
      <c r="H2" s="839"/>
      <c r="I2" s="839"/>
      <c r="J2" s="839"/>
      <c r="U2" s="897"/>
    </row>
    <row s="12891" customFormat="1" customHeight="1" ht="15" hidden="1">
      <c r="C3" s="895"/>
      <c r="U3" s="643"/>
    </row>
    <row customHeight="1" ht="15">
      <c r="C4" s="400"/>
      <c r="D4" s="732"/>
      <c r="E4" s="732"/>
      <c r="F4" s="732"/>
      <c r="G4" s="732"/>
      <c r="H4" s="732"/>
      <c r="I4" s="732"/>
      <c r="J4" s="732"/>
    </row>
    <row customHeight="1" ht="63">
      <c r="C5" s="400"/>
      <c r="D5" s="2367" t="s">
        <v>1075</v>
      </c>
      <c r="E5" s="2367"/>
      <c r="F5" s="2367"/>
      <c r="G5" s="2367"/>
      <c r="H5" s="2367"/>
      <c r="I5" s="2367"/>
      <c r="J5" s="2367"/>
    </row>
    <row customHeight="1" ht="15">
      <c r="C6" s="400"/>
      <c r="D6" s="2336" t="str">
        <f>IF(org=0,"Не определено",org)</f>
        <v>ООО "Новая Энергетика"</v>
      </c>
      <c r="E6" s="2336"/>
      <c r="F6" s="2336"/>
      <c r="G6" s="2336"/>
      <c r="H6" s="2336"/>
      <c r="I6" s="2336"/>
      <c r="J6" s="2336"/>
      <c r="K6" s="760"/>
    </row>
    <row customHeight="1" ht="15">
      <c r="C7" s="400"/>
      <c r="D7" s="975"/>
      <c r="E7" s="732"/>
      <c r="F7" s="732"/>
      <c r="G7" s="760">
        <v>22</v>
      </c>
      <c r="I7" s="760">
        <v>1</v>
      </c>
      <c r="J7" s="975"/>
    </row>
    <row s="12890" customFormat="1" customHeight="1" ht="0.75">
      <c r="A8" s="982"/>
      <c r="C8" s="400"/>
      <c r="D8" s="732"/>
      <c r="E8" s="732"/>
      <c r="F8" s="732"/>
      <c r="G8" s="760"/>
      <c r="H8" s="975"/>
      <c r="I8" s="760" t="s">
        <v>116</v>
      </c>
      <c r="J8" s="975"/>
      <c r="K8" s="640"/>
      <c r="U8" s="898"/>
    </row>
    <row customHeight="1" ht="15">
      <c r="C9" s="400"/>
      <c r="D9" s="934"/>
      <c r="E9" s="2498" t="s">
        <v>104</v>
      </c>
      <c r="F9" s="2499"/>
      <c r="G9" s="2521" t="str">
        <f>IF(G8="","",INDEX(DIFFERENTIATION_UNMERGE_VD,MATCH(G8,DIFFERENTIATION_ID_DIFF,0)))</f>
        <v/>
      </c>
      <c r="H9" s="2522"/>
      <c r="I9" s="2521">
        <f>IF(I8="","",INDEX(DIFFERENTIATION_UNMERGE_VD,MATCH(I8,DIFFERENTIATION_ID_DIFF,0)))</f>
        <v>0</v>
      </c>
      <c r="J9" s="2522"/>
      <c r="K9" s="2311" t="s">
        <v>302</v>
      </c>
    </row>
    <row s="12890" customFormat="1" customHeight="1" ht="15">
      <c r="A10" s="982"/>
      <c r="C10" s="400"/>
      <c r="D10" s="934"/>
      <c r="E10" s="2498" t="s">
        <v>567</v>
      </c>
      <c r="F10" s="2499"/>
      <c r="G10" s="2521" t="str">
        <f>IF(G8="","",INDEX(DIFFERENTIATION_UNMERGE_AREA,MATCH(G8,DIFFERENTIATION_ID_DIFF,0)))</f>
        <v/>
      </c>
      <c r="H10" s="2522"/>
      <c r="I10" s="2521" t="str">
        <f>IF(I8="","",INDEX(DIFFERENTIATION_UNMERGE_AREA,MATCH(I8,DIFFERENTIATION_ID_DIFF,0)))</f>
        <v/>
      </c>
      <c r="J10" s="2522"/>
      <c r="K10" s="2319"/>
      <c r="U10" s="898"/>
    </row>
    <row s="12890" customFormat="1" customHeight="1" ht="15">
      <c r="A11" s="982"/>
      <c r="C11" s="400"/>
      <c r="D11" s="934"/>
      <c r="E11" s="2498" t="s">
        <v>568</v>
      </c>
      <c r="F11" s="2499"/>
      <c r="G11" s="2521" t="str">
        <f>IF(G8="","",INDEX(DIFFERENTIATION_UNMERGE_SYSTEM,MATCH(G8,DIFFERENTIATION_ID_DIFF,0)))</f>
        <v/>
      </c>
      <c r="H11" s="2522"/>
      <c r="I11" s="2521" t="str">
        <f>IF(I8="","",INDEX(DIFFERENTIATION_UNMERGE_SYSTEM,MATCH(I8,DIFFERENTIATION_ID_DIFF,0)))</f>
        <v>без дифференциации</v>
      </c>
      <c r="J11" s="2522"/>
      <c r="K11" s="2319"/>
      <c r="U11" s="898"/>
    </row>
    <row s="12890" customFormat="1" customHeight="1" ht="15">
      <c r="A12" s="982"/>
      <c r="C12" s="400"/>
      <c r="D12" s="2500" t="s">
        <v>301</v>
      </c>
      <c r="E12" s="2501"/>
      <c r="F12" s="2501"/>
      <c r="G12" s="1110"/>
      <c r="H12" s="1110"/>
      <c r="I12" s="1110"/>
      <c r="J12" s="1110"/>
      <c r="K12" s="2319"/>
      <c r="U12" s="898"/>
    </row>
    <row customHeight="1" ht="33.75">
      <c r="C13" s="400"/>
      <c r="D13" s="1028" t="s">
        <v>87</v>
      </c>
      <c r="E13" s="1030" t="s">
        <v>303</v>
      </c>
      <c r="F13" s="1030" t="s">
        <v>569</v>
      </c>
      <c r="G13" s="1031" t="s">
        <v>304</v>
      </c>
      <c r="H13" s="1030" t="s">
        <v>391</v>
      </c>
      <c r="I13" s="1031" t="s">
        <v>304</v>
      </c>
      <c r="J13" s="1030" t="s">
        <v>391</v>
      </c>
      <c r="K13" s="2372"/>
    </row>
    <row customHeight="1" ht="15" hidden="1">
      <c r="C14" s="400"/>
      <c r="D14" s="816" t="s">
        <v>108</v>
      </c>
      <c r="E14" s="816" t="s">
        <v>109</v>
      </c>
      <c r="F14" s="816" t="s">
        <v>89</v>
      </c>
      <c r="G14" s="882" t="str">
        <f>G1&amp;".1"</f>
        <v>4.1</v>
      </c>
      <c r="H14" s="882"/>
      <c r="I14" s="882" t="str">
        <f>I1&amp;".1"</f>
        <v>4.1</v>
      </c>
      <c r="J14" s="882"/>
      <c r="K14" s="512"/>
    </row>
    <row customHeight="1" ht="22.5" hidden="1">
      <c r="A15" s="728"/>
      <c r="C15" s="749"/>
      <c r="D15" s="744">
        <v>1</v>
      </c>
      <c r="E15" s="900" t="s">
        <v>726</v>
      </c>
      <c r="F15" s="744" t="s">
        <v>727</v>
      </c>
      <c r="G15" s="901"/>
      <c r="H15" s="901"/>
      <c r="I15" s="901"/>
      <c r="J15" s="901"/>
      <c r="K15" s="512" t="s">
        <v>728</v>
      </c>
    </row>
    <row customHeight="1" ht="22.5" hidden="1">
      <c r="A16" s="728"/>
      <c r="C16" s="749"/>
      <c r="D16" s="744">
        <v>2</v>
      </c>
      <c r="E16" s="502" t="s">
        <v>729</v>
      </c>
      <c r="F16" s="744" t="s">
        <v>730</v>
      </c>
      <c r="G16" s="901"/>
      <c r="H16" s="901"/>
      <c r="I16" s="901"/>
      <c r="J16" s="901"/>
      <c r="K16" s="512" t="s">
        <v>731</v>
      </c>
    </row>
    <row customHeight="1" ht="123.75" hidden="1">
      <c r="A17" s="728"/>
      <c r="C17" s="749"/>
      <c r="D17" s="744">
        <v>3</v>
      </c>
      <c r="E17" s="502" t="s">
        <v>1076</v>
      </c>
      <c r="F17" s="744" t="s">
        <v>307</v>
      </c>
      <c r="G17" s="901"/>
      <c r="H17" s="901"/>
      <c r="I17" s="901"/>
      <c r="J17" s="901"/>
      <c r="K17" s="512" t="s">
        <v>1077</v>
      </c>
    </row>
    <row customHeight="1" ht="45">
      <c r="A18" s="728"/>
      <c r="C18" s="749"/>
      <c r="D18" s="744">
        <v>3</v>
      </c>
      <c r="E18" s="502" t="s">
        <v>732</v>
      </c>
      <c r="F18" s="744" t="s">
        <v>307</v>
      </c>
      <c r="G18" s="1032" t="s">
        <v>307</v>
      </c>
      <c r="H18" s="1033" t="s">
        <v>307</v>
      </c>
      <c r="I18" s="744" t="s">
        <v>307</v>
      </c>
      <c r="J18" s="801" t="s">
        <v>307</v>
      </c>
      <c r="K18" s="512" t="s">
        <v>1078</v>
      </c>
    </row>
    <row customHeight="1" ht="33.75">
      <c r="A19" s="728"/>
      <c r="C19" s="749"/>
      <c r="D19" s="762" t="s">
        <v>325</v>
      </c>
      <c r="E19" s="782" t="s">
        <v>734</v>
      </c>
      <c r="F19" s="744" t="s">
        <v>735</v>
      </c>
      <c r="G19" s="1040"/>
      <c r="H19" s="330"/>
      <c r="I19" s="1040"/>
      <c r="J19" s="1041"/>
      <c r="K19" s="902"/>
    </row>
    <row customHeight="1" ht="33.75">
      <c r="A20" s="728"/>
      <c r="C20" s="749"/>
      <c r="D20" s="2119" t="s">
        <v>333</v>
      </c>
      <c r="E20" s="782" t="s">
        <v>736</v>
      </c>
      <c r="F20" s="744" t="s">
        <v>737</v>
      </c>
      <c r="G20" s="1040"/>
      <c r="H20" s="330"/>
      <c r="I20" s="1040"/>
      <c r="J20" s="330"/>
      <c r="K20" s="902"/>
    </row>
    <row customHeight="1" ht="45">
      <c r="A21" s="728"/>
      <c r="C21" s="749"/>
      <c r="D21" s="2119" t="s">
        <v>335</v>
      </c>
      <c r="E21" s="782" t="s">
        <v>738</v>
      </c>
      <c r="F21" s="744" t="s">
        <v>574</v>
      </c>
      <c r="G21" s="903"/>
      <c r="H21" s="330"/>
      <c r="I21" s="903"/>
      <c r="J21" s="330"/>
      <c r="K21" s="902"/>
    </row>
    <row customHeight="1" ht="67.5" hidden="1">
      <c r="A22" s="728"/>
      <c r="C22" s="749"/>
      <c r="D22" s="744">
        <v>5</v>
      </c>
      <c r="E22" s="502" t="s">
        <v>1079</v>
      </c>
      <c r="F22" s="744" t="s">
        <v>561</v>
      </c>
      <c r="G22" s="904"/>
      <c r="H22" s="905"/>
      <c r="I22" s="904"/>
      <c r="J22" s="905"/>
      <c r="K22" s="512" t="s">
        <v>1080</v>
      </c>
    </row>
    <row customHeight="1" ht="33.75" hidden="1">
      <c r="C23" s="674"/>
      <c r="D23" s="744">
        <v>6</v>
      </c>
      <c r="E23" s="502" t="s">
        <v>1081</v>
      </c>
      <c r="F23" s="744" t="s">
        <v>1082</v>
      </c>
      <c r="G23" s="904"/>
      <c r="H23" s="904"/>
      <c r="I23" s="904"/>
      <c r="J23" s="904"/>
      <c r="K23" s="512" t="s">
        <v>1083</v>
      </c>
    </row>
    <row r="29" customHeight="1" ht="15">
      <c r="J29" s="1042"/>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755E29-C667-BF72-750E-8713599FEA1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7402" width="32.57421875" customWidth="1"/>
    <col min="2" max="2" style="17403" width="11.00390625" customWidth="1"/>
    <col min="3" max="3" style="17403" width="9.140625"/>
    <col min="4" max="4" style="17403" width="26.57421875" customWidth="1"/>
    <col min="5" max="5" style="17404" width="27.7109375" customWidth="1"/>
    <col min="6" max="6" style="17404" width="23.57421875" customWidth="1"/>
    <col min="7" max="7" style="17404" width="31.421875" customWidth="1"/>
    <col min="8" max="8" style="17404" width="40.8515625" customWidth="1"/>
    <col min="9" max="9" style="17404" width="14.57421875" customWidth="1"/>
    <col min="10" max="10" style="17404" width="26.8515625" customWidth="1"/>
    <col min="11" max="11" style="17404" width="50.00390625" customWidth="1"/>
    <col min="12" max="12" style="17404" width="52.421875" customWidth="1"/>
    <col min="13" max="13" style="17404" width="10.7109375" customWidth="1"/>
    <col min="14" max="14" style="17404" width="55.140625" customWidth="1"/>
    <col min="15" max="15" style="17404" width="31.8515625" customWidth="1"/>
    <col min="16" max="16" style="17404" width="23.8515625" customWidth="1"/>
    <col min="17" max="17" style="17404" width="46.57421875" customWidth="1"/>
    <col min="18" max="18" style="17404" width="24.00390625" customWidth="1"/>
    <col min="19" max="19" style="17404" width="20.57421875" customWidth="1"/>
    <col min="20" max="20" style="17404" width="22.00390625" customWidth="1"/>
    <col min="21" max="22" style="17404" width="26.421875" customWidth="1"/>
    <col min="23" max="23" style="17404" width="8.28125" hidden="1" customWidth="1"/>
    <col min="24" max="24" style="17404" width="59.7109375" customWidth="1"/>
    <col min="25" max="25" style="17404" width="49.140625" customWidth="1"/>
    <col min="26" max="26" style="17404" width="11.140625" customWidth="1"/>
    <col min="27" max="30" style="17404" width="29.00390625" customWidth="1"/>
    <col min="31" max="31" style="17404" width="9.140625"/>
    <col min="32" max="32" style="17404" width="34.7109375" customWidth="1"/>
    <col min="33" max="33" style="17404" width="9.140625"/>
    <col min="34" max="35" style="17404" width="34.421875" customWidth="1"/>
    <col min="36" max="36" style="17404" width="9.140625"/>
    <col min="37" max="37" style="17404" width="24.57421875" customWidth="1"/>
    <col min="38" max="38" style="17404" width="9.140625"/>
    <col min="39" max="39" style="17404" width="26.140625" customWidth="1"/>
    <col min="40" max="40" style="17404" width="1.7109375" customWidth="1"/>
    <col min="41" max="41" style="17404" width="9.140625"/>
    <col min="42" max="43" style="17404" width="47.8515625" customWidth="1"/>
    <col min="44" max="44" style="17404" width="1.7109375" customWidth="1"/>
    <col min="45" max="45" style="17404" width="21.421875" customWidth="1"/>
    <col min="46" max="46" style="17404" width="1.7109375" customWidth="1"/>
    <col min="47" max="47" style="17404" width="31.28125" customWidth="1"/>
    <col min="48" max="48" style="17404" width="1.7109375" customWidth="1"/>
    <col min="49" max="50" style="17405" width="9.140625"/>
    <col min="51" max="51" style="17404" width="3.7109375" customWidth="1"/>
    <col min="52" max="52" style="17404" width="60.8515625" customWidth="1"/>
    <col min="53" max="53" style="17404" width="49.28125" customWidth="1"/>
    <col min="54" max="54" style="17404" width="35.140625" customWidth="1"/>
    <col min="55" max="55" style="17404" width="9.140625"/>
    <col min="56" max="56" style="17404" width="1.7109375" customWidth="1"/>
    <col min="57" max="57" style="17406" width="12.57421875" customWidth="1"/>
    <col min="58" max="58" style="17406" width="14.28125" customWidth="1"/>
    <col min="59" max="59" style="17404" width="30.7109375" customWidth="1"/>
    <col min="60" max="60" style="17407" width="40.7109375" customWidth="1"/>
    <col min="61" max="61" style="17407" width="15.00390625" customWidth="1"/>
    <col min="62" max="62" style="17407" width="40.7109375" customWidth="1"/>
    <col min="63" max="63" style="17407" width="2.7109375" customWidth="1"/>
    <col min="64" max="64" style="17407" width="44.7109375" customWidth="1"/>
    <col min="65" max="65" style="17407" width="2.7109375" customWidth="1"/>
    <col min="66" max="66" style="17407" width="40.7109375" customWidth="1"/>
    <col min="67" max="68" style="17404" width="9.140625"/>
    <col min="69" max="69" style="17404" width="18.140625" customWidth="1"/>
    <col min="70" max="70" style="17404" width="57.8515625" customWidth="1"/>
    <col min="71" max="71" style="17408" width="1.7109375" customWidth="1"/>
    <col min="72" max="72" style="17404" width="22.57421875" customWidth="1"/>
    <col min="73" max="73" style="17404" width="57.8515625" customWidth="1"/>
    <col min="74" max="74" style="17404" width="1.7109375" customWidth="1"/>
    <col min="75" max="75" style="17404" width="22.57421875" customWidth="1"/>
    <col min="76" max="76" style="17404" width="57.8515625" customWidth="1"/>
    <col min="77" max="77" style="17404" width="1.7109375" customWidth="1"/>
    <col min="78" max="78" style="17404" width="22.57421875" customWidth="1"/>
    <col min="79" max="79" style="17404" width="57.8515625" customWidth="1"/>
    <col min="80" max="81" style="17404" width="9.140625"/>
    <col min="82" max="82" style="17404" width="49.57421875" customWidth="1"/>
  </cols>
  <sheetData>
    <row s="17305" customFormat="1" customHeight="1" ht="11.25">
      <c r="A1" s="1291" t="s">
        <v>1084</v>
      </c>
      <c r="B1" s="1291" t="s">
        <v>1085</v>
      </c>
      <c r="C1" s="1291" t="s">
        <v>1086</v>
      </c>
      <c r="D1" s="1291" t="s">
        <v>1087</v>
      </c>
      <c r="E1" s="1291" t="s">
        <v>1088</v>
      </c>
      <c r="F1" s="1291" t="s">
        <v>1089</v>
      </c>
      <c r="G1" s="1291" t="s">
        <v>1090</v>
      </c>
      <c r="H1" s="1291" t="s">
        <v>1091</v>
      </c>
      <c r="I1" s="1291" t="s">
        <v>1092</v>
      </c>
      <c r="J1" s="1291" t="s">
        <v>1093</v>
      </c>
      <c r="K1" s="1291" t="s">
        <v>1094</v>
      </c>
      <c r="L1" s="1291" t="s">
        <v>1095</v>
      </c>
      <c r="M1" s="1291"/>
      <c r="N1" s="1291" t="s">
        <v>1096</v>
      </c>
      <c r="O1" s="1291" t="s">
        <v>1097</v>
      </c>
      <c r="P1" s="1291" t="s">
        <v>1098</v>
      </c>
      <c r="Q1" s="1291" t="s">
        <v>1099</v>
      </c>
      <c r="R1" s="1291" t="s">
        <v>1100</v>
      </c>
      <c r="S1" s="1291" t="s">
        <v>1101</v>
      </c>
      <c r="T1" s="1291" t="s">
        <v>1102</v>
      </c>
      <c r="U1" s="1291" t="s">
        <v>1103</v>
      </c>
      <c r="V1" s="1291"/>
      <c r="W1" s="1020" t="s">
        <v>1104</v>
      </c>
      <c r="X1" s="1291" t="s">
        <v>1105</v>
      </c>
      <c r="Y1" s="1291" t="s">
        <v>1106</v>
      </c>
      <c r="Z1" s="1291"/>
      <c r="AA1" s="1291" t="s">
        <v>1107</v>
      </c>
      <c r="AB1" s="1291"/>
      <c r="AC1" s="1291" t="s">
        <v>1108</v>
      </c>
      <c r="AD1" s="1291"/>
      <c r="AF1" s="1291" t="s">
        <v>1109</v>
      </c>
      <c r="AH1" s="1291" t="s">
        <v>1110</v>
      </c>
      <c r="AI1" s="1291" t="s">
        <v>1111</v>
      </c>
      <c r="AK1" s="1291" t="s">
        <v>1112</v>
      </c>
      <c r="AM1" s="1291" t="s">
        <v>1113</v>
      </c>
      <c r="AP1" s="1291" t="s">
        <v>1114</v>
      </c>
      <c r="AQ1" s="1291" t="s">
        <v>1115</v>
      </c>
      <c r="AS1" s="1291" t="s">
        <v>1116</v>
      </c>
      <c r="AU1" s="1291" t="s">
        <v>1117</v>
      </c>
      <c r="AW1" s="1291" t="s">
        <v>1118</v>
      </c>
      <c r="AX1" s="1291" t="s">
        <v>1119</v>
      </c>
      <c r="AZ1" s="1377" t="s">
        <v>1120</v>
      </c>
      <c r="BB1" s="1291" t="s">
        <v>1121</v>
      </c>
      <c r="BC1" s="1291"/>
      <c r="BE1" s="1291" t="s">
        <v>1122</v>
      </c>
      <c r="BF1" s="1291" t="s">
        <v>1123</v>
      </c>
      <c r="BH1" s="1293" t="s">
        <v>725</v>
      </c>
      <c r="BI1" s="1294"/>
      <c r="BJ1" s="1295" t="s">
        <v>1124</v>
      </c>
      <c r="BK1" s="1294"/>
      <c r="BL1" s="1296" t="s">
        <v>826</v>
      </c>
      <c r="BM1" s="1294"/>
      <c r="BN1" s="1297" t="s">
        <v>1125</v>
      </c>
      <c r="BS1" s="1655"/>
    </row>
    <row customHeight="1" ht="11.25">
      <c r="A2" s="1298" t="s">
        <v>1126</v>
      </c>
      <c r="B2" s="1299">
        <v>2000</v>
      </c>
      <c r="C2" s="1299">
        <v>2022</v>
      </c>
      <c r="D2" s="1299" t="s">
        <v>66</v>
      </c>
      <c r="E2" s="1300" t="s">
        <v>1127</v>
      </c>
      <c r="F2" s="1300" t="s">
        <v>1128</v>
      </c>
      <c r="G2" s="1300" t="s">
        <v>1129</v>
      </c>
      <c r="H2" s="1301" t="s">
        <v>54</v>
      </c>
      <c r="I2" s="1300" t="s">
        <v>108</v>
      </c>
      <c r="J2" s="1300" t="s">
        <v>1130</v>
      </c>
      <c r="K2" s="1302" t="s">
        <v>1131</v>
      </c>
      <c r="L2" s="1303"/>
      <c r="M2" s="1302">
        <v>1</v>
      </c>
      <c r="N2" s="1387" t="s">
        <v>1132</v>
      </c>
      <c r="O2" s="1301" t="s">
        <v>1133</v>
      </c>
      <c r="P2" s="1304" t="s">
        <v>1134</v>
      </c>
      <c r="Q2" s="1305" t="s">
        <v>1135</v>
      </c>
      <c r="R2" s="367" t="s">
        <v>1136</v>
      </c>
      <c r="S2" s="367" t="s">
        <v>1137</v>
      </c>
      <c r="T2" s="1306" t="s">
        <v>1138</v>
      </c>
      <c r="U2" s="1303" t="s">
        <v>1139</v>
      </c>
      <c r="V2" s="1307">
        <v>1</v>
      </c>
      <c r="W2" s="1308"/>
      <c r="X2" s="1308" t="s">
        <v>1140</v>
      </c>
      <c r="Y2" s="1299" t="s">
        <v>1141</v>
      </c>
      <c r="Z2" s="1309"/>
      <c r="AA2" s="1299" t="s">
        <v>1142</v>
      </c>
      <c r="AB2" s="1310" t="s">
        <v>1142</v>
      </c>
      <c r="AC2" s="1299" t="s">
        <v>1143</v>
      </c>
      <c r="AD2" s="1310" t="s">
        <v>1143</v>
      </c>
      <c r="AF2" s="1301" t="s">
        <v>1139</v>
      </c>
      <c r="AH2" s="1300" t="s">
        <v>1144</v>
      </c>
      <c r="AI2" s="1300" t="s">
        <v>1144</v>
      </c>
      <c r="AK2" s="1300" t="s">
        <v>1145</v>
      </c>
      <c r="AM2" s="1300" t="s">
        <v>1146</v>
      </c>
      <c r="AP2" s="1311" t="s">
        <v>1140</v>
      </c>
      <c r="AQ2" s="1312" t="s">
        <v>1140</v>
      </c>
      <c r="AS2" s="1299" t="s">
        <v>1147</v>
      </c>
      <c r="AU2" s="1345" t="s">
        <v>1148</v>
      </c>
      <c r="AW2" s="1345" t="s">
        <v>1149</v>
      </c>
      <c r="AX2" s="1345" t="s">
        <v>1149</v>
      </c>
      <c r="AZ2" s="1345" t="s">
        <v>1150</v>
      </c>
      <c r="BB2" s="1345" t="s">
        <v>1151</v>
      </c>
      <c r="BC2" s="1345" t="s">
        <v>1152</v>
      </c>
      <c r="BE2" s="1345">
        <v>2000</v>
      </c>
      <c r="BF2" s="1345" t="s">
        <v>1153</v>
      </c>
    </row>
    <row customHeight="1" ht="11.25">
      <c r="A3" s="1298" t="s">
        <v>1154</v>
      </c>
      <c r="B3" s="1299">
        <v>2001</v>
      </c>
      <c r="C3" s="1299">
        <v>2023</v>
      </c>
      <c r="D3" s="1299" t="s">
        <v>56</v>
      </c>
      <c r="E3" s="1300" t="s">
        <v>1155</v>
      </c>
      <c r="F3" s="1300" t="s">
        <v>1156</v>
      </c>
      <c r="G3" s="1300" t="s">
        <v>1157</v>
      </c>
      <c r="H3" s="1301" t="s">
        <v>1158</v>
      </c>
      <c r="I3" s="1300" t="s">
        <v>109</v>
      </c>
      <c r="J3" s="1300" t="s">
        <v>559</v>
      </c>
      <c r="K3" s="1302" t="s">
        <v>1159</v>
      </c>
      <c r="L3" s="1303">
        <f>_xlfn.IFERROR(MATCH(K3,OFFER_METHOD,0),0)</f>
        <v>0</v>
      </c>
      <c r="M3" s="1302">
        <v>2</v>
      </c>
      <c r="N3" s="1387" t="s">
        <v>1160</v>
      </c>
      <c r="O3" s="1301" t="s">
        <v>1161</v>
      </c>
      <c r="P3" s="1304" t="s">
        <v>33</v>
      </c>
      <c r="Q3" s="1305" t="s">
        <v>1162</v>
      </c>
      <c r="R3" s="367" t="s">
        <v>1163</v>
      </c>
      <c r="S3" s="367" t="s">
        <v>1164</v>
      </c>
      <c r="T3" s="1306" t="s">
        <v>1165</v>
      </c>
      <c r="U3" s="1303" t="s">
        <v>1166</v>
      </c>
      <c r="V3" s="1307">
        <v>2</v>
      </c>
      <c r="W3" s="1308"/>
      <c r="X3" s="1308" t="s">
        <v>1167</v>
      </c>
      <c r="Y3" s="1299" t="s">
        <v>1141</v>
      </c>
      <c r="Z3" s="1309"/>
      <c r="AA3" s="1299" t="s">
        <v>1168</v>
      </c>
      <c r="AB3" s="1310" t="s">
        <v>1168</v>
      </c>
      <c r="AC3" s="1299" t="s">
        <v>1169</v>
      </c>
      <c r="AD3" s="1310" t="s">
        <v>1169</v>
      </c>
      <c r="AF3" s="1301" t="s">
        <v>1166</v>
      </c>
      <c r="AH3" s="1300" t="s">
        <v>1170</v>
      </c>
      <c r="AI3" s="1300" t="s">
        <v>1171</v>
      </c>
      <c r="AK3" s="1300" t="s">
        <v>1172</v>
      </c>
      <c r="AM3" s="1300" t="s">
        <v>1173</v>
      </c>
      <c r="AP3" s="1311" t="s">
        <v>1174</v>
      </c>
      <c r="AQ3" s="1312" t="s">
        <v>1174</v>
      </c>
      <c r="AS3" s="1299" t="s">
        <v>1175</v>
      </c>
      <c r="AU3" s="1345" t="s">
        <v>1176</v>
      </c>
      <c r="AW3" s="1345" t="s">
        <v>1177</v>
      </c>
      <c r="AX3" s="1345" t="s">
        <v>1177</v>
      </c>
      <c r="AZ3" s="1345" t="s">
        <v>1178</v>
      </c>
      <c r="BB3" s="1345" t="s">
        <v>1179</v>
      </c>
      <c r="BC3" s="1345" t="s">
        <v>1152</v>
      </c>
      <c r="BE3" s="1345">
        <v>2001</v>
      </c>
      <c r="BF3" s="1345" t="s">
        <v>1180</v>
      </c>
      <c r="BH3" s="1291" t="s">
        <v>1181</v>
      </c>
      <c r="BJ3" s="1291" t="s">
        <v>1182</v>
      </c>
      <c r="BL3" s="1291" t="s">
        <v>1183</v>
      </c>
      <c r="BN3" s="1291" t="s">
        <v>1184</v>
      </c>
      <c r="BR3" s="1291" t="s">
        <v>1185</v>
      </c>
      <c r="BS3" s="1656"/>
      <c r="BT3" s="1294"/>
      <c r="BU3" s="1291" t="s">
        <v>1186</v>
      </c>
      <c r="BV3" s="1294"/>
      <c r="BW3" s="1918"/>
      <c r="BX3" s="1920" t="s">
        <v>1187</v>
      </c>
      <c r="CA3" s="1291" t="s">
        <v>1188</v>
      </c>
    </row>
    <row customHeight="1" ht="11.25">
      <c r="A4" s="1298" t="s">
        <v>1189</v>
      </c>
      <c r="B4" s="1299">
        <v>2002</v>
      </c>
      <c r="C4" s="1299">
        <v>2024</v>
      </c>
      <c r="E4" s="1300" t="s">
        <v>1190</v>
      </c>
      <c r="F4" s="1300" t="s">
        <v>1191</v>
      </c>
      <c r="H4" s="1301" t="s">
        <v>1192</v>
      </c>
      <c r="I4" s="1300" t="s">
        <v>89</v>
      </c>
      <c r="J4" s="1300" t="s">
        <v>1193</v>
      </c>
      <c r="K4" s="1302" t="s">
        <v>1194</v>
      </c>
      <c r="L4" s="1303">
        <f>_xlfn.IFERROR(MATCH(K4,OFFER_METHOD,0),0)</f>
        <v>0</v>
      </c>
      <c r="M4" s="1302">
        <v>3</v>
      </c>
      <c r="N4" s="1387" t="s">
        <v>1195</v>
      </c>
      <c r="O4" s="1300" t="s">
        <v>1196</v>
      </c>
      <c r="Q4" s="1305" t="s">
        <v>1197</v>
      </c>
      <c r="R4" s="367" t="s">
        <v>1198</v>
      </c>
      <c r="S4" s="367" t="s">
        <v>1199</v>
      </c>
      <c r="T4" s="1306" t="s">
        <v>1200</v>
      </c>
      <c r="U4" s="1303" t="s">
        <v>1201</v>
      </c>
      <c r="V4" s="1307">
        <v>3</v>
      </c>
      <c r="W4" s="1308"/>
      <c r="X4" s="1308" t="s">
        <v>1202</v>
      </c>
      <c r="Y4" s="1299" t="s">
        <v>1141</v>
      </c>
      <c r="Z4" s="1315"/>
      <c r="AC4" s="1299" t="s">
        <v>1203</v>
      </c>
      <c r="AD4" s="1310" t="s">
        <v>1203</v>
      </c>
      <c r="AF4" s="1301" t="s">
        <v>1201</v>
      </c>
      <c r="AH4" s="1301" t="s">
        <v>1204</v>
      </c>
      <c r="AK4" s="1300" t="s">
        <v>1205</v>
      </c>
      <c r="AM4" s="1300" t="s">
        <v>1206</v>
      </c>
      <c r="AP4" s="1311" t="s">
        <v>1167</v>
      </c>
      <c r="AQ4" s="1312" t="s">
        <v>1167</v>
      </c>
      <c r="AS4" s="1299" t="s">
        <v>1207</v>
      </c>
      <c r="AU4" s="1345" t="s">
        <v>1208</v>
      </c>
      <c r="AW4" s="1345" t="s">
        <v>1209</v>
      </c>
      <c r="AX4" s="1345" t="s">
        <v>1209</v>
      </c>
      <c r="AZ4" s="1345" t="s">
        <v>1210</v>
      </c>
      <c r="BB4" s="1345" t="s">
        <v>1211</v>
      </c>
      <c r="BC4" s="1345" t="s">
        <v>1212</v>
      </c>
      <c r="BE4" s="1345">
        <v>2002</v>
      </c>
      <c r="BF4" s="1345" t="s">
        <v>1213</v>
      </c>
      <c r="BH4" s="1292" t="s">
        <v>1214</v>
      </c>
      <c r="BJ4" s="1292" t="s">
        <v>1214</v>
      </c>
      <c r="BL4" s="1292" t="s">
        <v>1214</v>
      </c>
      <c r="BN4" s="1292" t="s">
        <v>1214</v>
      </c>
      <c r="BQ4" s="1660" t="s">
        <v>1215</v>
      </c>
      <c r="BR4" s="1384" t="s">
        <v>1216</v>
      </c>
      <c r="BS4" s="497"/>
      <c r="BT4" s="1660" t="s">
        <v>1217</v>
      </c>
      <c r="BU4" s="1384" t="s">
        <v>1218</v>
      </c>
      <c r="BV4" s="1294"/>
      <c r="BW4" s="1925" t="s">
        <v>1219</v>
      </c>
      <c r="BX4" s="1919" t="s">
        <v>1220</v>
      </c>
      <c r="BZ4" s="1660" t="s">
        <v>1221</v>
      </c>
      <c r="CA4" s="1384" t="s">
        <v>1222</v>
      </c>
    </row>
    <row customHeight="1" ht="11.25">
      <c r="A5" s="1298" t="s">
        <v>1223</v>
      </c>
      <c r="B5" s="1299">
        <v>2003</v>
      </c>
      <c r="C5" s="1299">
        <v>2025</v>
      </c>
      <c r="E5" s="1300" t="s">
        <v>1224</v>
      </c>
      <c r="F5" s="1300" t="s">
        <v>1225</v>
      </c>
      <c r="H5" s="1301" t="s">
        <v>1226</v>
      </c>
      <c r="I5" s="1300" t="s">
        <v>90</v>
      </c>
      <c r="K5" s="1302" t="s">
        <v>1227</v>
      </c>
      <c r="L5" s="1303">
        <f>_xlfn.IFERROR(MATCH(K5,OFFER_METHOD,0),0)</f>
        <v>0</v>
      </c>
      <c r="M5" s="1302">
        <v>4</v>
      </c>
      <c r="N5" s="1316" t="s">
        <v>1228</v>
      </c>
      <c r="O5" s="1300" t="s">
        <v>1229</v>
      </c>
      <c r="Q5" s="1305" t="s">
        <v>1230</v>
      </c>
      <c r="R5" s="367" t="s">
        <v>543</v>
      </c>
      <c r="T5" s="1301" t="s">
        <v>1231</v>
      </c>
      <c r="U5" s="1303" t="s">
        <v>1232</v>
      </c>
      <c r="V5" s="1307">
        <v>4</v>
      </c>
      <c r="W5" s="1308"/>
      <c r="X5" s="1308" t="s">
        <v>165</v>
      </c>
      <c r="Y5" s="1299" t="s">
        <v>1233</v>
      </c>
      <c r="Z5" s="1315">
        <v>1</v>
      </c>
      <c r="AF5" s="1301" t="s">
        <v>1234</v>
      </c>
      <c r="AH5" s="1300" t="s">
        <v>1235</v>
      </c>
      <c r="AK5" s="1300" t="s">
        <v>1236</v>
      </c>
      <c r="AM5" s="1300" t="s">
        <v>1237</v>
      </c>
      <c r="AP5" s="1311" t="s">
        <v>165</v>
      </c>
      <c r="AQ5" s="1312" t="s">
        <v>165</v>
      </c>
      <c r="AU5" s="1345" t="s">
        <v>1238</v>
      </c>
      <c r="AW5" s="1345" t="s">
        <v>1239</v>
      </c>
      <c r="AX5" s="1345" t="s">
        <v>1239</v>
      </c>
      <c r="AZ5" s="1345" t="s">
        <v>1240</v>
      </c>
      <c r="BB5" s="1345" t="s">
        <v>1241</v>
      </c>
      <c r="BC5" s="1345" t="s">
        <v>1242</v>
      </c>
      <c r="BE5" s="1345">
        <v>2003</v>
      </c>
      <c r="BF5" s="1345" t="s">
        <v>1243</v>
      </c>
      <c r="BH5" s="1292" t="s">
        <v>1244</v>
      </c>
      <c r="BJ5" s="1292" t="s">
        <v>1244</v>
      </c>
      <c r="BL5" s="1292" t="s">
        <v>1244</v>
      </c>
      <c r="BN5" s="1292" t="s">
        <v>1245</v>
      </c>
      <c r="BQ5" s="1509">
        <v>4213775</v>
      </c>
      <c r="BR5" s="1292" t="s">
        <v>1140</v>
      </c>
      <c r="BS5" s="1657"/>
      <c r="BT5" s="1509">
        <v>64236871</v>
      </c>
      <c r="BU5" s="1292" t="s">
        <v>226</v>
      </c>
      <c r="BV5" s="1294"/>
      <c r="BW5" s="1923">
        <v>4213767</v>
      </c>
      <c r="BX5" s="1921" t="s">
        <v>1246</v>
      </c>
      <c r="BZ5" s="1509">
        <v>64237509</v>
      </c>
      <c r="CA5" s="1523" t="s">
        <v>1247</v>
      </c>
    </row>
    <row customHeight="1" ht="11.25">
      <c r="A6" s="1298" t="s">
        <v>1248</v>
      </c>
      <c r="B6" s="1299">
        <v>2004</v>
      </c>
      <c r="C6" s="1299">
        <v>2026</v>
      </c>
      <c r="E6" s="1300" t="s">
        <v>1249</v>
      </c>
      <c r="F6" s="1317"/>
      <c r="H6" s="1301" t="s">
        <v>1250</v>
      </c>
      <c r="I6" s="1300" t="s">
        <v>110</v>
      </c>
      <c r="J6" s="1291" t="s">
        <v>1251</v>
      </c>
      <c r="L6" s="1303">
        <f>SUM(kind_of_control_method_filter)</f>
        <v>0</v>
      </c>
      <c r="N6" s="1316" t="s">
        <v>1252</v>
      </c>
      <c r="O6" s="1300" t="s">
        <v>1253</v>
      </c>
      <c r="R6" s="367" t="s">
        <v>1135</v>
      </c>
      <c r="T6" s="1301" t="s">
        <v>1254</v>
      </c>
      <c r="U6" s="1303" t="s">
        <v>1234</v>
      </c>
      <c r="V6" s="1307">
        <v>5</v>
      </c>
      <c r="W6" s="1308"/>
      <c r="X6" s="1299" t="s">
        <v>171</v>
      </c>
      <c r="Y6" s="1299" t="s">
        <v>1255</v>
      </c>
      <c r="Z6" s="1315"/>
      <c r="AA6" s="1318"/>
      <c r="AH6" s="1300" t="s">
        <v>1256</v>
      </c>
      <c r="AK6" s="1300" t="s">
        <v>1257</v>
      </c>
      <c r="AM6" s="1300" t="s">
        <v>1258</v>
      </c>
      <c r="AP6" s="1311" t="s">
        <v>171</v>
      </c>
      <c r="AQ6" s="1312" t="s">
        <v>171</v>
      </c>
      <c r="AU6" s="1345" t="s">
        <v>1259</v>
      </c>
      <c r="AW6" s="1345" t="s">
        <v>1260</v>
      </c>
      <c r="AX6" s="1345" t="s">
        <v>1260</v>
      </c>
      <c r="BB6" s="1345" t="s">
        <v>1261</v>
      </c>
      <c r="BC6" s="1345" t="s">
        <v>1242</v>
      </c>
      <c r="BE6" s="1345">
        <v>2004</v>
      </c>
      <c r="BF6" s="1345" t="s">
        <v>1262</v>
      </c>
      <c r="BH6" s="1292" t="s">
        <v>1263</v>
      </c>
      <c r="BJ6" s="1292" t="s">
        <v>1264</v>
      </c>
      <c r="BL6" s="1292" t="s">
        <v>1264</v>
      </c>
      <c r="BN6" s="1292" t="s">
        <v>1265</v>
      </c>
      <c r="BQ6" s="1509">
        <v>4213784</v>
      </c>
      <c r="BR6" s="1523" t="s">
        <v>1174</v>
      </c>
      <c r="BS6" s="1658"/>
      <c r="BT6" s="1509">
        <v>64236872</v>
      </c>
      <c r="BU6" s="1292" t="s">
        <v>231</v>
      </c>
      <c r="BV6" s="1294"/>
      <c r="BW6" s="1923">
        <v>4213768</v>
      </c>
      <c r="BX6" s="1921" t="s">
        <v>255</v>
      </c>
      <c r="BZ6" s="1509">
        <v>64237510</v>
      </c>
      <c r="CA6" s="1292" t="s">
        <v>1266</v>
      </c>
    </row>
    <row customHeight="1" ht="11.25">
      <c r="A7" s="1298" t="s">
        <v>1267</v>
      </c>
      <c r="B7" s="1299">
        <v>2005</v>
      </c>
      <c r="E7" s="1300" t="s">
        <v>1268</v>
      </c>
      <c r="F7" s="1317"/>
      <c r="H7" s="1301" t="s">
        <v>1269</v>
      </c>
      <c r="I7" s="1300" t="s">
        <v>91</v>
      </c>
      <c r="J7" s="1300" t="s">
        <v>1270</v>
      </c>
      <c r="N7" s="1320" t="s">
        <v>1271</v>
      </c>
      <c r="O7" s="1300" t="s">
        <v>1272</v>
      </c>
      <c r="U7" s="1303" t="s">
        <v>56</v>
      </c>
      <c r="V7" s="593" t="s">
        <v>91</v>
      </c>
      <c r="W7" s="1308"/>
      <c r="X7" s="1299" t="s">
        <v>177</v>
      </c>
      <c r="Y7" s="1299" t="s">
        <v>1233</v>
      </c>
      <c r="Z7" s="1315"/>
      <c r="AA7" s="1318"/>
      <c r="AH7" s="1300" t="s">
        <v>1273</v>
      </c>
      <c r="AK7" s="1300" t="s">
        <v>1274</v>
      </c>
      <c r="AM7" s="1300" t="s">
        <v>1275</v>
      </c>
      <c r="AP7" s="1311" t="s">
        <v>177</v>
      </c>
      <c r="AQ7" s="1312" t="s">
        <v>177</v>
      </c>
      <c r="AU7" s="1345" t="s">
        <v>1276</v>
      </c>
      <c r="AW7" s="1345" t="s">
        <v>1277</v>
      </c>
      <c r="AX7" s="1345" t="s">
        <v>1277</v>
      </c>
      <c r="AZ7" s="1291" t="s">
        <v>1278</v>
      </c>
      <c r="BB7" s="1345" t="s">
        <v>1279</v>
      </c>
      <c r="BC7" s="1345" t="s">
        <v>1242</v>
      </c>
      <c r="BE7" s="1345">
        <v>2005</v>
      </c>
      <c r="BF7" s="1345" t="s">
        <v>1280</v>
      </c>
      <c r="BH7" s="1292" t="s">
        <v>1281</v>
      </c>
      <c r="BJ7" s="1292" t="s">
        <v>1263</v>
      </c>
      <c r="BL7" s="1292" t="s">
        <v>1263</v>
      </c>
      <c r="BN7" s="1292" t="s">
        <v>1282</v>
      </c>
      <c r="BQ7" s="1509">
        <v>4213781</v>
      </c>
      <c r="BR7" s="1292" t="s">
        <v>1167</v>
      </c>
      <c r="BS7" s="1657"/>
      <c r="BT7" s="1509">
        <v>64236873</v>
      </c>
      <c r="BU7" s="1292" t="s">
        <v>236</v>
      </c>
      <c r="BV7" s="1294"/>
      <c r="BW7" s="1923">
        <v>4213769</v>
      </c>
      <c r="BX7" s="1921" t="s">
        <v>1283</v>
      </c>
      <c r="BZ7" s="1509">
        <v>64237511</v>
      </c>
      <c r="CA7" s="1292" t="s">
        <v>270</v>
      </c>
    </row>
    <row customHeight="1" ht="11.25">
      <c r="A8" s="1298" t="s">
        <v>1284</v>
      </c>
      <c r="B8" s="1299">
        <v>2006</v>
      </c>
      <c r="E8" s="1300" t="s">
        <v>1285</v>
      </c>
      <c r="F8" s="1317"/>
      <c r="H8" s="1301" t="s">
        <v>1286</v>
      </c>
      <c r="I8" s="1300" t="s">
        <v>92</v>
      </c>
      <c r="J8" s="1300" t="s">
        <v>1287</v>
      </c>
      <c r="N8" s="1388" t="s">
        <v>1288</v>
      </c>
      <c r="O8" s="1300" t="s">
        <v>1289</v>
      </c>
      <c r="V8" s="593" t="s">
        <v>92</v>
      </c>
      <c r="W8" s="1308"/>
      <c r="X8" s="1299" t="s">
        <v>183</v>
      </c>
      <c r="Y8" s="1299" t="s">
        <v>1233</v>
      </c>
      <c r="Z8" s="1315"/>
      <c r="AA8" s="1318"/>
      <c r="AK8" s="1300" t="s">
        <v>1290</v>
      </c>
      <c r="AP8" s="1311" t="s">
        <v>183</v>
      </c>
      <c r="AQ8" s="1312" t="s">
        <v>183</v>
      </c>
      <c r="AU8" s="1345" t="s">
        <v>1291</v>
      </c>
      <c r="AW8" s="1345" t="s">
        <v>1292</v>
      </c>
      <c r="AX8" s="1345" t="s">
        <v>1292</v>
      </c>
      <c r="AZ8" s="1345" t="s">
        <v>1293</v>
      </c>
      <c r="BB8" s="1345" t="s">
        <v>1294</v>
      </c>
      <c r="BC8" s="1345" t="s">
        <v>1242</v>
      </c>
      <c r="BE8" s="1345">
        <v>2006</v>
      </c>
      <c r="BF8" s="1345" t="s">
        <v>1295</v>
      </c>
      <c r="BH8" s="1292" t="s">
        <v>1296</v>
      </c>
      <c r="BJ8" s="1292" t="s">
        <v>1297</v>
      </c>
      <c r="BL8" s="1292" t="s">
        <v>1297</v>
      </c>
      <c r="BN8" s="1292" t="s">
        <v>1298</v>
      </c>
      <c r="BQ8" s="1509">
        <v>4213776</v>
      </c>
      <c r="BR8" s="1292" t="s">
        <v>165</v>
      </c>
      <c r="BS8" s="1657"/>
      <c r="BT8" s="1509">
        <v>64236874</v>
      </c>
      <c r="BU8" s="1523" t="s">
        <v>1299</v>
      </c>
      <c r="BV8" s="1294"/>
      <c r="BW8" s="1923">
        <v>4213770</v>
      </c>
      <c r="BX8" s="1924" t="s">
        <v>1300</v>
      </c>
      <c r="BZ8" s="1509">
        <v>64237512</v>
      </c>
      <c r="CA8" s="1292" t="s">
        <v>265</v>
      </c>
    </row>
    <row customHeight="1" ht="11.25">
      <c r="A9" s="1298" t="s">
        <v>1301</v>
      </c>
      <c r="B9" s="1299">
        <v>2007</v>
      </c>
      <c r="E9" s="1300" t="s">
        <v>1302</v>
      </c>
      <c r="F9" s="1317"/>
      <c r="G9" s="1291" t="s">
        <v>1303</v>
      </c>
      <c r="H9" s="1291" t="s">
        <v>1304</v>
      </c>
      <c r="I9" s="1300" t="s">
        <v>111</v>
      </c>
      <c r="O9" s="1300" t="s">
        <v>1305</v>
      </c>
      <c r="V9" s="593" t="s">
        <v>111</v>
      </c>
      <c r="W9" s="1308"/>
      <c r="X9" s="1299" t="s">
        <v>189</v>
      </c>
      <c r="Y9" s="1299" t="s">
        <v>1141</v>
      </c>
      <c r="Z9" s="1315">
        <v>1</v>
      </c>
      <c r="AA9" s="1318"/>
      <c r="AK9" s="1300" t="s">
        <v>1306</v>
      </c>
      <c r="AP9" s="1311" t="s">
        <v>1307</v>
      </c>
      <c r="AQ9" s="1312" t="s">
        <v>1307</v>
      </c>
      <c r="AW9" s="1345" t="s">
        <v>1308</v>
      </c>
      <c r="AX9" s="1345" t="s">
        <v>1308</v>
      </c>
      <c r="AZ9" s="1345" t="s">
        <v>1309</v>
      </c>
      <c r="BB9" s="1345" t="s">
        <v>1310</v>
      </c>
      <c r="BC9" s="1345" t="s">
        <v>1242</v>
      </c>
      <c r="BE9" s="1345">
        <v>2007</v>
      </c>
      <c r="BF9" s="1345" t="s">
        <v>1311</v>
      </c>
      <c r="BH9" s="1292" t="s">
        <v>1312</v>
      </c>
      <c r="BJ9" s="1292" t="s">
        <v>1313</v>
      </c>
      <c r="BL9" s="1292" t="s">
        <v>1313</v>
      </c>
      <c r="BN9" s="1292" t="s">
        <v>1314</v>
      </c>
      <c r="BQ9" s="1509">
        <v>4213777</v>
      </c>
      <c r="BR9" s="1292" t="s">
        <v>171</v>
      </c>
      <c r="BS9" s="1657"/>
      <c r="BT9" s="1509">
        <v>64236875</v>
      </c>
      <c r="BU9" s="1292" t="s">
        <v>241</v>
      </c>
      <c r="BV9" s="1294"/>
      <c r="BW9" s="1918"/>
      <c r="BX9" s="1918"/>
    </row>
    <row customHeight="1" ht="11.25">
      <c r="A10" s="1298" t="s">
        <v>1315</v>
      </c>
      <c r="B10" s="1299">
        <v>2008</v>
      </c>
      <c r="E10" s="1300" t="s">
        <v>1316</v>
      </c>
      <c r="F10" s="1317"/>
      <c r="G10" s="1300" t="s">
        <v>1317</v>
      </c>
      <c r="H10" s="1300" t="s">
        <v>1318</v>
      </c>
      <c r="I10" s="1300" t="s">
        <v>147</v>
      </c>
      <c r="J10" s="1291" t="s">
        <v>1319</v>
      </c>
      <c r="K10" s="1291" t="s">
        <v>1320</v>
      </c>
      <c r="O10" s="1300" t="s">
        <v>1321</v>
      </c>
      <c r="V10" s="594" t="s">
        <v>147</v>
      </c>
      <c r="W10" s="1321"/>
      <c r="X10" s="1321" t="s">
        <v>201</v>
      </c>
      <c r="Y10" s="1322" t="s">
        <v>1322</v>
      </c>
      <c r="Z10" s="1315"/>
      <c r="AP10" s="1311" t="s">
        <v>201</v>
      </c>
      <c r="AQ10" s="1312" t="s">
        <v>201</v>
      </c>
      <c r="AW10" s="1345" t="s">
        <v>1323</v>
      </c>
      <c r="AX10" s="1345" t="s">
        <v>1323</v>
      </c>
      <c r="AZ10" s="1345" t="s">
        <v>1324</v>
      </c>
      <c r="BB10" s="1345" t="s">
        <v>1325</v>
      </c>
      <c r="BC10" s="1345" t="s">
        <v>1242</v>
      </c>
      <c r="BE10" s="1345">
        <v>2008</v>
      </c>
      <c r="BF10" s="1345" t="s">
        <v>1326</v>
      </c>
      <c r="BH10" s="1292" t="s">
        <v>1327</v>
      </c>
      <c r="BJ10" s="1292" t="s">
        <v>1328</v>
      </c>
      <c r="BL10" s="1292" t="s">
        <v>1328</v>
      </c>
      <c r="BN10" s="1292" t="s">
        <v>1329</v>
      </c>
      <c r="BQ10" s="1509">
        <v>4213778</v>
      </c>
      <c r="BR10" s="1292" t="s">
        <v>177</v>
      </c>
      <c r="BS10" s="1657"/>
      <c r="BT10" s="1509">
        <v>64236876</v>
      </c>
      <c r="BU10" s="1292" t="s">
        <v>221</v>
      </c>
      <c r="BV10" s="1294"/>
      <c r="BW10" s="1918"/>
      <c r="BX10" s="1918"/>
    </row>
    <row customHeight="1" ht="11.25">
      <c r="A11" s="1298" t="s">
        <v>1330</v>
      </c>
      <c r="B11" s="1299">
        <v>2009</v>
      </c>
      <c r="E11" s="1300" t="s">
        <v>1331</v>
      </c>
      <c r="F11" s="1317"/>
      <c r="G11" s="1300" t="s">
        <v>1332</v>
      </c>
      <c r="H11" s="1300" t="s">
        <v>1333</v>
      </c>
      <c r="I11" s="1300" t="s">
        <v>148</v>
      </c>
      <c r="J11" s="1301" t="s">
        <v>1334</v>
      </c>
      <c r="K11" s="1323" t="s">
        <v>1335</v>
      </c>
      <c r="O11" s="1301" t="s">
        <v>1336</v>
      </c>
      <c r="V11" s="593" t="s">
        <v>148</v>
      </c>
      <c r="W11" s="498"/>
      <c r="X11" s="1308" t="s">
        <v>1307</v>
      </c>
      <c r="Y11" s="1299" t="s">
        <v>1337</v>
      </c>
      <c r="Z11" s="1315"/>
      <c r="AP11" s="1311" t="s">
        <v>189</v>
      </c>
      <c r="AQ11" s="1313" t="s">
        <v>189</v>
      </c>
      <c r="AW11" s="1345" t="s">
        <v>1338</v>
      </c>
      <c r="AX11" s="1345" t="s">
        <v>1338</v>
      </c>
      <c r="AZ11" s="1345" t="s">
        <v>1339</v>
      </c>
      <c r="BB11" s="1345" t="s">
        <v>1340</v>
      </c>
      <c r="BC11" s="1345" t="s">
        <v>1242</v>
      </c>
      <c r="BE11" s="1345">
        <v>2009</v>
      </c>
      <c r="BF11" s="1345" t="s">
        <v>1341</v>
      </c>
      <c r="BH11" s="1292" t="s">
        <v>1342</v>
      </c>
      <c r="BJ11" s="1292" t="s">
        <v>1312</v>
      </c>
      <c r="BL11" s="1292" t="s">
        <v>1312</v>
      </c>
      <c r="BN11" s="1292" t="s">
        <v>1343</v>
      </c>
      <c r="BQ11" s="1509">
        <v>4213780</v>
      </c>
      <c r="BR11" s="1292" t="s">
        <v>183</v>
      </c>
      <c r="BS11" s="1657"/>
      <c r="BW11" s="1918"/>
      <c r="BX11" s="1918"/>
    </row>
    <row customHeight="1" ht="11.25">
      <c r="A12" s="1298" t="s">
        <v>1344</v>
      </c>
      <c r="B12" s="1299">
        <v>2010</v>
      </c>
      <c r="E12" s="1300" t="s">
        <v>1345</v>
      </c>
      <c r="F12" s="1317"/>
      <c r="G12" s="1300" t="s">
        <v>1333</v>
      </c>
      <c r="I12" s="1300" t="s">
        <v>149</v>
      </c>
      <c r="J12" s="1301" t="s">
        <v>1346</v>
      </c>
      <c r="K12" s="1323" t="s">
        <v>1347</v>
      </c>
      <c r="O12" s="1301" t="s">
        <v>1135</v>
      </c>
      <c r="V12" s="593" t="s">
        <v>149</v>
      </c>
      <c r="W12" s="1313"/>
      <c r="X12" s="1308" t="s">
        <v>1348</v>
      </c>
      <c r="Y12" s="1299" t="s">
        <v>1141</v>
      </c>
      <c r="AP12" s="1311"/>
      <c r="AW12" s="1345" t="s">
        <v>148</v>
      </c>
      <c r="AX12" s="1345" t="s">
        <v>148</v>
      </c>
      <c r="AZ12" s="1345" t="s">
        <v>1349</v>
      </c>
      <c r="BB12" s="1345" t="s">
        <v>1350</v>
      </c>
      <c r="BC12" s="1345" t="s">
        <v>1242</v>
      </c>
      <c r="BE12" s="1345">
        <v>2010</v>
      </c>
      <c r="BF12" s="1345" t="s">
        <v>1351</v>
      </c>
      <c r="BH12" s="1292" t="s">
        <v>1352</v>
      </c>
      <c r="BJ12" s="1292" t="s">
        <v>1353</v>
      </c>
      <c r="BL12" s="1292" t="s">
        <v>1353</v>
      </c>
      <c r="BN12" s="1292" t="s">
        <v>1354</v>
      </c>
      <c r="BQ12" s="1509">
        <v>4213779</v>
      </c>
      <c r="BR12" s="1292" t="s">
        <v>1307</v>
      </c>
      <c r="BS12" s="1657"/>
      <c r="BT12" s="1294"/>
      <c r="BU12" s="1294"/>
      <c r="BV12" s="1294"/>
      <c r="BW12" s="1918"/>
      <c r="BX12" s="1918"/>
    </row>
    <row customHeight="1" ht="11.25">
      <c r="A13" s="1298" t="s">
        <v>1355</v>
      </c>
      <c r="B13" s="1299">
        <v>2011</v>
      </c>
      <c r="E13" s="1300" t="s">
        <v>1356</v>
      </c>
      <c r="F13" s="1317"/>
      <c r="I13" s="1300" t="s">
        <v>150</v>
      </c>
      <c r="K13" s="1323" t="s">
        <v>1306</v>
      </c>
      <c r="V13" s="593" t="s">
        <v>150</v>
      </c>
      <c r="W13" s="1313"/>
      <c r="X13" s="1313"/>
      <c r="Y13" s="1313"/>
      <c r="AW13" s="1345" t="s">
        <v>149</v>
      </c>
      <c r="AX13" s="1345" t="s">
        <v>149</v>
      </c>
      <c r="BB13" s="1345" t="s">
        <v>1357</v>
      </c>
      <c r="BC13" s="1345" t="s">
        <v>1358</v>
      </c>
      <c r="BE13" s="1345">
        <v>2011</v>
      </c>
      <c r="BF13" s="1345" t="s">
        <v>1359</v>
      </c>
      <c r="BH13" s="1292" t="s">
        <v>1360</v>
      </c>
      <c r="BJ13" s="1292" t="s">
        <v>1342</v>
      </c>
      <c r="BL13" s="1292" t="s">
        <v>1342</v>
      </c>
      <c r="BN13" s="1292" t="s">
        <v>1361</v>
      </c>
      <c r="BQ13" s="1509">
        <v>4213783</v>
      </c>
      <c r="BR13" s="1292" t="s">
        <v>201</v>
      </c>
      <c r="BS13" s="1657"/>
      <c r="BT13" s="1294"/>
      <c r="BU13" s="1294"/>
      <c r="BV13" s="1294"/>
      <c r="BW13" s="1922"/>
      <c r="BX13" s="1918"/>
    </row>
    <row customHeight="1" ht="11.25">
      <c r="A14" s="1298" t="s">
        <v>1362</v>
      </c>
      <c r="B14" s="1299">
        <v>2012</v>
      </c>
      <c r="I14" s="1300" t="s">
        <v>151</v>
      </c>
      <c r="J14" s="1291" t="s">
        <v>1363</v>
      </c>
      <c r="N14" s="1291" t="s">
        <v>1364</v>
      </c>
      <c r="V14" s="1307">
        <v>13</v>
      </c>
      <c r="W14" s="1308"/>
      <c r="X14" s="1308" t="s">
        <v>1174</v>
      </c>
      <c r="Y14" s="1299" t="s">
        <v>1141</v>
      </c>
      <c r="AW14" s="1345" t="s">
        <v>150</v>
      </c>
      <c r="AX14" s="1345" t="s">
        <v>150</v>
      </c>
      <c r="AZ14" s="1291" t="s">
        <v>1365</v>
      </c>
      <c r="BB14" s="1345" t="s">
        <v>1366</v>
      </c>
      <c r="BC14" s="1345" t="s">
        <v>1358</v>
      </c>
      <c r="BE14" s="1345">
        <v>2012</v>
      </c>
      <c r="BH14" s="1292" t="s">
        <v>1282</v>
      </c>
      <c r="BJ14" s="1444" t="s">
        <v>1367</v>
      </c>
      <c r="BL14" s="1444" t="s">
        <v>1367</v>
      </c>
      <c r="BN14" s="1292" t="s">
        <v>1368</v>
      </c>
      <c r="BQ14" s="1509">
        <v>4213782</v>
      </c>
      <c r="BR14" s="1292" t="s">
        <v>189</v>
      </c>
      <c r="BS14" s="1657"/>
      <c r="BT14" s="1294"/>
      <c r="BU14" s="1294"/>
      <c r="BV14" s="1294"/>
      <c r="BW14" s="1922"/>
      <c r="BX14" s="1918"/>
    </row>
    <row customHeight="1" ht="19.5">
      <c r="A15" s="1298" t="s">
        <v>1369</v>
      </c>
      <c r="B15" s="1299">
        <v>2013</v>
      </c>
      <c r="E15" s="1926" t="s">
        <v>1370</v>
      </c>
      <c r="G15" s="1291" t="s">
        <v>1371</v>
      </c>
      <c r="H15" s="1291" t="s">
        <v>1372</v>
      </c>
      <c r="I15" s="1302" t="s">
        <v>152</v>
      </c>
      <c r="J15" s="1313" t="s">
        <v>586</v>
      </c>
      <c r="N15" s="1383" t="s">
        <v>1373</v>
      </c>
      <c r="X15" s="1311"/>
      <c r="AW15" s="1345" t="s">
        <v>151</v>
      </c>
      <c r="AX15" s="1345" t="s">
        <v>151</v>
      </c>
      <c r="AZ15" s="1345" t="s">
        <v>1293</v>
      </c>
      <c r="BB15" s="1345" t="s">
        <v>1374</v>
      </c>
      <c r="BC15" s="1345" t="s">
        <v>1358</v>
      </c>
      <c r="BE15" s="1345">
        <v>2013</v>
      </c>
      <c r="BH15" s="1292" t="s">
        <v>1298</v>
      </c>
      <c r="BJ15" s="1444" t="s">
        <v>1375</v>
      </c>
      <c r="BL15" s="1444" t="s">
        <v>1375</v>
      </c>
      <c r="BN15" s="1292" t="s">
        <v>1376</v>
      </c>
      <c r="BR15" s="1294"/>
      <c r="BS15" s="1659"/>
      <c r="BT15" s="1294"/>
      <c r="BU15" s="1294"/>
      <c r="BV15" s="1294"/>
      <c r="BW15" s="1922"/>
      <c r="BX15" s="1918"/>
    </row>
    <row customHeight="1" ht="21">
      <c r="A16" s="2099" t="s">
        <v>1377</v>
      </c>
      <c r="B16" s="1299">
        <v>2014</v>
      </c>
      <c r="E16" s="1927" t="s">
        <v>1378</v>
      </c>
      <c r="G16" s="1300" t="s">
        <v>1379</v>
      </c>
      <c r="H16" s="1300" t="s">
        <v>1380</v>
      </c>
      <c r="I16" s="1302" t="s">
        <v>1381</v>
      </c>
      <c r="J16" s="1313" t="s">
        <v>559</v>
      </c>
      <c r="N16" s="1383" t="s">
        <v>1382</v>
      </c>
      <c r="AW16" s="1345" t="s">
        <v>152</v>
      </c>
      <c r="AX16" s="1345" t="s">
        <v>152</v>
      </c>
      <c r="AZ16" s="1345" t="s">
        <v>1309</v>
      </c>
      <c r="BB16" s="1345" t="s">
        <v>1383</v>
      </c>
      <c r="BC16" s="1345" t="s">
        <v>1358</v>
      </c>
      <c r="BE16" s="1345">
        <v>2014</v>
      </c>
      <c r="BH16" s="1292" t="s">
        <v>1314</v>
      </c>
      <c r="BJ16" s="1444" t="s">
        <v>1384</v>
      </c>
      <c r="BL16" s="1444" t="s">
        <v>1384</v>
      </c>
      <c r="BN16" s="1292" t="s">
        <v>1385</v>
      </c>
      <c r="BR16" s="1294"/>
      <c r="BS16" s="1659"/>
      <c r="BT16" s="1294"/>
      <c r="BU16" s="1294"/>
      <c r="BV16" s="1294"/>
      <c r="BW16" s="1922"/>
      <c r="BX16" s="1918"/>
    </row>
    <row customHeight="1" ht="21">
      <c r="A17" s="1298" t="s">
        <v>1386</v>
      </c>
      <c r="B17" s="1299">
        <v>2015</v>
      </c>
      <c r="G17" s="1300" t="s">
        <v>1333</v>
      </c>
      <c r="H17" s="1300" t="s">
        <v>1333</v>
      </c>
      <c r="I17" s="1300" t="s">
        <v>1387</v>
      </c>
      <c r="N17" s="1383" t="s">
        <v>1388</v>
      </c>
      <c r="X17" s="1311"/>
      <c r="AW17" s="1345" t="s">
        <v>1381</v>
      </c>
      <c r="AX17" s="1345" t="s">
        <v>1381</v>
      </c>
      <c r="AZ17" s="1345" t="s">
        <v>1389</v>
      </c>
      <c r="BB17" s="1345" t="s">
        <v>1390</v>
      </c>
      <c r="BC17" s="1345" t="s">
        <v>1242</v>
      </c>
      <c r="BE17" s="1345">
        <v>2015</v>
      </c>
      <c r="BH17" s="1292" t="s">
        <v>1329</v>
      </c>
      <c r="BJ17" s="1444" t="s">
        <v>1391</v>
      </c>
      <c r="BL17" s="1444" t="s">
        <v>1391</v>
      </c>
      <c r="BN17" s="1292" t="s">
        <v>1392</v>
      </c>
      <c r="BR17" s="1291" t="s">
        <v>1185</v>
      </c>
      <c r="BS17" s="1656"/>
      <c r="BU17" s="1291" t="s">
        <v>1393</v>
      </c>
      <c r="BV17" s="1294"/>
      <c r="BW17" s="1918"/>
      <c r="BX17" s="1920" t="s">
        <v>1394</v>
      </c>
      <c r="CA17" s="1291" t="s">
        <v>1395</v>
      </c>
      <c r="CD17" s="1291" t="s">
        <v>1396</v>
      </c>
    </row>
    <row customHeight="1" ht="21">
      <c r="A18" s="1298" t="s">
        <v>1397</v>
      </c>
      <c r="B18" s="1299">
        <v>2016</v>
      </c>
      <c r="I18" s="1300" t="s">
        <v>1398</v>
      </c>
      <c r="N18" s="1383" t="s">
        <v>1399</v>
      </c>
      <c r="X18" s="1311"/>
      <c r="AW18" s="1345" t="s">
        <v>1387</v>
      </c>
      <c r="AX18" s="1345" t="s">
        <v>1387</v>
      </c>
      <c r="BB18" s="1345" t="s">
        <v>1400</v>
      </c>
      <c r="BC18" s="1345" t="s">
        <v>1242</v>
      </c>
      <c r="BE18" s="1345">
        <v>2016</v>
      </c>
      <c r="BH18" s="1292" t="s">
        <v>1343</v>
      </c>
      <c r="BJ18" s="1444" t="s">
        <v>1401</v>
      </c>
      <c r="BL18" s="1444" t="s">
        <v>1401</v>
      </c>
      <c r="BN18" s="1292" t="s">
        <v>1402</v>
      </c>
      <c r="BQ18" s="1660" t="s">
        <v>1215</v>
      </c>
      <c r="BR18" s="1384" t="s">
        <v>1216</v>
      </c>
      <c r="BS18" s="497"/>
      <c r="BT18" s="1660" t="s">
        <v>1403</v>
      </c>
      <c r="BU18" s="1384" t="s">
        <v>1404</v>
      </c>
      <c r="BV18" s="1294"/>
      <c r="BW18" s="1925" t="s">
        <v>1405</v>
      </c>
      <c r="BX18" s="1919" t="s">
        <v>1406</v>
      </c>
      <c r="BZ18" s="1660" t="s">
        <v>1407</v>
      </c>
      <c r="CA18" s="1384" t="s">
        <v>1408</v>
      </c>
      <c r="CC18" s="1660" t="s">
        <v>1409</v>
      </c>
      <c r="CD18" s="1384" t="s">
        <v>1410</v>
      </c>
    </row>
    <row customHeight="1" ht="21">
      <c r="A19" s="2099" t="s">
        <v>1411</v>
      </c>
      <c r="B19" s="1299">
        <v>2017</v>
      </c>
      <c r="I19" s="1300" t="s">
        <v>1412</v>
      </c>
      <c r="N19" s="1383" t="s">
        <v>1413</v>
      </c>
      <c r="X19" s="1311"/>
      <c r="AW19" s="1345" t="s">
        <v>1398</v>
      </c>
      <c r="AX19" s="1345" t="s">
        <v>1398</v>
      </c>
      <c r="AZ19" s="1291" t="s">
        <v>1414</v>
      </c>
      <c r="BB19" s="1345" t="s">
        <v>1415</v>
      </c>
      <c r="BC19" s="1345" t="s">
        <v>1242</v>
      </c>
      <c r="BE19" s="1345">
        <v>2017</v>
      </c>
      <c r="BH19" s="1292" t="s">
        <v>1416</v>
      </c>
      <c r="BJ19" s="1444" t="s">
        <v>1417</v>
      </c>
      <c r="BL19" s="1444" t="s">
        <v>1417</v>
      </c>
      <c r="BQ19" s="1509">
        <v>4190064</v>
      </c>
      <c r="BR19" s="1292" t="s">
        <v>1418</v>
      </c>
      <c r="BS19" s="1657"/>
      <c r="BT19" s="1509">
        <v>4189671</v>
      </c>
      <c r="BU19" s="1292" t="s">
        <v>1419</v>
      </c>
      <c r="BV19" s="1294"/>
      <c r="BW19" s="1923">
        <v>4189706</v>
      </c>
      <c r="BX19" s="1921" t="s">
        <v>1420</v>
      </c>
      <c r="BZ19" s="1509">
        <v>4189714</v>
      </c>
      <c r="CA19" s="1292" t="s">
        <v>1421</v>
      </c>
      <c r="CC19" s="1509">
        <v>4189708</v>
      </c>
      <c r="CD19" s="1292" t="s">
        <v>1422</v>
      </c>
    </row>
    <row customHeight="1" ht="21">
      <c r="A20" s="1298" t="s">
        <v>1423</v>
      </c>
      <c r="B20" s="1299">
        <v>2018</v>
      </c>
      <c r="I20" s="1300" t="s">
        <v>1424</v>
      </c>
      <c r="N20" s="1383" t="s">
        <v>1425</v>
      </c>
      <c r="AW20" s="1345" t="s">
        <v>1412</v>
      </c>
      <c r="AX20" s="1345" t="s">
        <v>1412</v>
      </c>
      <c r="AZ20" s="1345" t="s">
        <v>1426</v>
      </c>
      <c r="BB20" s="1345" t="s">
        <v>1427</v>
      </c>
      <c r="BC20" s="1345" t="s">
        <v>1358</v>
      </c>
      <c r="BE20" s="1345">
        <v>2018</v>
      </c>
      <c r="BH20" s="1292" t="s">
        <v>1354</v>
      </c>
      <c r="BJ20" s="1292" t="s">
        <v>1282</v>
      </c>
      <c r="BL20" s="1292" t="s">
        <v>1282</v>
      </c>
      <c r="BQ20" s="1509">
        <v>4190065</v>
      </c>
      <c r="BR20" s="1292" t="s">
        <v>1428</v>
      </c>
      <c r="BS20" s="1657"/>
      <c r="BT20" s="1509">
        <v>4189672</v>
      </c>
      <c r="BU20" s="1292" t="s">
        <v>1429</v>
      </c>
      <c r="BV20" s="1294"/>
      <c r="BW20" s="1923">
        <v>4189705</v>
      </c>
      <c r="BX20" s="1921" t="s">
        <v>1430</v>
      </c>
      <c r="BZ20" s="1509">
        <v>4189713</v>
      </c>
      <c r="CA20" s="1292" t="s">
        <v>1430</v>
      </c>
      <c r="CC20" s="1509">
        <v>4189709</v>
      </c>
      <c r="CD20" s="1292" t="s">
        <v>1431</v>
      </c>
    </row>
    <row customHeight="1" ht="21">
      <c r="A21" s="1298" t="s">
        <v>1432</v>
      </c>
      <c r="B21" s="1299">
        <v>2019</v>
      </c>
      <c r="I21" s="1300" t="s">
        <v>1433</v>
      </c>
      <c r="N21" s="1383" t="s">
        <v>1434</v>
      </c>
      <c r="AW21" s="1345" t="s">
        <v>1424</v>
      </c>
      <c r="AX21" s="1345" t="s">
        <v>1424</v>
      </c>
      <c r="AZ21" s="1345" t="s">
        <v>1435</v>
      </c>
      <c r="BB21" s="1345" t="s">
        <v>1436</v>
      </c>
      <c r="BC21" s="1345" t="s">
        <v>1242</v>
      </c>
      <c r="BE21" s="1345">
        <v>2019</v>
      </c>
      <c r="BH21" s="1292" t="s">
        <v>1361</v>
      </c>
      <c r="BJ21" s="1292" t="s">
        <v>1298</v>
      </c>
      <c r="BL21" s="1292" t="s">
        <v>1298</v>
      </c>
      <c r="BQ21" s="1509">
        <v>4190066</v>
      </c>
      <c r="BR21" s="1292" t="s">
        <v>1437</v>
      </c>
      <c r="BS21" s="1657"/>
      <c r="BT21" s="1509">
        <v>4189673</v>
      </c>
      <c r="BU21" s="1292" t="s">
        <v>1438</v>
      </c>
      <c r="BV21" s="1294"/>
      <c r="BW21" s="1923">
        <v>4189707</v>
      </c>
      <c r="BX21" s="1921" t="s">
        <v>1439</v>
      </c>
      <c r="BZ21" s="1509">
        <v>4189712</v>
      </c>
      <c r="CA21" s="1292" t="s">
        <v>1440</v>
      </c>
      <c r="CC21" s="1509">
        <v>4189710</v>
      </c>
      <c r="CD21" s="1292" t="s">
        <v>1441</v>
      </c>
    </row>
    <row customHeight="1" ht="21">
      <c r="A22" s="1298" t="s">
        <v>1442</v>
      </c>
      <c r="B22" s="1299">
        <v>2020</v>
      </c>
      <c r="N22" s="1383" t="s">
        <v>1443</v>
      </c>
      <c r="AW22" s="1345" t="s">
        <v>1433</v>
      </c>
      <c r="AX22" s="1345" t="s">
        <v>1433</v>
      </c>
      <c r="AZ22" s="1345" t="s">
        <v>1444</v>
      </c>
      <c r="BB22" s="1345" t="s">
        <v>1445</v>
      </c>
      <c r="BC22" s="1345" t="s">
        <v>1242</v>
      </c>
      <c r="BE22" s="1345">
        <v>2020</v>
      </c>
      <c r="BH22" s="1292" t="s">
        <v>1368</v>
      </c>
      <c r="BJ22" s="1292" t="s">
        <v>1314</v>
      </c>
      <c r="BL22" s="1292" t="s">
        <v>1314</v>
      </c>
      <c r="BQ22" s="1509">
        <v>4190067</v>
      </c>
      <c r="BR22" s="1292" t="s">
        <v>1446</v>
      </c>
      <c r="BS22" s="1657"/>
      <c r="BT22" s="1509">
        <v>4189674</v>
      </c>
      <c r="BU22" s="1292" t="s">
        <v>1447</v>
      </c>
      <c r="BV22" s="1294"/>
      <c r="BW22" s="1294"/>
      <c r="CC22" s="1509">
        <v>4189711</v>
      </c>
      <c r="CD22" s="1292" t="s">
        <v>294</v>
      </c>
    </row>
    <row customHeight="1" ht="21">
      <c r="A23" s="1298" t="s">
        <v>1448</v>
      </c>
      <c r="B23" s="1299">
        <v>2021</v>
      </c>
      <c r="AW23" s="1345" t="s">
        <v>1449</v>
      </c>
      <c r="AX23" s="1345" t="s">
        <v>1449</v>
      </c>
      <c r="AZ23" s="1345" t="s">
        <v>1450</v>
      </c>
      <c r="BB23" s="1345" t="s">
        <v>1451</v>
      </c>
      <c r="BC23" s="1345" t="s">
        <v>1152</v>
      </c>
      <c r="BE23" s="1345">
        <v>2021</v>
      </c>
      <c r="BH23" s="1292" t="s">
        <v>1376</v>
      </c>
      <c r="BJ23" s="1292" t="s">
        <v>1329</v>
      </c>
      <c r="BL23" s="1292" t="s">
        <v>1329</v>
      </c>
      <c r="BQ23" s="1509">
        <v>4190068</v>
      </c>
      <c r="BR23" s="1292" t="s">
        <v>1452</v>
      </c>
      <c r="BS23" s="1657"/>
      <c r="BT23" s="1509">
        <v>4189675</v>
      </c>
      <c r="BU23" s="1292" t="s">
        <v>1453</v>
      </c>
      <c r="BV23" s="1294"/>
      <c r="BW23" s="1294"/>
      <c r="CC23" s="1509">
        <v>5110778</v>
      </c>
      <c r="CD23" s="1292" t="s">
        <v>1454</v>
      </c>
    </row>
    <row customHeight="1" ht="21">
      <c r="A24" s="1298" t="s">
        <v>1455</v>
      </c>
      <c r="B24" s="1299">
        <v>2022</v>
      </c>
      <c r="AW24" s="1345" t="s">
        <v>1456</v>
      </c>
      <c r="AX24" s="1345" t="s">
        <v>1456</v>
      </c>
      <c r="AZ24" s="1345" t="s">
        <v>1457</v>
      </c>
      <c r="BB24" s="1345" t="s">
        <v>1458</v>
      </c>
      <c r="BC24" s="1345" t="s">
        <v>1459</v>
      </c>
      <c r="BE24" s="1345">
        <v>2022</v>
      </c>
      <c r="BH24" s="1292" t="s">
        <v>1385</v>
      </c>
      <c r="BJ24" s="1292" t="s">
        <v>1343</v>
      </c>
      <c r="BL24" s="1292" t="s">
        <v>1343</v>
      </c>
      <c r="BQ24" s="1509">
        <v>4190069</v>
      </c>
      <c r="BR24" s="1292" t="s">
        <v>1460</v>
      </c>
      <c r="BS24" s="1657"/>
      <c r="BT24" s="1509">
        <v>4189676</v>
      </c>
      <c r="BU24" s="1292" t="s">
        <v>1461</v>
      </c>
      <c r="BV24" s="1294"/>
      <c r="BW24" s="1294"/>
      <c r="CC24" s="1509">
        <v>25575374</v>
      </c>
      <c r="CD24" s="1292" t="s">
        <v>1462</v>
      </c>
    </row>
    <row customHeight="1" ht="11.25">
      <c r="A25" s="1298" t="s">
        <v>1463</v>
      </c>
      <c r="B25" s="1299">
        <v>2023</v>
      </c>
      <c r="AW25" s="1345" t="s">
        <v>1464</v>
      </c>
      <c r="AX25" s="1345" t="s">
        <v>1464</v>
      </c>
      <c r="AZ25" s="1345" t="s">
        <v>1465</v>
      </c>
      <c r="BB25" s="1345" t="s">
        <v>1466</v>
      </c>
      <c r="BC25" s="1345" t="s">
        <v>1459</v>
      </c>
      <c r="BE25" s="1345">
        <v>2023</v>
      </c>
      <c r="BH25" s="1292" t="s">
        <v>1392</v>
      </c>
      <c r="BJ25" s="1292" t="s">
        <v>1416</v>
      </c>
      <c r="BL25" s="1292" t="s">
        <v>1416</v>
      </c>
      <c r="BQ25" s="1509">
        <v>4190070</v>
      </c>
      <c r="BR25" s="1292" t="s">
        <v>1467</v>
      </c>
      <c r="BS25" s="1657"/>
      <c r="BT25" s="1509">
        <v>4189677</v>
      </c>
      <c r="BU25" s="1292" t="s">
        <v>1468</v>
      </c>
      <c r="BV25" s="1294"/>
      <c r="BW25" s="1294"/>
    </row>
    <row customHeight="1" ht="11.25">
      <c r="A26" s="1298" t="s">
        <v>1469</v>
      </c>
      <c r="B26" s="1299">
        <v>2024</v>
      </c>
      <c r="J26" s="1959" t="s">
        <v>1470</v>
      </c>
      <c r="AX26" s="1345" t="s">
        <v>1471</v>
      </c>
      <c r="AZ26" s="1345" t="s">
        <v>1336</v>
      </c>
      <c r="BB26" s="1345" t="s">
        <v>1472</v>
      </c>
      <c r="BC26" s="1345" t="s">
        <v>1459</v>
      </c>
      <c r="BE26" s="1345">
        <v>2024</v>
      </c>
      <c r="BH26" s="1292" t="s">
        <v>1402</v>
      </c>
      <c r="BJ26" s="1292" t="s">
        <v>1354</v>
      </c>
      <c r="BL26" s="1292" t="s">
        <v>1354</v>
      </c>
      <c r="BQ26" s="1509">
        <v>4190071</v>
      </c>
      <c r="BR26" s="1292" t="s">
        <v>1473</v>
      </c>
      <c r="BS26" s="1657"/>
      <c r="BV26" s="1294"/>
      <c r="BW26" s="1294"/>
    </row>
    <row customHeight="1" ht="11.25">
      <c r="A27" s="1298" t="s">
        <v>1474</v>
      </c>
      <c r="B27" s="1299">
        <v>2025</v>
      </c>
      <c r="J27" s="400" t="s">
        <v>531</v>
      </c>
      <c r="AX27" s="1345" t="s">
        <v>1475</v>
      </c>
      <c r="BB27" s="1345" t="s">
        <v>1476</v>
      </c>
      <c r="BC27" s="1345" t="s">
        <v>1459</v>
      </c>
      <c r="BE27" s="1345">
        <v>2025</v>
      </c>
      <c r="BH27" s="1294" t="s">
        <v>24</v>
      </c>
      <c r="BJ27" s="1292" t="s">
        <v>1361</v>
      </c>
      <c r="BL27" s="1292" t="s">
        <v>1361</v>
      </c>
      <c r="BN27" s="1294" t="s">
        <v>24</v>
      </c>
      <c r="BQ27" s="1509">
        <v>4190072</v>
      </c>
      <c r="BR27" s="1292" t="s">
        <v>1477</v>
      </c>
      <c r="BS27" s="1657"/>
      <c r="BV27" s="1294"/>
      <c r="BW27" s="1294"/>
    </row>
    <row customHeight="1" ht="11.25">
      <c r="A28" s="1298" t="s">
        <v>1478</v>
      </c>
      <c r="D28" s="1325"/>
      <c r="E28" s="1326"/>
      <c r="F28" s="1326"/>
      <c r="H28" s="1327" t="s">
        <v>1479</v>
      </c>
      <c r="AX28" s="1345" t="s">
        <v>1480</v>
      </c>
      <c r="AZ28" s="1291" t="s">
        <v>1481</v>
      </c>
      <c r="BB28" s="1345" t="s">
        <v>1482</v>
      </c>
      <c r="BC28" s="1345" t="s">
        <v>1483</v>
      </c>
      <c r="BE28" s="1345">
        <v>2026</v>
      </c>
      <c r="BH28" s="1294" t="s">
        <v>24</v>
      </c>
      <c r="BJ28" s="1292" t="s">
        <v>1368</v>
      </c>
      <c r="BL28" s="1292" t="s">
        <v>1368</v>
      </c>
      <c r="BN28" s="1294" t="s">
        <v>24</v>
      </c>
      <c r="BQ28" s="1509">
        <v>4190073</v>
      </c>
      <c r="BR28" s="1292" t="s">
        <v>1484</v>
      </c>
      <c r="BS28" s="1657"/>
      <c r="BV28" s="1294"/>
      <c r="BW28" s="1294"/>
    </row>
    <row customHeight="1" ht="11.25">
      <c r="A29" s="1298" t="s">
        <v>1485</v>
      </c>
      <c r="D29" s="1328" t="s">
        <v>1486</v>
      </c>
      <c r="E29" s="1329" t="str">
        <f>IF(TEMPLATE_GROUP="","",INDEX(StartDateList,MATCH(TEMPLATE_GROUP,CodeTemplateList,0),1))</f>
        <v>45287.50564814815</v>
      </c>
      <c r="F29" s="1329" t="str">
        <f>IF(TEMPLATE_GROUP="","",INDEX(EndDateList,MATCH(TEMPLATE_GROUP,CodeTemplateList,0),1))</f>
        <v>51501.505740740744</v>
      </c>
      <c r="H29" s="1330" t="s">
        <v>1487</v>
      </c>
      <c r="AX29" s="1345" t="s">
        <v>1488</v>
      </c>
      <c r="AZ29" s="1345" t="s">
        <v>1136</v>
      </c>
      <c r="BB29" s="1345" t="s">
        <v>1336</v>
      </c>
      <c r="BC29" s="1315"/>
      <c r="BE29" s="1345">
        <v>2027</v>
      </c>
      <c r="BJ29" s="1292" t="s">
        <v>1376</v>
      </c>
      <c r="BL29" s="1292" t="s">
        <v>1376</v>
      </c>
    </row>
    <row customHeight="1" ht="11.25">
      <c r="A30" s="1298" t="s">
        <v>1489</v>
      </c>
      <c r="D30" s="1331"/>
      <c r="E30" s="1332"/>
      <c r="F30" s="1332"/>
      <c r="AX30" s="1345" t="s">
        <v>1490</v>
      </c>
      <c r="AZ30" s="1345" t="s">
        <v>1163</v>
      </c>
      <c r="BE30" s="1345">
        <v>2028</v>
      </c>
      <c r="BJ30" s="1292" t="s">
        <v>1491</v>
      </c>
      <c r="BL30" s="1292" t="s">
        <v>1491</v>
      </c>
    </row>
    <row customHeight="1" ht="12.75">
      <c r="A31" s="1298" t="s">
        <v>1492</v>
      </c>
      <c r="D31" s="1325"/>
      <c r="E31" s="1326"/>
      <c r="F31" s="1326"/>
      <c r="H31" s="1333"/>
      <c r="AX31" s="1345" t="s">
        <v>1493</v>
      </c>
      <c r="AZ31" s="1345" t="s">
        <v>544</v>
      </c>
      <c r="BE31" s="1345">
        <v>2029</v>
      </c>
      <c r="BJ31" s="1292" t="s">
        <v>1494</v>
      </c>
      <c r="BL31" s="1292" t="s">
        <v>1494</v>
      </c>
    </row>
    <row customHeight="1" ht="11.25">
      <c r="A32" s="1298" t="s">
        <v>1495</v>
      </c>
      <c r="D32" s="1328" t="s">
        <v>1496</v>
      </c>
      <c r="E32" s="1329" t="str">
        <f>IF(TEMPLATE_GROUP="","",INDEX(StartDateList,MATCH(TEMPLATE_GROUP,CodeTemplateList,0),1))</f>
        <v>45287.50564814815</v>
      </c>
      <c r="F32" s="1329" t="str">
        <f>IF(TEMPLATE_GROUP="","",INDEX(EndDateList,MATCH(TEMPLATE_GROUP,CodeTemplateList,0),1))</f>
        <v>51501.505740740744</v>
      </c>
      <c r="H32" s="1334" t="s">
        <v>1497</v>
      </c>
      <c r="O32" s="1298" t="s">
        <v>1133</v>
      </c>
      <c r="AX32" s="1345" t="s">
        <v>1498</v>
      </c>
      <c r="AZ32" s="1345" t="s">
        <v>543</v>
      </c>
      <c r="BE32" s="1345">
        <v>2030</v>
      </c>
      <c r="BJ32" s="1292" t="s">
        <v>1385</v>
      </c>
      <c r="BL32" s="1292" t="s">
        <v>1385</v>
      </c>
    </row>
    <row customHeight="1" ht="11.25">
      <c r="A33" s="1298" t="s">
        <v>1499</v>
      </c>
      <c r="O33" s="1298" t="s">
        <v>1161</v>
      </c>
      <c r="AX33" s="1345" t="s">
        <v>1500</v>
      </c>
      <c r="AZ33" s="1345" t="s">
        <v>1135</v>
      </c>
      <c r="BE33" s="1345">
        <v>2031</v>
      </c>
      <c r="BJ33" s="1292" t="s">
        <v>1392</v>
      </c>
      <c r="BL33" s="1292" t="s">
        <v>1392</v>
      </c>
    </row>
    <row customHeight="1" ht="11.25">
      <c r="A34" s="1298" t="s">
        <v>1501</v>
      </c>
      <c r="O34" s="1298" t="s">
        <v>1196</v>
      </c>
      <c r="AX34" s="1345" t="s">
        <v>1502</v>
      </c>
      <c r="BE34" s="1345">
        <v>2032</v>
      </c>
      <c r="BJ34" s="1292" t="s">
        <v>1402</v>
      </c>
      <c r="BL34" s="1292" t="s">
        <v>1402</v>
      </c>
    </row>
    <row customHeight="1" ht="11.25">
      <c r="A35" s="1298" t="s">
        <v>1503</v>
      </c>
      <c r="O35" s="1298" t="s">
        <v>1229</v>
      </c>
      <c r="AX35" s="1345" t="s">
        <v>1504</v>
      </c>
      <c r="AZ35" s="1291" t="s">
        <v>1505</v>
      </c>
      <c r="BE35" s="1345">
        <v>2033</v>
      </c>
      <c r="BL35" s="1292" t="s">
        <v>1506</v>
      </c>
    </row>
    <row customHeight="1" ht="11.25">
      <c r="A36" s="2099" t="s">
        <v>1507</v>
      </c>
      <c r="D36" s="1335" t="s">
        <v>1508</v>
      </c>
      <c r="E36" s="1336" t="s">
        <v>812</v>
      </c>
      <c r="F36" s="1337" t="str">
        <f>INDEX(E37:E41,MATCH(TEMPLATE_SPHERE,F37:F41,0))</f>
        <v>горячего водоснабжения</v>
      </c>
      <c r="G36" s="1337" t="str">
        <f>INDEX(G37:G41,MATCH(TEMPLATE_SPHERE,F37:F41,0))</f>
        <v>горячее водоснабжение</v>
      </c>
      <c r="O36" s="1298" t="s">
        <v>1253</v>
      </c>
      <c r="AX36" s="1345" t="s">
        <v>1509</v>
      </c>
      <c r="AZ36" s="1345" t="s">
        <v>1135</v>
      </c>
      <c r="BE36" s="1345">
        <v>2034</v>
      </c>
      <c r="BL36" s="1292" t="s">
        <v>1510</v>
      </c>
    </row>
    <row customHeight="1" ht="11.25">
      <c r="A37" s="1298" t="s">
        <v>1511</v>
      </c>
      <c r="E37" s="630" t="s">
        <v>1512</v>
      </c>
      <c r="F37" s="1338" t="s">
        <v>725</v>
      </c>
      <c r="G37" s="630" t="s">
        <v>1513</v>
      </c>
      <c r="O37" s="1298" t="s">
        <v>1272</v>
      </c>
      <c r="AX37" s="1345" t="s">
        <v>1514</v>
      </c>
      <c r="AZ37" s="1345" t="s">
        <v>1162</v>
      </c>
      <c r="BE37" s="1345">
        <v>2035</v>
      </c>
    </row>
    <row customHeight="1" ht="11.25">
      <c r="A38" s="1298" t="s">
        <v>1515</v>
      </c>
      <c r="E38" s="630" t="s">
        <v>1516</v>
      </c>
      <c r="F38" s="1339" t="s">
        <v>771</v>
      </c>
      <c r="G38" s="630" t="s">
        <v>1517</v>
      </c>
      <c r="O38" s="1298" t="s">
        <v>1289</v>
      </c>
      <c r="AX38" s="1345" t="s">
        <v>1518</v>
      </c>
      <c r="AZ38" s="1345" t="s">
        <v>1197</v>
      </c>
      <c r="BE38" s="1345">
        <v>2036</v>
      </c>
      <c r="BH38" s="1291" t="s">
        <v>1519</v>
      </c>
      <c r="BJ38" s="1291" t="s">
        <v>1520</v>
      </c>
      <c r="BL38" s="1291" t="s">
        <v>1521</v>
      </c>
      <c r="BN38" s="1291" t="s">
        <v>1522</v>
      </c>
    </row>
    <row customHeight="1" ht="11.25">
      <c r="A39" s="1298" t="s">
        <v>1523</v>
      </c>
      <c r="E39" s="630" t="s">
        <v>1524</v>
      </c>
      <c r="F39" s="1339" t="s">
        <v>826</v>
      </c>
      <c r="G39" s="630" t="s">
        <v>1525</v>
      </c>
      <c r="O39" s="1298" t="s">
        <v>1305</v>
      </c>
      <c r="AX39" s="1345" t="s">
        <v>1526</v>
      </c>
      <c r="AZ39" s="1345" t="s">
        <v>1230</v>
      </c>
      <c r="BE39" s="1345">
        <v>2037</v>
      </c>
      <c r="BH39" s="1292" t="s">
        <v>1527</v>
      </c>
      <c r="BJ39" s="1444" t="s">
        <v>1527</v>
      </c>
      <c r="BL39" s="1444" t="s">
        <v>1527</v>
      </c>
      <c r="BN39" s="1292" t="s">
        <v>1528</v>
      </c>
    </row>
    <row customHeight="1" ht="11.25">
      <c r="A40" s="1298" t="s">
        <v>1529</v>
      </c>
      <c r="E40" s="630" t="s">
        <v>1530</v>
      </c>
      <c r="F40" s="1339" t="s">
        <v>812</v>
      </c>
      <c r="G40" s="630" t="s">
        <v>1531</v>
      </c>
      <c r="O40" s="1298" t="s">
        <v>1321</v>
      </c>
      <c r="AX40" s="1345" t="s">
        <v>1532</v>
      </c>
      <c r="BE40" s="1345">
        <v>2038</v>
      </c>
      <c r="BH40" s="1292" t="s">
        <v>1533</v>
      </c>
      <c r="BJ40" s="1444" t="s">
        <v>947</v>
      </c>
      <c r="BL40" s="1444" t="s">
        <v>947</v>
      </c>
      <c r="BN40" s="1292" t="s">
        <v>981</v>
      </c>
    </row>
    <row customHeight="1" ht="11.25">
      <c r="A41" s="1298" t="s">
        <v>1534</v>
      </c>
      <c r="E41" s="630" t="s">
        <v>1535</v>
      </c>
      <c r="F41" s="1339" t="s">
        <v>1536</v>
      </c>
      <c r="G41" s="630" t="s">
        <v>1535</v>
      </c>
      <c r="O41" s="1298" t="s">
        <v>1336</v>
      </c>
      <c r="AX41" s="1345" t="s">
        <v>1537</v>
      </c>
      <c r="AZ41" s="1291" t="s">
        <v>1538</v>
      </c>
      <c r="BE41" s="1345">
        <v>2039</v>
      </c>
      <c r="BH41" s="1292" t="s">
        <v>1539</v>
      </c>
      <c r="BJ41" s="1444" t="s">
        <v>943</v>
      </c>
      <c r="BL41" s="1444" t="s">
        <v>943</v>
      </c>
      <c r="BN41" s="1292" t="s">
        <v>968</v>
      </c>
    </row>
    <row customHeight="1" ht="11.25">
      <c r="A42" s="1298" t="s">
        <v>1540</v>
      </c>
      <c r="AX42" s="1345" t="s">
        <v>1541</v>
      </c>
      <c r="AZ42" s="1345" t="s">
        <v>1133</v>
      </c>
      <c r="BE42" s="1345">
        <v>2040</v>
      </c>
      <c r="BH42" s="1292" t="s">
        <v>965</v>
      </c>
      <c r="BJ42" s="1444" t="s">
        <v>945</v>
      </c>
      <c r="BL42" s="1444" t="s">
        <v>945</v>
      </c>
      <c r="BN42" s="1292" t="s">
        <v>1542</v>
      </c>
    </row>
    <row customHeight="1" ht="11.25">
      <c r="A43" s="1298" t="s">
        <v>1543</v>
      </c>
      <c r="AX43" s="1345" t="s">
        <v>1544</v>
      </c>
      <c r="AZ43" s="1345" t="s">
        <v>1161</v>
      </c>
      <c r="BE43" s="1345">
        <v>2041</v>
      </c>
      <c r="BH43" s="1292" t="s">
        <v>1545</v>
      </c>
      <c r="BJ43" s="1444" t="s">
        <v>1539</v>
      </c>
      <c r="BL43" s="1444" t="s">
        <v>1539</v>
      </c>
      <c r="BN43" s="1292" t="s">
        <v>1546</v>
      </c>
    </row>
    <row customHeight="1" ht="11.25">
      <c r="A44" s="1298" t="s">
        <v>1547</v>
      </c>
      <c r="I44" s="1022" t="s">
        <v>1548</v>
      </c>
      <c r="J44" s="1313" t="s">
        <v>1549</v>
      </c>
      <c r="K44" s="1313" t="s">
        <v>1550</v>
      </c>
      <c r="AX44" s="1345" t="s">
        <v>1551</v>
      </c>
      <c r="AZ44" s="1345" t="s">
        <v>1196</v>
      </c>
      <c r="BE44" s="1345">
        <v>2042</v>
      </c>
      <c r="BH44" s="1292" t="s">
        <v>1552</v>
      </c>
      <c r="BJ44" s="1444" t="s">
        <v>965</v>
      </c>
      <c r="BL44" s="1444" t="s">
        <v>965</v>
      </c>
      <c r="BN44" s="1292" t="s">
        <v>1553</v>
      </c>
    </row>
    <row customHeight="1" ht="11.25">
      <c r="A45" s="1298" t="s">
        <v>1554</v>
      </c>
      <c r="D45" s="1335" t="s">
        <v>1555</v>
      </c>
      <c r="E45" s="1336" t="s">
        <v>1556</v>
      </c>
      <c r="F45" s="1020" t="s">
        <v>1557</v>
      </c>
      <c r="G45" s="1019" t="s">
        <v>1558</v>
      </c>
      <c r="H45" s="1022" t="s">
        <v>1559</v>
      </c>
      <c r="I45" s="1969">
        <f>INDEX(PeriodIsEmptyList,MATCH(TEMPLATE_GROUP,CodeTemplateList,0),1)</f>
        <v>0</v>
      </c>
      <c r="J45" s="1972" t="str">
        <f>INDEX(NameTemplatesInTitleList,MATCH(TEMPLATE_GROUP,CodeTemplateList,0),1)</f>
        <v>Показатели, подлежащие раскрытию в сфере горячего водоснабжения (цены и тарифы)</v>
      </c>
      <c r="K45" s="197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5" t="s">
        <v>1560</v>
      </c>
      <c r="AZ45" s="1345" t="s">
        <v>1229</v>
      </c>
      <c r="BE45" s="1345">
        <v>2043</v>
      </c>
      <c r="BH45" s="1292" t="s">
        <v>1561</v>
      </c>
      <c r="BJ45" s="1444" t="s">
        <v>959</v>
      </c>
      <c r="BL45" s="1444" t="s">
        <v>959</v>
      </c>
      <c r="BN45" s="1292" t="s">
        <v>1562</v>
      </c>
    </row>
    <row customHeight="1" ht="11.25">
      <c r="A46" s="1298" t="s">
        <v>1563</v>
      </c>
      <c r="E46" s="630" t="s">
        <v>22</v>
      </c>
      <c r="F46" s="1338" t="s">
        <v>1564</v>
      </c>
      <c r="G46" s="1340"/>
      <c r="H46" s="1340"/>
      <c r="I46" s="1970">
        <f>IF(TITLE_DATE_FIL="",TRUE,FALSE)</f>
        <v>1</v>
      </c>
      <c r="J46" s="1973" t="str">
        <f>"Общая информация о регулируемой организации ("&amp;TEMPLATE_SPHERE_RUS&amp;")"</f>
        <v>Общая информация о регулируемой организации (горячего водоснабжения)</v>
      </c>
      <c r="K46" s="1974"/>
      <c r="AX46" s="1345" t="s">
        <v>1565</v>
      </c>
      <c r="AZ46" s="1345" t="s">
        <v>1253</v>
      </c>
      <c r="BE46" s="1345">
        <v>2044</v>
      </c>
      <c r="BH46" s="1292" t="s">
        <v>968</v>
      </c>
      <c r="BJ46" s="1444" t="s">
        <v>949</v>
      </c>
      <c r="BL46" s="1444" t="s">
        <v>949</v>
      </c>
      <c r="BN46" s="1292" t="s">
        <v>1566</v>
      </c>
    </row>
    <row customHeight="1" ht="11.25">
      <c r="A47" s="1298" t="s">
        <v>1567</v>
      </c>
      <c r="E47" s="630" t="s">
        <v>29</v>
      </c>
      <c r="F47" s="1339" t="s">
        <v>1568</v>
      </c>
      <c r="G47" s="1341" t="str">
        <f>IF(f_year="","",IF(LEN(f_quart)=0,"",IF(f_quart="I квартал","01.01."&amp;f_year,IF(f_quart="II квартал","01.04."&amp;f_year,(IF(f_quart="III квартал","01.07."&amp;f_year,"01.10."&amp;f_year))))))</f>
        <v/>
      </c>
      <c r="H47" s="1341" t="str">
        <f>IF(f_year="","",IF(LEN(f_quart)=0,"",IF(f_quart="I квартал","31.03."&amp;f_year,IF(f_quart="II квартал","30.06."&amp;f_year,(IF(f_quart="III квартал","30.09."&amp;f_year,"31.12."&amp;f_year))))))</f>
        <v/>
      </c>
      <c r="I47" s="1971">
        <f>IF(OR(f_year="",f_quart=""),TRUE,FALSE)</f>
        <v>1</v>
      </c>
      <c r="J47" s="197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74"/>
      <c r="AX47" s="1345" t="s">
        <v>1569</v>
      </c>
      <c r="AZ47" s="1345" t="s">
        <v>1272</v>
      </c>
      <c r="BE47" s="1345">
        <v>2045</v>
      </c>
      <c r="BH47" s="1292" t="s">
        <v>1542</v>
      </c>
      <c r="BJ47" s="1444" t="s">
        <v>951</v>
      </c>
      <c r="BL47" s="1444" t="s">
        <v>951</v>
      </c>
      <c r="BN47" s="1292" t="s">
        <v>1570</v>
      </c>
    </row>
    <row customHeight="1" ht="11.25">
      <c r="A48" s="1298" t="s">
        <v>1571</v>
      </c>
      <c r="E48" s="630" t="s">
        <v>1572</v>
      </c>
      <c r="F48" s="1339" t="s">
        <v>1573</v>
      </c>
      <c r="G48" s="1341" t="str">
        <f>IF(f_year="","","01.01."&amp;f_year)</f>
        <v/>
      </c>
      <c r="H48" s="1341" t="str">
        <f>IF(f_year="","","31.12."&amp;f_year)</f>
        <v/>
      </c>
      <c r="I48" s="1970">
        <f>IF(f_year="",TRUE,FALSE)</f>
        <v>1</v>
      </c>
      <c r="J48" s="1973" t="s">
        <v>1574</v>
      </c>
      <c r="K48" s="1974"/>
      <c r="AX48" s="1345" t="s">
        <v>1575</v>
      </c>
      <c r="AZ48" s="1345" t="s">
        <v>1289</v>
      </c>
      <c r="BE48" s="1345">
        <v>2046</v>
      </c>
      <c r="BH48" s="1292" t="s">
        <v>1546</v>
      </c>
      <c r="BJ48" s="1444" t="s">
        <v>953</v>
      </c>
      <c r="BL48" s="1444" t="s">
        <v>953</v>
      </c>
      <c r="BN48" s="1292" t="s">
        <v>1576</v>
      </c>
    </row>
    <row customHeight="1" ht="11.25">
      <c r="A49" s="1298" t="s">
        <v>14</v>
      </c>
      <c r="E49" s="630" t="s">
        <v>1577</v>
      </c>
      <c r="F49" s="1339" t="s">
        <v>1578</v>
      </c>
      <c r="G49" s="1341" t="str">
        <f>IF(f_year="","","01.01."&amp;f_year)</f>
        <v/>
      </c>
      <c r="H49" s="1341" t="str">
        <f>IF(f_year="","","31.12."&amp;f_year)</f>
        <v/>
      </c>
      <c r="I49" s="1970">
        <f>IF(f_year="",TRUE,FALSE)</f>
        <v>1</v>
      </c>
      <c r="J49" s="197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74"/>
      <c r="AX49" s="1345" t="s">
        <v>1579</v>
      </c>
      <c r="AZ49" s="1345" t="s">
        <v>1305</v>
      </c>
      <c r="BE49" s="1345">
        <v>2047</v>
      </c>
      <c r="BH49" s="1292" t="s">
        <v>969</v>
      </c>
      <c r="BJ49" s="1444" t="s">
        <v>955</v>
      </c>
      <c r="BL49" s="1444" t="s">
        <v>955</v>
      </c>
    </row>
    <row customHeight="1" ht="11.25">
      <c r="A50" s="1298" t="s">
        <v>1580</v>
      </c>
      <c r="E50" s="630" t="s">
        <v>1581</v>
      </c>
      <c r="F50" s="1339" t="s">
        <v>939</v>
      </c>
      <c r="G50" s="1341" t="str">
        <f>IF(f_year="","","01.01."&amp;f_year)</f>
        <v/>
      </c>
      <c r="H50" s="1341" t="str">
        <f>IF(f_year="","","31.12."&amp;f_year)</f>
        <v/>
      </c>
      <c r="I50" s="1970">
        <f>IF(f_year="",TRUE,FALSE)</f>
        <v>1</v>
      </c>
      <c r="J50" s="197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74"/>
      <c r="AX50" s="1345" t="s">
        <v>1582</v>
      </c>
      <c r="AZ50" s="1345" t="s">
        <v>1321</v>
      </c>
      <c r="BE50" s="1345">
        <v>2048</v>
      </c>
      <c r="BH50" s="1292" t="s">
        <v>1553</v>
      </c>
      <c r="BJ50" s="1444" t="s">
        <v>957</v>
      </c>
      <c r="BL50" s="1444" t="s">
        <v>957</v>
      </c>
    </row>
    <row customHeight="1" ht="11.25">
      <c r="A51" s="1298" t="s">
        <v>1583</v>
      </c>
      <c r="E51" s="630" t="s">
        <v>1584</v>
      </c>
      <c r="F51" s="1339" t="s">
        <v>1585</v>
      </c>
      <c r="G51" s="1341" t="str">
        <f>IF(TITLE_PERIOD_START="","",TITLE_PERIOD_START)</f>
        <v>45287.50564814815</v>
      </c>
      <c r="H51" s="1341" t="str">
        <f>IF(TITLE_PERIOD_END="","",TITLE_PERIOD_END)</f>
        <v>51501.505740740744</v>
      </c>
      <c r="I51" s="1971">
        <f>IF(OR(TITLE_PERIOD_START="",TITLE_PERIOD_END=""),TRUE,FALSE)</f>
        <v>0</v>
      </c>
      <c r="J51" s="197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4"/>
      <c r="AX51" s="1345" t="s">
        <v>1586</v>
      </c>
      <c r="AZ51" s="1345" t="s">
        <v>1336</v>
      </c>
      <c r="BE51" s="1345">
        <v>2049</v>
      </c>
      <c r="BH51" s="1292" t="s">
        <v>1562</v>
      </c>
      <c r="BJ51" s="1444" t="s">
        <v>1587</v>
      </c>
      <c r="BL51" s="1444" t="s">
        <v>1587</v>
      </c>
    </row>
    <row customHeight="1" ht="11.25">
      <c r="A52" s="1298" t="s">
        <v>1588</v>
      </c>
      <c r="E52" s="630" t="s">
        <v>1589</v>
      </c>
      <c r="F52" s="1339" t="s">
        <v>1556</v>
      </c>
      <c r="G52" s="1341" t="str">
        <f>IF(TITLE_PERIOD_START="","",TITLE_PERIOD_START)</f>
        <v>45287.50564814815</v>
      </c>
      <c r="H52" s="1341" t="str">
        <f>IF(TITLE_PERIOD_END="","",TITLE_PERIOD_END)</f>
        <v>51501.505740740744</v>
      </c>
      <c r="I52" s="1971">
        <f>IF(OR(TITLE_PERIOD_START="",TITLE_PERIOD_END=""),TRUE,FALSE)</f>
        <v>0</v>
      </c>
      <c r="J52" s="197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74"/>
      <c r="AX52" s="1345" t="s">
        <v>1590</v>
      </c>
      <c r="AZ52" s="1345" t="s">
        <v>1135</v>
      </c>
      <c r="BE52" s="1345">
        <v>2050</v>
      </c>
      <c r="BH52" s="1292" t="s">
        <v>1566</v>
      </c>
      <c r="BJ52" s="1444" t="s">
        <v>968</v>
      </c>
      <c r="BL52" s="1444" t="s">
        <v>968</v>
      </c>
    </row>
    <row customHeight="1" ht="11.25">
      <c r="A53" s="1298" t="s">
        <v>1591</v>
      </c>
      <c r="E53" s="630" t="s">
        <v>1592</v>
      </c>
      <c r="F53" s="1339" t="s">
        <v>1592</v>
      </c>
      <c r="G53" s="1341" t="str">
        <f>IF(f_year="","","01.01."&amp;f_year)</f>
        <v/>
      </c>
      <c r="H53" s="1341" t="str">
        <f>IF(f_year="","","31.12."&amp;f_year)</f>
        <v/>
      </c>
      <c r="I53" s="1970">
        <f>IF(AND(f_year="",TITLE_DATE_FIL=""),TRUE,FALSE)</f>
        <v>1</v>
      </c>
      <c r="J53" s="1973" t="s">
        <v>1593</v>
      </c>
      <c r="K53" s="1974"/>
      <c r="AX53" s="1345" t="s">
        <v>1594</v>
      </c>
      <c r="BE53" s="1345">
        <v>2051</v>
      </c>
      <c r="BH53" s="1292" t="s">
        <v>1570</v>
      </c>
      <c r="BJ53" s="1444" t="s">
        <v>1542</v>
      </c>
      <c r="BL53" s="1444" t="s">
        <v>1542</v>
      </c>
    </row>
    <row customHeight="1" ht="11.25">
      <c r="A54" s="1298" t="s">
        <v>1595</v>
      </c>
      <c r="AX54" s="1345" t="s">
        <v>1596</v>
      </c>
      <c r="AZ54" s="1291" t="s">
        <v>1597</v>
      </c>
      <c r="BE54" s="1345">
        <v>2052</v>
      </c>
      <c r="BH54" s="1292" t="s">
        <v>1576</v>
      </c>
      <c r="BJ54" s="1444" t="s">
        <v>1546</v>
      </c>
      <c r="BL54" s="1444" t="s">
        <v>1546</v>
      </c>
    </row>
    <row customHeight="1" ht="11.25">
      <c r="A55" s="1298" t="s">
        <v>1598</v>
      </c>
      <c r="AX55" s="1345" t="s">
        <v>1599</v>
      </c>
      <c r="AZ55" s="1345" t="s">
        <v>1137</v>
      </c>
      <c r="BE55" s="1345">
        <v>2053</v>
      </c>
      <c r="BH55" s="1294" t="s">
        <v>24</v>
      </c>
      <c r="BJ55" s="1444" t="s">
        <v>969</v>
      </c>
      <c r="BL55" s="1444" t="s">
        <v>969</v>
      </c>
    </row>
    <row customHeight="1" ht="11.25">
      <c r="A56" s="1298" t="s">
        <v>1600</v>
      </c>
      <c r="D56" s="1343" t="s">
        <v>1601</v>
      </c>
      <c r="E56" s="1319">
        <v>55</v>
      </c>
      <c r="F56" s="1298" t="s">
        <v>1602</v>
      </c>
      <c r="AX56" s="1345" t="s">
        <v>1603</v>
      </c>
      <c r="AZ56" s="1345" t="s">
        <v>1164</v>
      </c>
      <c r="BE56" s="1345">
        <v>2054</v>
      </c>
      <c r="BH56" s="1294" t="s">
        <v>24</v>
      </c>
      <c r="BJ56" s="1444" t="s">
        <v>1553</v>
      </c>
      <c r="BL56" s="1444" t="s">
        <v>1553</v>
      </c>
    </row>
    <row customHeight="1" ht="11.25">
      <c r="A57" s="1298" t="s">
        <v>1604</v>
      </c>
      <c r="D57" s="1343" t="s">
        <v>1605</v>
      </c>
      <c r="E57" s="1319">
        <v>66</v>
      </c>
      <c r="F57" s="1298" t="s">
        <v>1602</v>
      </c>
      <c r="AX57" s="1345" t="s">
        <v>1606</v>
      </c>
      <c r="AZ57" s="1345" t="s">
        <v>1199</v>
      </c>
      <c r="BE57" s="1345">
        <v>2055</v>
      </c>
      <c r="BJ57" s="1444" t="s">
        <v>1562</v>
      </c>
      <c r="BL57" s="1444" t="s">
        <v>1562</v>
      </c>
    </row>
    <row customHeight="1" ht="11.25">
      <c r="A58" s="1298" t="s">
        <v>1607</v>
      </c>
      <c r="D58" s="1343" t="s">
        <v>1608</v>
      </c>
      <c r="E58" s="1319">
        <v>44</v>
      </c>
      <c r="F58" s="1298" t="s">
        <v>1602</v>
      </c>
      <c r="AX58" s="1345" t="s">
        <v>1609</v>
      </c>
      <c r="BE58" s="1345">
        <v>2056</v>
      </c>
      <c r="BJ58" s="1444" t="s">
        <v>1566</v>
      </c>
      <c r="BL58" s="1444" t="s">
        <v>1566</v>
      </c>
    </row>
    <row customHeight="1" ht="11.25">
      <c r="A59" s="1298" t="s">
        <v>1610</v>
      </c>
      <c r="D59" s="1343" t="s">
        <v>130</v>
      </c>
      <c r="E59" s="1319" t="s">
        <v>1433</v>
      </c>
      <c r="F59" s="1298" t="s">
        <v>1611</v>
      </c>
      <c r="AX59" s="1345" t="s">
        <v>1612</v>
      </c>
      <c r="AZ59" s="1291" t="s">
        <v>1613</v>
      </c>
      <c r="BE59" s="1345">
        <v>2057</v>
      </c>
      <c r="BJ59" s="1444" t="s">
        <v>1570</v>
      </c>
      <c r="BL59" s="1444" t="s">
        <v>1570</v>
      </c>
    </row>
    <row customHeight="1" ht="11.25">
      <c r="A60" s="1298" t="s">
        <v>1614</v>
      </c>
      <c r="D60" s="1343" t="s">
        <v>1615</v>
      </c>
      <c r="E60" s="1319" t="s">
        <v>1433</v>
      </c>
      <c r="F60" s="1298" t="s">
        <v>1611</v>
      </c>
      <c r="AX60" s="1345" t="s">
        <v>1616</v>
      </c>
      <c r="AZ60" s="1345" t="s">
        <v>1138</v>
      </c>
      <c r="BE60" s="1345">
        <v>2058</v>
      </c>
      <c r="BJ60" s="1444" t="s">
        <v>1576</v>
      </c>
      <c r="BL60" s="1444" t="s">
        <v>1576</v>
      </c>
    </row>
    <row customHeight="1" ht="11.25">
      <c r="A61" s="1298" t="s">
        <v>1617</v>
      </c>
      <c r="D61" s="1343" t="s">
        <v>1618</v>
      </c>
      <c r="E61" s="1319">
        <v>26</v>
      </c>
      <c r="F61" s="1298" t="s">
        <v>1611</v>
      </c>
      <c r="AX61" s="1345" t="s">
        <v>1619</v>
      </c>
      <c r="AZ61" s="1345" t="s">
        <v>1165</v>
      </c>
      <c r="BE61" s="1345">
        <v>2059</v>
      </c>
      <c r="BL61" s="1444" t="s">
        <v>961</v>
      </c>
    </row>
    <row customHeight="1" ht="11.25">
      <c r="A62" s="1298" t="s">
        <v>1620</v>
      </c>
      <c r="D62" s="1343" t="s">
        <v>129</v>
      </c>
      <c r="E62" s="1319">
        <v>30</v>
      </c>
      <c r="F62" s="1298" t="s">
        <v>1611</v>
      </c>
      <c r="AZ62" s="1345" t="s">
        <v>1200</v>
      </c>
      <c r="BE62" s="1345">
        <v>2060</v>
      </c>
      <c r="BL62" s="1444" t="s">
        <v>963</v>
      </c>
    </row>
    <row customHeight="1" ht="11.25">
      <c r="A63" s="1298" t="s">
        <v>1621</v>
      </c>
      <c r="D63" s="1343" t="s">
        <v>1622</v>
      </c>
      <c r="E63" s="1319">
        <v>30</v>
      </c>
      <c r="F63" s="1298" t="s">
        <v>1611</v>
      </c>
      <c r="AZ63" s="1345" t="s">
        <v>1231</v>
      </c>
      <c r="BE63" s="1345">
        <v>2061</v>
      </c>
    </row>
    <row customHeight="1" ht="11.25">
      <c r="A64" s="1298" t="s">
        <v>1623</v>
      </c>
      <c r="D64" s="1343" t="s">
        <v>1624</v>
      </c>
      <c r="E64" s="1319">
        <v>30</v>
      </c>
      <c r="F64" s="1298" t="s">
        <v>1611</v>
      </c>
      <c r="AZ64" s="1345" t="s">
        <v>1254</v>
      </c>
      <c r="BE64" s="1345">
        <v>2062</v>
      </c>
    </row>
    <row customHeight="1" ht="11.25">
      <c r="A65" s="1298" t="s">
        <v>1625</v>
      </c>
      <c r="D65" s="1298"/>
      <c r="BE65" s="1345">
        <v>2063</v>
      </c>
    </row>
    <row customHeight="1" ht="11.25">
      <c r="A66" s="1298" t="s">
        <v>1626</v>
      </c>
      <c r="AZ66" s="1291" t="s">
        <v>1627</v>
      </c>
      <c r="BE66" s="1345">
        <v>2064</v>
      </c>
    </row>
    <row customHeight="1" ht="11.25">
      <c r="A67" s="1298" t="s">
        <v>1628</v>
      </c>
      <c r="AZ67" s="1345" t="s">
        <v>1139</v>
      </c>
      <c r="BE67" s="1345">
        <v>2065</v>
      </c>
    </row>
    <row customHeight="1" ht="11.25">
      <c r="A68" s="1298" t="s">
        <v>1629</v>
      </c>
      <c r="AZ68" s="1345" t="s">
        <v>1166</v>
      </c>
      <c r="BE68" s="1345">
        <v>2066</v>
      </c>
      <c r="BH68" s="1291" t="s">
        <v>1630</v>
      </c>
      <c r="BJ68" s="1291" t="s">
        <v>1631</v>
      </c>
      <c r="BL68" s="1291" t="s">
        <v>1632</v>
      </c>
      <c r="BN68" s="1291" t="s">
        <v>1633</v>
      </c>
    </row>
    <row customHeight="1" ht="11.25">
      <c r="A69" s="1298" t="s">
        <v>1634</v>
      </c>
      <c r="AZ69" s="1345" t="s">
        <v>1201</v>
      </c>
      <c r="BE69" s="1345">
        <v>2067</v>
      </c>
      <c r="BH69" s="1292" t="s">
        <v>1635</v>
      </c>
      <c r="BI69" s="1342" t="s">
        <v>108</v>
      </c>
      <c r="BJ69" s="1292" t="s">
        <v>1636</v>
      </c>
      <c r="BK69" s="1342" t="s">
        <v>108</v>
      </c>
      <c r="BL69" s="1292" t="s">
        <v>1637</v>
      </c>
      <c r="BN69" s="1292" t="s">
        <v>1638</v>
      </c>
    </row>
    <row customHeight="1" ht="11.25">
      <c r="A70" s="1298" t="s">
        <v>1639</v>
      </c>
      <c r="AZ70" s="1345" t="s">
        <v>1232</v>
      </c>
      <c r="BE70" s="1345">
        <v>2068</v>
      </c>
      <c r="BH70" s="1292" t="s">
        <v>1640</v>
      </c>
      <c r="BJ70" s="1292" t="s">
        <v>1641</v>
      </c>
      <c r="BL70" s="1292" t="s">
        <v>1642</v>
      </c>
      <c r="BN70" s="1292" t="s">
        <v>1643</v>
      </c>
    </row>
    <row customHeight="1" ht="11.25">
      <c r="A71" s="1298" t="s">
        <v>1644</v>
      </c>
      <c r="AZ71" s="1345" t="s">
        <v>1234</v>
      </c>
      <c r="BE71" s="1345">
        <v>2069</v>
      </c>
      <c r="BH71" s="1292" t="s">
        <v>1645</v>
      </c>
      <c r="BI71" s="1342" t="s">
        <v>89</v>
      </c>
      <c r="BJ71" s="1292" t="s">
        <v>1646</v>
      </c>
      <c r="BK71" s="1342" t="s">
        <v>89</v>
      </c>
      <c r="BL71" s="1292" t="s">
        <v>1647</v>
      </c>
      <c r="BN71" s="1292" t="s">
        <v>1648</v>
      </c>
    </row>
    <row customHeight="1" ht="11.25">
      <c r="A72" s="1298" t="s">
        <v>1649</v>
      </c>
      <c r="AZ72" s="1345" t="s">
        <v>56</v>
      </c>
      <c r="BE72" s="1345">
        <v>2070</v>
      </c>
      <c r="BH72" s="1292" t="s">
        <v>1650</v>
      </c>
      <c r="BJ72" s="1292" t="s">
        <v>1650</v>
      </c>
      <c r="BL72" s="1292" t="s">
        <v>1650</v>
      </c>
      <c r="BN72" s="1292" t="s">
        <v>1651</v>
      </c>
    </row>
    <row customHeight="1" ht="11.25">
      <c r="A73" s="1298" t="s">
        <v>1652</v>
      </c>
      <c r="BH73" s="1292" t="s">
        <v>1653</v>
      </c>
      <c r="BI73" s="1342" t="s">
        <v>110</v>
      </c>
      <c r="BJ73" s="1292" t="s">
        <v>1654</v>
      </c>
      <c r="BK73" s="1342" t="s">
        <v>110</v>
      </c>
      <c r="BL73" s="1292" t="s">
        <v>1655</v>
      </c>
      <c r="BN73" s="1292" t="s">
        <v>1656</v>
      </c>
    </row>
    <row customHeight="1" ht="11.25">
      <c r="A74" s="1298" t="s">
        <v>1657</v>
      </c>
      <c r="BH74" s="1292" t="s">
        <v>1658</v>
      </c>
      <c r="BJ74" s="1292" t="s">
        <v>1659</v>
      </c>
      <c r="BL74" s="1292" t="s">
        <v>1660</v>
      </c>
      <c r="BN74" s="1292" t="s">
        <v>1661</v>
      </c>
    </row>
    <row customHeight="1" ht="11.25">
      <c r="A75" s="1298" t="s">
        <v>1662</v>
      </c>
      <c r="AZ75" s="1291" t="s">
        <v>1663</v>
      </c>
      <c r="BH75" s="1292" t="s">
        <v>1664</v>
      </c>
      <c r="BJ75" s="1292" t="s">
        <v>1664</v>
      </c>
      <c r="BL75" s="1292" t="s">
        <v>1664</v>
      </c>
    </row>
    <row customHeight="1" ht="11.25">
      <c r="A76" s="1298" t="s">
        <v>1665</v>
      </c>
      <c r="AZ76" s="1345" t="s">
        <v>1148</v>
      </c>
      <c r="BH76" s="1292" t="s">
        <v>1666</v>
      </c>
      <c r="BJ76" s="1292" t="s">
        <v>1667</v>
      </c>
      <c r="BL76" s="1292" t="s">
        <v>1668</v>
      </c>
    </row>
    <row customHeight="1" ht="11.25">
      <c r="A77" s="1298" t="s">
        <v>1669</v>
      </c>
      <c r="AZ77" s="1345" t="s">
        <v>1176</v>
      </c>
    </row>
    <row customHeight="1" ht="11.25">
      <c r="A78" s="1298" t="s">
        <v>1670</v>
      </c>
      <c r="AZ78" s="1345" t="s">
        <v>1208</v>
      </c>
    </row>
    <row customHeight="1" ht="11.25">
      <c r="A79" s="1298" t="s">
        <v>1671</v>
      </c>
      <c r="AZ79" s="1345" t="s">
        <v>1238</v>
      </c>
      <c r="BH79" s="1291" t="s">
        <v>1672</v>
      </c>
      <c r="BJ79" s="1291" t="s">
        <v>1673</v>
      </c>
      <c r="BL79" s="1291" t="s">
        <v>1674</v>
      </c>
    </row>
    <row customHeight="1" ht="11.25">
      <c r="A80" s="1298" t="s">
        <v>1675</v>
      </c>
      <c r="AZ80" s="1345" t="s">
        <v>1259</v>
      </c>
      <c r="BH80" s="1292" t="s">
        <v>1676</v>
      </c>
      <c r="BJ80" s="1292" t="s">
        <v>1677</v>
      </c>
      <c r="BL80" s="1292" t="s">
        <v>1678</v>
      </c>
    </row>
    <row customHeight="1" ht="11.25">
      <c r="A81" s="1298" t="s">
        <v>1679</v>
      </c>
      <c r="AZ81" s="1345" t="s">
        <v>1276</v>
      </c>
      <c r="BH81" s="1292" t="s">
        <v>1680</v>
      </c>
      <c r="BJ81" s="1292" t="s">
        <v>1681</v>
      </c>
      <c r="BL81" s="1292" t="s">
        <v>1682</v>
      </c>
    </row>
    <row customHeight="1" ht="11.25">
      <c r="A82" s="1298" t="s">
        <v>1683</v>
      </c>
      <c r="AZ82" s="1345" t="s">
        <v>1291</v>
      </c>
      <c r="BH82" s="1292" t="s">
        <v>1684</v>
      </c>
      <c r="BJ82" s="1292" t="s">
        <v>1685</v>
      </c>
      <c r="BL82" s="1292" t="s">
        <v>1686</v>
      </c>
    </row>
    <row customHeight="1" ht="11.25">
      <c r="A83" s="1298" t="s">
        <v>1687</v>
      </c>
      <c r="BH83" s="1292" t="s">
        <v>1688</v>
      </c>
      <c r="BJ83" s="1292" t="s">
        <v>1689</v>
      </c>
      <c r="BL83" s="1292" t="s">
        <v>1690</v>
      </c>
    </row>
    <row customHeight="1" ht="11.25">
      <c r="A84" s="1298" t="s">
        <v>1691</v>
      </c>
      <c r="AZ84" s="1291" t="s">
        <v>1692</v>
      </c>
    </row>
    <row customHeight="1" ht="11.25">
      <c r="A85" s="2099" t="s">
        <v>1693</v>
      </c>
      <c r="AZ85" s="1345" t="s">
        <v>1694</v>
      </c>
    </row>
    <row customHeight="1" ht="11.25">
      <c r="A86" s="1298" t="s">
        <v>1695</v>
      </c>
      <c r="AZ86" s="1345" t="s">
        <v>1696</v>
      </c>
      <c r="BH86" s="1291" t="s">
        <v>1697</v>
      </c>
      <c r="BJ86" s="1291" t="s">
        <v>1698</v>
      </c>
      <c r="BL86" s="1291" t="s">
        <v>1699</v>
      </c>
    </row>
    <row customHeight="1" ht="11.25">
      <c r="A87" s="1298" t="s">
        <v>1700</v>
      </c>
      <c r="AZ87" s="1345" t="s">
        <v>1701</v>
      </c>
      <c r="BH87" s="1292" t="s">
        <v>1702</v>
      </c>
      <c r="BJ87" s="1292" t="s">
        <v>1703</v>
      </c>
      <c r="BL87" s="1292" t="s">
        <v>1704</v>
      </c>
    </row>
    <row customHeight="1" ht="11.25">
      <c r="A88" s="1298" t="s">
        <v>1705</v>
      </c>
      <c r="AZ88" s="1834"/>
      <c r="BH88" s="1292" t="s">
        <v>1706</v>
      </c>
      <c r="BJ88" s="1292" t="s">
        <v>1707</v>
      </c>
      <c r="BL88" s="1292" t="s">
        <v>1708</v>
      </c>
    </row>
    <row customHeight="1" ht="11.25">
      <c r="A89" s="1298" t="s">
        <v>1709</v>
      </c>
      <c r="AZ89" s="1291" t="s">
        <v>1710</v>
      </c>
    </row>
    <row customHeight="1" ht="11.25">
      <c r="A90" s="1298" t="s">
        <v>1711</v>
      </c>
      <c r="AZ90" s="1345" t="s">
        <v>939</v>
      </c>
    </row>
    <row customHeight="1" ht="11.25">
      <c r="A91" s="1298" t="s">
        <v>1712</v>
      </c>
      <c r="AZ91" s="1345" t="s">
        <v>975</v>
      </c>
      <c r="BH91" s="1291" t="s">
        <v>1713</v>
      </c>
      <c r="BJ91" s="1291" t="s">
        <v>1714</v>
      </c>
      <c r="BL91" s="1291" t="s">
        <v>1715</v>
      </c>
    </row>
    <row customHeight="1" ht="11.25">
      <c r="AZ92" s="1345" t="s">
        <v>1716</v>
      </c>
      <c r="BH92" s="1292" t="s">
        <v>1717</v>
      </c>
      <c r="BJ92" s="1292" t="s">
        <v>1718</v>
      </c>
      <c r="BL92" s="1292" t="s">
        <v>1719</v>
      </c>
    </row>
    <row customHeight="1" ht="11.25">
      <c r="AZ93" s="1345" t="s">
        <v>1720</v>
      </c>
      <c r="BH93" s="1292" t="s">
        <v>1721</v>
      </c>
      <c r="BJ93" s="1292" t="s">
        <v>1722</v>
      </c>
      <c r="BL93" s="1292" t="s">
        <v>1723</v>
      </c>
    </row>
    <row customHeight="1" ht="11.25">
      <c r="AZ94" s="1345" t="s">
        <v>1724</v>
      </c>
    </row>
    <row r="96" customHeight="1" ht="11.25">
      <c r="AZ96" s="1291" t="s">
        <v>1725</v>
      </c>
      <c r="BH96" s="1291" t="s">
        <v>1726</v>
      </c>
      <c r="BJ96" s="1291" t="s">
        <v>1727</v>
      </c>
      <c r="BL96" s="1291" t="s">
        <v>1728</v>
      </c>
      <c r="BN96" s="1291" t="s">
        <v>1729</v>
      </c>
    </row>
    <row customHeight="1" ht="11.25">
      <c r="AZ97" s="2130" t="s">
        <v>1730</v>
      </c>
      <c r="BA97" s="2131" t="s">
        <v>1731</v>
      </c>
      <c r="BH97" s="1292" t="s">
        <v>1732</v>
      </c>
      <c r="BJ97" s="1292" t="s">
        <v>1733</v>
      </c>
      <c r="BL97" s="1292" t="s">
        <v>1734</v>
      </c>
      <c r="BN97" s="1292" t="s">
        <v>1735</v>
      </c>
    </row>
    <row customHeight="1" ht="11.25">
      <c r="AZ98" s="2130" t="s">
        <v>1736</v>
      </c>
      <c r="BA98" s="2131" t="s">
        <v>1737</v>
      </c>
      <c r="BH98" s="1292" t="s">
        <v>1738</v>
      </c>
      <c r="BJ98" s="1292" t="s">
        <v>1739</v>
      </c>
      <c r="BL98" s="1292" t="s">
        <v>1740</v>
      </c>
      <c r="BN98" s="1292" t="s">
        <v>1741</v>
      </c>
    </row>
    <row customHeight="1" ht="22.5">
      <c r="AZ99" s="2130" t="s">
        <v>1742</v>
      </c>
      <c r="BA99" s="213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2" t="s">
        <v>1743</v>
      </c>
      <c r="BJ99" s="1292" t="s">
        <v>1744</v>
      </c>
      <c r="BL99" s="1292" t="s">
        <v>1745</v>
      </c>
      <c r="BN99" s="1292" t="s">
        <v>1746</v>
      </c>
    </row>
    <row customHeight="1" ht="22.5">
      <c r="AZ100" s="2130" t="s">
        <v>1747</v>
      </c>
      <c r="BA100"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2" t="s">
        <v>1336</v>
      </c>
      <c r="BL100" s="1292" t="s">
        <v>1336</v>
      </c>
      <c r="BN100" s="1292" t="s">
        <v>1748</v>
      </c>
    </row>
    <row customHeight="1" ht="22.5">
      <c r="AZ101" s="2130" t="s">
        <v>1749</v>
      </c>
      <c r="BA101" s="2131" t="s">
        <v>1750</v>
      </c>
      <c r="BN101" s="1292" t="s">
        <v>1751</v>
      </c>
    </row>
    <row customHeight="1" ht="22.5">
      <c r="AZ102" s="2130" t="s">
        <v>1752</v>
      </c>
      <c r="BA102"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2" t="s">
        <v>1753</v>
      </c>
    </row>
    <row customHeight="1" ht="11.25">
      <c r="AZ103" s="2130" t="s">
        <v>1754</v>
      </c>
      <c r="BA103" s="2131" t="s">
        <v>1755</v>
      </c>
      <c r="BN103" s="1292" t="s">
        <v>1756</v>
      </c>
    </row>
    <row customHeight="1" ht="11.25">
      <c r="BN104" s="1292" t="s">
        <v>1757</v>
      </c>
    </row>
    <row customHeight="1" ht="11.25">
      <c r="AZ105" s="1920" t="s">
        <v>1758</v>
      </c>
    </row>
    <row customHeight="1" ht="11.25">
      <c r="AZ106" s="1345" t="s">
        <v>1759</v>
      </c>
    </row>
    <row customHeight="1" ht="11.25">
      <c r="AZ107" s="1345" t="s">
        <v>1760</v>
      </c>
      <c r="BH107" s="1291" t="s">
        <v>1761</v>
      </c>
      <c r="BJ107" s="1291" t="s">
        <v>1762</v>
      </c>
      <c r="BL107" s="1291" t="s">
        <v>1763</v>
      </c>
      <c r="BN107" s="1291" t="s">
        <v>1764</v>
      </c>
    </row>
    <row customHeight="1" ht="11.25">
      <c r="AZ108" s="1345" t="s">
        <v>574</v>
      </c>
      <c r="BH108" s="1292" t="s">
        <v>1765</v>
      </c>
      <c r="BJ108" s="1292" t="s">
        <v>1766</v>
      </c>
      <c r="BL108" s="1292" t="s">
        <v>1421</v>
      </c>
      <c r="BN108" s="1292" t="s">
        <v>1767</v>
      </c>
    </row>
    <row customHeight="1" ht="11.25">
      <c r="BH109" s="1292" t="s">
        <v>1768</v>
      </c>
    </row>
    <row customHeight="1" ht="11.25">
      <c r="AZ110" s="1920" t="s">
        <v>1769</v>
      </c>
      <c r="BH110" s="1292" t="s">
        <v>1768</v>
      </c>
    </row>
    <row customHeight="1" ht="11.25">
      <c r="AZ111" s="2130" t="s">
        <v>1730</v>
      </c>
      <c r="BA111" s="2131" t="s">
        <v>1731</v>
      </c>
    </row>
    <row customHeight="1" ht="11.25">
      <c r="AZ112" s="2130" t="s">
        <v>1736</v>
      </c>
      <c r="BA112" s="2131" t="s">
        <v>1737</v>
      </c>
    </row>
    <row customHeight="1" ht="22.5">
      <c r="AZ113" s="2130" t="s">
        <v>1742</v>
      </c>
      <c r="BA113" s="213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30" t="s">
        <v>1747</v>
      </c>
      <c r="BA114"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1" t="s">
        <v>1770</v>
      </c>
    </row>
    <row customHeight="1" ht="22.5">
      <c r="AZ115" s="2130" t="s">
        <v>1752</v>
      </c>
      <c r="BA115"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2" t="s">
        <v>1135</v>
      </c>
    </row>
    <row customHeight="1" ht="11.25">
      <c r="AZ116" s="2130" t="s">
        <v>1754</v>
      </c>
      <c r="BA116" s="2131" t="s">
        <v>1755</v>
      </c>
      <c r="BH116" s="1292" t="s">
        <v>1162</v>
      </c>
    </row>
    <row customHeight="1" ht="11.25">
      <c r="BH117" s="1292" t="s">
        <v>1197</v>
      </c>
    </row>
    <row customHeight="1" ht="11.25">
      <c r="BH118" s="1292" t="s">
        <v>1230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2DEF9-77C6-927C-C887-85D6D5660489}" mc:Ignorable="x14ac xr xr2 xr3">
  <dimension ref="A1:I24"/>
  <sheetViews>
    <sheetView topLeftCell="A1" showGridLines="0" zoomScale="90" workbookViewId="0">
      <selection activeCell="A1" sqref="A1"/>
    </sheetView>
  </sheetViews>
  <sheetFormatPr defaultColWidth="9.140625" customHeight="1" defaultRowHeight="11.25"/>
  <cols>
    <col min="1" max="2" style="13278" width="15.00390625" hidden="1" customWidth="1"/>
    <col min="3" max="3" style="13320" width="3.7109375" customWidth="1"/>
    <col min="4" max="4" style="13321" width="6.8515625" customWidth="1"/>
    <col min="5" max="5" style="13320" width="52.28125" customWidth="1"/>
    <col min="6" max="6" style="13320" width="48.8515625" customWidth="1"/>
    <col min="7" max="7" style="13320" width="93.421875" customWidth="1"/>
    <col min="8" max="8" style="13320" width="9.140625"/>
    <col min="9" max="9" style="13320" width="65.00390625" customWidth="1"/>
  </cols>
  <sheetData>
    <row customHeight="1" ht="11.25" hidden="1">
      <c r="A1" s="724" t="s">
        <v>300</v>
      </c>
    </row>
    <row customHeight="1" ht="22.5" hidden="1">
      <c r="A2" s="725"/>
      <c r="B2" s="725"/>
      <c r="C2" s="1958" t="s">
        <v>531</v>
      </c>
      <c r="D2" s="1748"/>
      <c r="E2" s="1754"/>
      <c r="F2" s="1777"/>
      <c r="H2" s="698"/>
    </row>
    <row customHeight="1" ht="11.25" hidden="1"/>
    <row customHeight="1" ht="11.25">
      <c r="A4" s="1778"/>
      <c r="B4" s="1778"/>
    </row>
    <row customHeight="1" ht="26.25">
      <c r="D5" s="237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74"/>
      <c r="F5" s="2375"/>
      <c r="I5" s="938"/>
    </row>
    <row customHeight="1" ht="17.25">
      <c r="D6" s="2336" t="str">
        <f>IF(region_name=0,"Не определено",region_name)</f>
        <v>Приморский край</v>
      </c>
      <c r="E6" s="2336"/>
      <c r="F6" s="2336"/>
      <c r="I6" s="938"/>
    </row>
    <row s="13237" customFormat="1" customHeight="1" ht="11.25">
      <c r="A7" s="724"/>
      <c r="B7" s="724"/>
      <c r="D7" s="937"/>
      <c r="E7" s="937"/>
      <c r="F7" s="975"/>
      <c r="G7" s="937"/>
    </row>
    <row customHeight="1" ht="11.25" hidden="1">
      <c r="A8" s="725"/>
      <c r="B8" s="725"/>
      <c r="C8" s="680"/>
      <c r="D8" s="686"/>
      <c r="E8" s="2342"/>
      <c r="F8" s="2342"/>
    </row>
    <row customHeight="1" ht="11.25">
      <c r="A9" s="725"/>
      <c r="B9" s="725"/>
      <c r="C9" s="680"/>
      <c r="D9" s="2339" t="s">
        <v>301</v>
      </c>
      <c r="E9" s="2340"/>
      <c r="F9" s="2340"/>
      <c r="G9" s="2343" t="s">
        <v>302</v>
      </c>
    </row>
    <row customHeight="1" ht="11.25">
      <c r="A10" s="725"/>
      <c r="B10" s="725"/>
      <c r="C10" s="680"/>
      <c r="D10" s="1702" t="s">
        <v>87</v>
      </c>
      <c r="E10" s="1704" t="s">
        <v>303</v>
      </c>
      <c r="F10" s="1704" t="s">
        <v>304</v>
      </c>
      <c r="G10" s="2344"/>
    </row>
    <row customHeight="1" ht="0.75">
      <c r="A11" s="725"/>
      <c r="B11" s="725"/>
      <c r="C11" s="680"/>
      <c r="D11" s="687"/>
      <c r="E11" s="687"/>
      <c r="F11" s="687"/>
      <c r="G11" s="687"/>
    </row>
    <row customHeight="1" ht="22.5">
      <c r="A12" s="725"/>
      <c r="B12" s="725"/>
      <c r="C12" s="680"/>
      <c r="D12" s="1748">
        <v>1</v>
      </c>
      <c r="E12" s="69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7" t="str">
        <f>IF(org="","",org)</f>
        <v>ООО "Новая Энергетика"</v>
      </c>
      <c r="G12" s="69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1"/>
    </row>
    <row customHeight="1" ht="18.75">
      <c r="A13" s="725"/>
      <c r="B13" s="725"/>
      <c r="C13" s="680"/>
      <c r="D13" s="1748">
        <v>2</v>
      </c>
      <c r="E13" s="1755" t="s">
        <v>1771</v>
      </c>
      <c r="F13" s="1749" t="s">
        <v>307</v>
      </c>
      <c r="G13" s="697"/>
      <c r="H13" s="1761"/>
    </row>
    <row customHeight="1" ht="18.75">
      <c r="A14" s="725"/>
      <c r="B14" s="725"/>
      <c r="C14" s="680"/>
      <c r="D14" s="1751" t="s">
        <v>625</v>
      </c>
      <c r="E14" s="1752" t="s">
        <v>1772</v>
      </c>
      <c r="F14" s="1754"/>
      <c r="G14" s="1753" t="s">
        <v>1773</v>
      </c>
      <c r="H14" s="1761"/>
    </row>
    <row customHeight="1" ht="18.75">
      <c r="A15" s="725"/>
      <c r="B15" s="725"/>
      <c r="C15" s="680"/>
      <c r="D15" s="1751" t="s">
        <v>308</v>
      </c>
      <c r="E15" s="1752" t="s">
        <v>1774</v>
      </c>
      <c r="F15" s="1754"/>
      <c r="G15" s="1753" t="s">
        <v>1775</v>
      </c>
      <c r="H15" s="1761"/>
    </row>
    <row customHeight="1" ht="22.5">
      <c r="A16" s="725"/>
      <c r="B16" s="725"/>
      <c r="C16" s="680"/>
      <c r="D16" s="1751" t="s">
        <v>311</v>
      </c>
      <c r="E16" s="1750" t="s">
        <v>1776</v>
      </c>
      <c r="F16" s="1759"/>
      <c r="G16" s="697" t="s">
        <v>1777</v>
      </c>
      <c r="H16" s="1761"/>
    </row>
    <row customHeight="1" ht="45">
      <c r="A17" s="725"/>
      <c r="B17" s="725"/>
      <c r="C17" s="680"/>
      <c r="D17" s="1748">
        <v>3</v>
      </c>
      <c r="E17" s="1755" t="s">
        <v>1778</v>
      </c>
      <c r="F17" s="1754"/>
      <c r="G17" s="697" t="s">
        <v>1779</v>
      </c>
      <c r="H17" s="1761"/>
    </row>
    <row customHeight="1" ht="45">
      <c r="A18" s="1703">
        <v>1</v>
      </c>
      <c r="B18" s="725"/>
      <c r="C18" s="1705"/>
      <c r="D18" s="1748" t="s">
        <v>90</v>
      </c>
      <c r="E18" s="1755" t="s">
        <v>1780</v>
      </c>
      <c r="F18" s="1754"/>
      <c r="G18" s="697" t="s">
        <v>1779</v>
      </c>
      <c r="H18" s="1761"/>
      <c r="I18" s="1075"/>
    </row>
    <row customHeight="1" ht="22.5">
      <c r="A19" s="725"/>
      <c r="B19" s="725"/>
      <c r="C19" s="680"/>
      <c r="D19" s="1748" t="s">
        <v>110</v>
      </c>
      <c r="E19" s="1755" t="s">
        <v>1781</v>
      </c>
      <c r="F19" s="1749" t="s">
        <v>307</v>
      </c>
      <c r="G19" s="2599" t="s">
        <v>1782</v>
      </c>
      <c r="H19" s="698"/>
    </row>
    <row s="17424" customFormat="1" customHeight="1" ht="5.25" hidden="1">
      <c r="A20" s="725"/>
      <c r="B20" s="725"/>
      <c r="C20" s="1757"/>
      <c r="D20" s="1756" t="s">
        <v>1036</v>
      </c>
      <c r="E20" s="1238"/>
      <c r="F20" s="1237"/>
      <c r="G20" s="2600"/>
    </row>
    <row customHeight="1" ht="15">
      <c r="A21" s="725"/>
      <c r="B21" s="725"/>
      <c r="C21" s="680"/>
      <c r="D21" s="690"/>
      <c r="E21" s="638" t="s">
        <v>340</v>
      </c>
      <c r="F21" s="692"/>
      <c r="G21" s="2601"/>
      <c r="H21" s="1761"/>
    </row>
    <row s="13278" customFormat="1" customHeight="1" ht="24.75">
      <c r="A22" s="725"/>
      <c r="B22" s="725"/>
      <c r="C22" s="725"/>
      <c r="D22" s="1748" t="s">
        <v>91</v>
      </c>
      <c r="E22" s="697" t="s">
        <v>1783</v>
      </c>
      <c r="F22" s="1754"/>
      <c r="G22" s="697" t="s">
        <v>1784</v>
      </c>
      <c r="H22" s="1760"/>
    </row>
    <row s="13278" customFormat="1" customHeight="1" ht="18.75">
      <c r="A23" s="725"/>
      <c r="B23" s="725"/>
      <c r="C23" s="725"/>
      <c r="D23" s="1748" t="s">
        <v>92</v>
      </c>
      <c r="E23" s="1755" t="s">
        <v>1785</v>
      </c>
      <c r="F23" s="1759"/>
      <c r="G23" s="697" t="s">
        <v>1786</v>
      </c>
      <c r="H23" s="1760"/>
    </row>
    <row s="13278" customFormat="1" customHeight="1" ht="144" hidden="1">
      <c r="A24" s="725"/>
      <c r="B24" s="725"/>
      <c r="C24" s="725"/>
      <c r="D24" s="1748" t="s">
        <v>111</v>
      </c>
      <c r="E24" s="212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7"/>
      <c r="G24" s="212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6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94F5A-80C9-D158-1C39-86A7FD17E9B4}" mc:Ignorable="x14ac xr xr2 xr3">
  <dimension ref="A1:IT23"/>
  <sheetViews>
    <sheetView topLeftCell="A1" showGridLines="0" zoomScale="90" workbookViewId="0">
      <selection activeCell="A1" sqref="A1"/>
    </sheetView>
  </sheetViews>
  <sheetFormatPr defaultColWidth="9.140625" customHeight="1" defaultRowHeight="14.25"/>
  <cols>
    <col min="1" max="1" style="13619" width="9.140625" hidden="1"/>
    <col min="2" max="2" style="13533" width="9.140625" hidden="1"/>
    <col min="3" max="3" style="13619" width="3.7109375" hidden="1" customWidth="1"/>
    <col min="4" max="4" style="13387" width="3.8515625" customWidth="1"/>
    <col min="5" max="5" style="13619" width="6.28125" customWidth="1"/>
    <col min="6" max="6" style="13619" width="46.7109375" customWidth="1"/>
    <col min="7" max="8" style="13619" width="16.7109375" customWidth="1"/>
    <col min="9" max="9" style="13619" width="35.28125" customWidth="1"/>
    <col min="10" max="10" style="13619" width="89.57421875" customWidth="1"/>
    <col min="11" max="11" style="17449" width="3.7109375" customWidth="1"/>
    <col min="12" max="14" style="17449" width="9.140625"/>
    <col min="15" max="15" style="12895" width="25.7109375" customWidth="1"/>
    <col min="16" max="16" style="17449" width="14.421875" customWidth="1"/>
    <col min="17" max="20" style="12896" width="9.140625"/>
    <col min="21" max="254" style="13619" width="9.140625"/>
  </cols>
  <sheetData>
    <row customHeight="1" ht="14.25" hidden="1"/>
    <row s="12863" customFormat="1" customHeight="1" ht="22.5" hidden="1">
      <c r="A2" s="1054"/>
      <c r="B2" s="1385">
        <v>1</v>
      </c>
      <c r="C2" s="1385"/>
      <c r="D2" s="2154" t="s">
        <v>531</v>
      </c>
      <c r="E2" s="1712"/>
      <c r="F2" s="1719"/>
      <c r="G2" s="1719"/>
      <c r="H2" s="1719"/>
      <c r="I2" s="1766"/>
      <c r="J2" s="451"/>
      <c r="K2" s="1763"/>
      <c r="L2" s="734"/>
      <c r="M2" s="734"/>
      <c r="N2" s="723" t="str">
        <f t="array" ref="N2:N2">IF(ISERROR(MATCH(MID(O2,1,250),MID(note_ter,1,250),0)),"n","y")</f>
        <v>n</v>
      </c>
      <c r="O2" s="734"/>
      <c r="P2" s="723" t="str">
        <f>G2&amp;"("&amp;J2&amp;")"</f>
        <v>()</v>
      </c>
      <c r="Q2" s="1385"/>
      <c r="R2" s="1385"/>
      <c r="S2" s="643"/>
      <c r="T2" s="1385"/>
      <c r="U2" s="1385"/>
      <c r="V2" s="1385"/>
      <c r="W2" s="645"/>
      <c r="X2" s="645"/>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5"/>
      <c r="BU2" s="645"/>
      <c r="BV2" s="645"/>
      <c r="BW2" s="645"/>
      <c r="BX2" s="645"/>
      <c r="BY2" s="645"/>
      <c r="BZ2" s="645"/>
      <c r="CA2" s="645"/>
      <c r="CB2" s="645"/>
      <c r="CC2" s="645"/>
    </row>
    <row s="13606" customFormat="1" customHeight="1" ht="5.25" hidden="1">
      <c r="A3" s="719"/>
      <c r="D3" s="717"/>
      <c r="F3" s="470" t="s">
        <v>82</v>
      </c>
      <c r="G3" s="717" t="s">
        <v>83</v>
      </c>
      <c r="H3" s="717"/>
      <c r="I3" s="717"/>
      <c r="J3" s="450" t="s">
        <v>84</v>
      </c>
      <c r="K3" s="470" t="s">
        <v>82</v>
      </c>
      <c r="L3" s="470"/>
      <c r="M3" s="470"/>
      <c r="N3" s="470"/>
      <c r="O3" s="471"/>
      <c r="P3" s="470"/>
      <c r="Q3" s="470"/>
      <c r="R3" s="470"/>
      <c r="S3" s="470"/>
      <c r="T3" s="47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row>
    <row s="12854" customFormat="1" customHeight="1" ht="14.25">
      <c r="A4" s="1380"/>
      <c r="B4" s="1385"/>
      <c r="C4" s="1380"/>
      <c r="D4" s="1723"/>
      <c r="E4" s="732"/>
      <c r="F4" s="732"/>
      <c r="G4" s="732"/>
      <c r="H4" s="732"/>
      <c r="I4" s="732"/>
      <c r="J4" s="390"/>
      <c r="K4" s="470"/>
      <c r="L4" s="723"/>
      <c r="M4" s="723"/>
      <c r="N4" s="723"/>
      <c r="O4" s="449"/>
      <c r="P4" s="723"/>
      <c r="Q4" s="448"/>
      <c r="R4" s="448"/>
      <c r="S4" s="448"/>
      <c r="T4" s="448"/>
    </row>
    <row s="12854" customFormat="1" customHeight="1" ht="25.5">
      <c r="A5" s="1380"/>
      <c r="B5" s="1385"/>
      <c r="C5" s="1380"/>
      <c r="D5" s="1723"/>
      <c r="E5" s="223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7"/>
      <c r="G5" s="2237"/>
      <c r="H5" s="2237"/>
      <c r="I5" s="2237"/>
      <c r="J5" s="2237"/>
      <c r="K5" s="470"/>
      <c r="L5" s="723"/>
      <c r="M5" s="723"/>
      <c r="N5" s="723"/>
      <c r="O5" s="449"/>
      <c r="P5" s="723"/>
      <c r="Q5" s="448"/>
      <c r="R5" s="448"/>
      <c r="S5" s="448"/>
      <c r="T5" s="448"/>
    </row>
    <row s="12854" customFormat="1" customHeight="1" ht="14.25">
      <c r="A6" s="1380"/>
      <c r="B6" s="1385"/>
      <c r="C6" s="1380"/>
      <c r="D6" s="1723"/>
      <c r="E6" s="732"/>
      <c r="F6" s="391"/>
      <c r="G6" s="391"/>
      <c r="H6" s="391"/>
      <c r="I6" s="391"/>
      <c r="J6" s="392"/>
      <c r="K6" s="723"/>
      <c r="L6" s="723"/>
      <c r="M6" s="723"/>
      <c r="N6" s="723"/>
      <c r="O6" s="449"/>
      <c r="P6" s="723"/>
      <c r="Q6" s="448"/>
      <c r="R6" s="448"/>
      <c r="S6" s="448"/>
      <c r="T6" s="448"/>
    </row>
    <row s="12854" customFormat="1" customHeight="1" ht="14.25">
      <c r="A7" s="1380"/>
      <c r="B7" s="1385"/>
      <c r="C7" s="1380"/>
      <c r="D7" s="1723"/>
      <c r="E7" s="2238" t="s">
        <v>301</v>
      </c>
      <c r="F7" s="2239"/>
      <c r="G7" s="2239"/>
      <c r="H7" s="2239"/>
      <c r="I7" s="2239"/>
      <c r="J7" s="2602" t="s">
        <v>302</v>
      </c>
      <c r="K7" s="723"/>
      <c r="L7" s="723"/>
      <c r="M7" s="723"/>
      <c r="N7" s="723"/>
      <c r="O7" s="449"/>
      <c r="P7" s="723"/>
      <c r="Q7" s="448"/>
      <c r="R7" s="448"/>
      <c r="S7" s="448"/>
      <c r="T7" s="448"/>
    </row>
    <row s="12854" customFormat="1" customHeight="1" ht="20.25">
      <c r="A8" s="1380"/>
      <c r="B8" s="1385"/>
      <c r="C8" s="1380"/>
      <c r="D8" s="1723"/>
      <c r="E8" s="1776" t="s">
        <v>87</v>
      </c>
      <c r="F8" s="1768" t="s">
        <v>1787</v>
      </c>
      <c r="G8" s="1768" t="s">
        <v>48</v>
      </c>
      <c r="H8" s="1768" t="s">
        <v>50</v>
      </c>
      <c r="I8" s="1768" t="s">
        <v>1788</v>
      </c>
      <c r="J8" s="2603"/>
      <c r="K8" s="723"/>
      <c r="L8" s="723"/>
      <c r="M8" s="723"/>
      <c r="N8" s="723"/>
      <c r="O8" s="449"/>
      <c r="P8" s="723"/>
      <c r="Q8" s="448"/>
      <c r="R8" s="448"/>
      <c r="S8" s="448"/>
      <c r="T8" s="448"/>
    </row>
    <row s="12863" customFormat="1" customHeight="1" ht="22.5">
      <c r="A9" s="2236"/>
      <c r="B9" s="1385">
        <v>1</v>
      </c>
      <c r="C9" s="1385"/>
      <c r="D9" s="1024"/>
      <c r="E9" s="1712">
        <v>1</v>
      </c>
      <c r="F9" s="1775"/>
      <c r="G9" s="1719"/>
      <c r="H9" s="1719"/>
      <c r="I9" s="1766"/>
      <c r="J9" s="22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3"/>
      <c r="L9" s="734"/>
      <c r="M9" s="734"/>
      <c r="N9" s="723" t="str">
        <f t="array" ref="N9:N9">IF(ISERROR(MATCH(MID(O9,1,250),MID(note_ter,1,250),0)),"n","y")</f>
        <v>n</v>
      </c>
      <c r="O9" s="734"/>
      <c r="P9" s="72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5"/>
      <c r="R9" s="1385"/>
      <c r="S9" s="643"/>
      <c r="T9" s="1385"/>
      <c r="U9" s="1385"/>
      <c r="V9" s="1385"/>
      <c r="W9" s="645"/>
      <c r="X9" s="645"/>
      <c r="Y9" s="642"/>
      <c r="Z9" s="642"/>
      <c r="AA9" s="642"/>
      <c r="AB9" s="642"/>
      <c r="AC9" s="642"/>
      <c r="AD9" s="642"/>
      <c r="AE9" s="642"/>
      <c r="AF9" s="642"/>
      <c r="AG9" s="642"/>
      <c r="AH9" s="642"/>
      <c r="AI9" s="642"/>
      <c r="AJ9" s="642"/>
      <c r="AK9" s="642"/>
      <c r="AL9" s="642"/>
      <c r="AM9" s="642"/>
      <c r="AN9" s="642"/>
      <c r="AO9" s="642"/>
      <c r="AP9" s="642"/>
      <c r="AQ9" s="642"/>
      <c r="AR9" s="642"/>
      <c r="AS9" s="642"/>
      <c r="AT9" s="642"/>
      <c r="AU9" s="642"/>
      <c r="AV9" s="642"/>
      <c r="AW9" s="642"/>
      <c r="AX9" s="642"/>
      <c r="AY9" s="642"/>
      <c r="AZ9" s="642"/>
      <c r="BA9" s="642"/>
      <c r="BB9" s="642"/>
      <c r="BC9" s="642"/>
      <c r="BD9" s="642"/>
      <c r="BE9" s="642"/>
      <c r="BF9" s="642"/>
      <c r="BG9" s="642"/>
      <c r="BH9" s="642"/>
      <c r="BI9" s="642"/>
      <c r="BJ9" s="642"/>
      <c r="BK9" s="642"/>
      <c r="BL9" s="642"/>
      <c r="BM9" s="642"/>
      <c r="BN9" s="642"/>
      <c r="BO9" s="642"/>
      <c r="BP9" s="642"/>
      <c r="BQ9" s="642"/>
      <c r="BR9" s="642"/>
      <c r="BS9" s="642"/>
      <c r="BT9" s="645"/>
      <c r="BU9" s="645"/>
      <c r="BV9" s="645"/>
      <c r="BW9" s="645"/>
      <c r="BX9" s="645"/>
      <c r="BY9" s="645"/>
      <c r="BZ9" s="645"/>
      <c r="CA9" s="645"/>
      <c r="CB9" s="645"/>
      <c r="CC9" s="645"/>
    </row>
    <row s="12863" customFormat="1" customHeight="1" ht="15">
      <c r="A10" s="2236"/>
      <c r="B10" s="1385"/>
      <c r="C10" s="635"/>
      <c r="D10" s="1024"/>
      <c r="E10" s="1769"/>
      <c r="F10" s="1728" t="s">
        <v>1789</v>
      </c>
      <c r="G10" s="1770"/>
      <c r="H10" s="1770"/>
      <c r="I10" s="2128"/>
      <c r="J10" s="2300"/>
      <c r="K10" s="1764"/>
      <c r="L10" s="734"/>
      <c r="M10" s="734"/>
      <c r="N10" s="734"/>
      <c r="O10" s="723"/>
      <c r="P10" s="734"/>
      <c r="Q10" s="1385"/>
      <c r="R10" s="1385"/>
      <c r="S10" s="643"/>
      <c r="T10" s="1385"/>
      <c r="U10" s="1385"/>
      <c r="V10" s="1385"/>
      <c r="W10" s="645"/>
      <c r="X10" s="645"/>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5"/>
      <c r="BU10" s="645"/>
      <c r="BV10" s="645"/>
      <c r="BW10" s="645"/>
      <c r="BX10" s="645"/>
      <c r="BY10" s="645"/>
      <c r="BZ10" s="645"/>
      <c r="CA10" s="645"/>
      <c r="CB10" s="645"/>
      <c r="CC10" s="645"/>
    </row>
    <row s="12854" customFormat="1" customHeight="1" ht="21">
      <c r="A11" s="1380"/>
      <c r="B11" s="1385"/>
      <c r="C11" s="1380"/>
      <c r="D11" s="674"/>
      <c r="E11" s="404"/>
      <c r="F11" s="404"/>
      <c r="G11" s="404"/>
      <c r="H11" s="404"/>
      <c r="I11" s="404"/>
      <c r="J11" s="404"/>
      <c r="K11" s="723"/>
      <c r="L11" s="723"/>
      <c r="M11" s="723"/>
      <c r="N11" s="723"/>
      <c r="O11" s="449"/>
      <c r="P11" s="723"/>
      <c r="Q11" s="448"/>
      <c r="R11" s="448"/>
      <c r="S11" s="448"/>
      <c r="T11" s="448"/>
    </row>
    <row s="12854" customFormat="1" customHeight="1" ht="14.25">
      <c r="A12" s="1380"/>
      <c r="B12" s="1385"/>
      <c r="C12" s="1380"/>
      <c r="D12" s="674"/>
      <c r="E12" s="1380"/>
      <c r="F12" s="1380"/>
      <c r="G12" s="1380"/>
      <c r="H12" s="1380"/>
      <c r="I12" s="1380"/>
      <c r="J12" s="1380"/>
      <c r="K12" s="723"/>
      <c r="L12" s="723"/>
      <c r="M12" s="723"/>
      <c r="N12" s="723"/>
      <c r="O12" s="449"/>
      <c r="P12" s="723"/>
      <c r="Q12" s="448"/>
      <c r="R12" s="448"/>
      <c r="S12" s="448"/>
      <c r="T12" s="448"/>
    </row>
    <row s="12854" customFormat="1" customHeight="1" ht="0.75">
      <c r="A13" s="1380"/>
      <c r="B13" s="1385"/>
      <c r="C13" s="1380"/>
      <c r="D13" s="674"/>
      <c r="E13" s="1380"/>
      <c r="F13" s="1380"/>
      <c r="G13" s="1380"/>
      <c r="H13" s="1380"/>
      <c r="I13" s="1380"/>
      <c r="J13" s="1380"/>
      <c r="K13" s="723"/>
      <c r="L13" s="723"/>
      <c r="M13" s="723"/>
      <c r="N13" s="723"/>
      <c r="O13" s="449"/>
      <c r="P13" s="723"/>
      <c r="Q13" s="448"/>
      <c r="R13" s="448"/>
      <c r="S13" s="448"/>
      <c r="T13" s="448"/>
    </row>
    <row s="12886" customFormat="1" customHeight="1" ht="10.5">
      <c r="B14" s="1057"/>
      <c r="D14" s="406"/>
      <c r="K14" s="723"/>
      <c r="L14" s="723"/>
      <c r="M14" s="723"/>
      <c r="N14" s="723"/>
      <c r="O14" s="449"/>
      <c r="P14" s="723"/>
      <c r="Q14" s="448"/>
      <c r="R14" s="448"/>
      <c r="S14" s="448"/>
      <c r="T14" s="448"/>
    </row>
    <row s="12886" customFormat="1" customHeight="1" ht="10.5">
      <c r="B15" s="1057"/>
      <c r="D15" s="406"/>
      <c r="K15" s="723"/>
      <c r="L15" s="723"/>
      <c r="M15" s="723"/>
      <c r="N15" s="723"/>
      <c r="O15" s="449"/>
      <c r="P15" s="723"/>
      <c r="Q15" s="448"/>
      <c r="R15" s="448"/>
      <c r="S15" s="448"/>
      <c r="T15" s="448"/>
    </row>
    <row r="19" customHeight="1" ht="14.25">
      <c r="G19" s="596"/>
      <c r="H19" s="596"/>
      <c r="I19" s="596"/>
    </row>
    <row r="23" customHeight="1" ht="14.25">
      <c r="K23" s="1380"/>
      <c r="L23" s="1380"/>
      <c r="M23" s="1380"/>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56555-94A8-6415-5304-AF3C9DA629D1}" mc:Ignorable="x14ac xr xr2 xr3">
  <dimension ref="A1:IV14"/>
  <sheetViews>
    <sheetView topLeftCell="A1" showGridLines="0" zoomScale="90" workbookViewId="0">
      <selection activeCell="A1" sqref="A1"/>
    </sheetView>
  </sheetViews>
  <sheetFormatPr defaultColWidth="9.140625" customHeight="1" defaultRowHeight="14.25"/>
  <cols>
    <col min="1" max="1" style="13619" width="9.140625" hidden="1"/>
    <col min="2" max="2" style="13533" width="9.140625" hidden="1"/>
    <col min="3" max="3" style="13619" width="3.7109375" hidden="1" customWidth="1"/>
    <col min="4" max="4" style="13387" width="3.8515625" customWidth="1"/>
    <col min="5" max="5" style="13619" width="6.28125" customWidth="1"/>
    <col min="6" max="6" style="13619" width="27.28125" customWidth="1"/>
    <col min="7" max="7" style="13619" width="16.7109375" customWidth="1"/>
    <col min="8" max="8" style="13619" width="12.7109375" customWidth="1"/>
    <col min="9" max="9" style="13619" width="32.140625" customWidth="1"/>
    <col min="10" max="11" style="13619" width="41.8515625" customWidth="1"/>
    <col min="12" max="12" style="13619" width="89.57421875" customWidth="1"/>
    <col min="13" max="13" style="17449" width="3.7109375" customWidth="1"/>
    <col min="14" max="16" style="17449" width="9.140625"/>
    <col min="17" max="17" style="12895" width="25.7109375" customWidth="1"/>
    <col min="18" max="18" style="17449" width="14.421875" customWidth="1"/>
    <col min="19" max="22" style="12896" width="9.140625"/>
    <col min="23" max="256" style="13619" width="9.140625"/>
  </cols>
  <sheetData>
    <row customHeight="1" ht="14.25" hidden="1"/>
    <row s="12863" customFormat="1" customHeight="1" ht="22.5" hidden="1">
      <c r="A2" s="1054"/>
      <c r="B2" s="1385">
        <v>1</v>
      </c>
      <c r="C2" s="1385"/>
      <c r="D2" s="2155" t="s">
        <v>531</v>
      </c>
      <c r="E2" s="2118"/>
      <c r="F2" s="2121" t="str">
        <f>IF(ROIV_INFO_NAME="","",ROIV_INFO_NAME)</f>
        <v>ООО "Новая Энергетика"</v>
      </c>
      <c r="G2" s="2146" t="s">
        <v>24</v>
      </c>
      <c r="H2" s="2145"/>
      <c r="I2" s="1766"/>
      <c r="J2" s="1041"/>
      <c r="K2" s="1041"/>
      <c r="L2" s="451"/>
      <c r="M2" s="1763">
        <f>MERGEVALUE(F2)</f>
      </c>
      <c r="N2" s="734"/>
      <c r="O2" s="734"/>
      <c r="P2" s="723" t="str">
        <f t="array" ref="P2:P2">IF(ISERROR(MATCH(MID(Q2,1,250),MID(note_ter,1,250),0)),"n","y")</f>
        <v>n</v>
      </c>
      <c r="Q2" s="734"/>
      <c r="R2" s="723" t="str">
        <f>G2&amp;"("&amp;L2&amp;")"</f>
        <v>()</v>
      </c>
      <c r="S2" s="1385"/>
      <c r="T2" s="1385"/>
      <c r="U2" s="643"/>
      <c r="V2" s="1385"/>
      <c r="W2" s="1385"/>
      <c r="X2" s="1385"/>
      <c r="Y2" s="645"/>
      <c r="Z2" s="645"/>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645"/>
      <c r="BW2" s="645"/>
      <c r="BX2" s="645"/>
      <c r="BY2" s="645"/>
      <c r="BZ2" s="645"/>
      <c r="CA2" s="645"/>
      <c r="CB2" s="645"/>
      <c r="CC2" s="645"/>
      <c r="CD2" s="645"/>
      <c r="CE2" s="645"/>
    </row>
    <row s="13606" customFormat="1" customHeight="1" ht="5.25" hidden="1">
      <c r="A3" s="719"/>
      <c r="D3" s="717"/>
      <c r="F3" s="470" t="s">
        <v>82</v>
      </c>
      <c r="G3" s="1963" t="s">
        <v>83</v>
      </c>
      <c r="H3" s="717"/>
      <c r="I3" s="717"/>
      <c r="J3" s="717"/>
      <c r="K3" s="717"/>
      <c r="L3" s="450" t="s">
        <v>84</v>
      </c>
      <c r="M3" s="470" t="s">
        <v>82</v>
      </c>
      <c r="N3" s="470"/>
      <c r="O3" s="470"/>
      <c r="P3" s="470"/>
      <c r="Q3" s="471"/>
      <c r="R3" s="470"/>
      <c r="S3" s="470"/>
      <c r="T3" s="470"/>
      <c r="U3" s="470"/>
      <c r="V3" s="47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c r="IU3" s="450"/>
      <c r="IV3" s="450"/>
    </row>
    <row s="12854" customFormat="1" customHeight="1" ht="14.25">
      <c r="A4" s="1380"/>
      <c r="B4" s="1385"/>
      <c r="C4" s="1380"/>
      <c r="D4" s="1723"/>
      <c r="E4" s="732"/>
      <c r="F4" s="732"/>
      <c r="G4" s="732"/>
      <c r="H4" s="732"/>
      <c r="I4" s="732"/>
      <c r="J4" s="732"/>
      <c r="K4" s="732"/>
      <c r="L4" s="390"/>
      <c r="M4" s="470"/>
      <c r="N4" s="723"/>
      <c r="O4" s="723"/>
      <c r="P4" s="723"/>
      <c r="Q4" s="449"/>
      <c r="R4" s="723"/>
      <c r="S4" s="448"/>
      <c r="T4" s="448"/>
      <c r="U4" s="448"/>
      <c r="V4" s="448"/>
    </row>
    <row s="12854" customFormat="1" customHeight="1" ht="25.5">
      <c r="A5" s="1380"/>
      <c r="B5" s="1385"/>
      <c r="C5" s="1380"/>
      <c r="D5" s="1723"/>
      <c r="E5" s="22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7"/>
      <c r="G5" s="2237"/>
      <c r="H5" s="2237"/>
      <c r="I5" s="2237"/>
      <c r="J5" s="2237"/>
      <c r="K5" s="2237"/>
      <c r="L5" s="811"/>
      <c r="M5" s="470"/>
      <c r="N5" s="723"/>
      <c r="O5" s="723"/>
      <c r="P5" s="723"/>
      <c r="Q5" s="449"/>
      <c r="R5" s="723"/>
      <c r="S5" s="448"/>
      <c r="T5" s="448"/>
      <c r="U5" s="448"/>
      <c r="V5" s="448"/>
    </row>
    <row s="12854" customFormat="1" customHeight="1" ht="14.25">
      <c r="A6" s="1380"/>
      <c r="B6" s="1385"/>
      <c r="C6" s="1380"/>
      <c r="D6" s="1723"/>
      <c r="E6" s="732"/>
      <c r="F6" s="391"/>
      <c r="G6" s="391"/>
      <c r="H6" s="391"/>
      <c r="I6" s="391"/>
      <c r="J6" s="391"/>
      <c r="K6" s="391"/>
      <c r="L6" s="392"/>
      <c r="M6" s="723"/>
      <c r="N6" s="723"/>
      <c r="O6" s="723"/>
      <c r="P6" s="723"/>
      <c r="Q6" s="449"/>
      <c r="R6" s="723"/>
      <c r="S6" s="448"/>
      <c r="T6" s="448"/>
      <c r="U6" s="448"/>
      <c r="V6" s="448"/>
    </row>
    <row s="12854" customFormat="1" customHeight="1" ht="14.25">
      <c r="A7" s="1380"/>
      <c r="B7" s="1385"/>
      <c r="C7" s="1380"/>
      <c r="D7" s="1723"/>
      <c r="E7" s="2238" t="s">
        <v>301</v>
      </c>
      <c r="F7" s="2239"/>
      <c r="G7" s="2239"/>
      <c r="H7" s="2239"/>
      <c r="I7" s="2239"/>
      <c r="J7" s="2239"/>
      <c r="K7" s="2239"/>
      <c r="L7" s="2602" t="s">
        <v>302</v>
      </c>
      <c r="M7" s="723"/>
      <c r="N7" s="723"/>
      <c r="O7" s="723"/>
      <c r="P7" s="723"/>
      <c r="Q7" s="449"/>
      <c r="R7" s="723"/>
      <c r="S7" s="448"/>
      <c r="T7" s="448"/>
      <c r="U7" s="448"/>
      <c r="V7" s="448"/>
    </row>
    <row s="12854" customFormat="1" customHeight="1" ht="64.5">
      <c r="A8" s="1380"/>
      <c r="B8" s="1385"/>
      <c r="C8" s="1380"/>
      <c r="D8" s="1723"/>
      <c r="E8" s="2606" t="s">
        <v>87</v>
      </c>
      <c r="F8" s="260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9"/>
      <c r="I8" s="2610"/>
      <c r="J8" s="260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4"/>
      <c r="M8" s="723"/>
      <c r="N8" s="723"/>
      <c r="O8" s="723"/>
      <c r="P8" s="723"/>
      <c r="Q8" s="449"/>
      <c r="R8" s="723"/>
      <c r="S8" s="448"/>
      <c r="T8" s="448"/>
      <c r="U8" s="448"/>
      <c r="V8" s="448"/>
    </row>
    <row s="12854" customFormat="1" customHeight="1" ht="27.75">
      <c r="A9" s="1380"/>
      <c r="B9" s="1385"/>
      <c r="C9" s="1380"/>
      <c r="D9" s="1723"/>
      <c r="E9" s="2607"/>
      <c r="F9" s="2607"/>
      <c r="G9" s="1765" t="s">
        <v>1790</v>
      </c>
      <c r="H9" s="1765" t="s">
        <v>1791</v>
      </c>
      <c r="I9" s="1765" t="s">
        <v>1792</v>
      </c>
      <c r="J9" s="2607"/>
      <c r="K9" s="2607"/>
      <c r="L9" s="2603"/>
      <c r="M9" s="723"/>
      <c r="N9" s="723"/>
      <c r="O9" s="723"/>
      <c r="P9" s="723"/>
      <c r="Q9" s="449"/>
      <c r="R9" s="723"/>
      <c r="S9" s="448"/>
      <c r="T9" s="448"/>
      <c r="U9" s="448"/>
      <c r="V9" s="448"/>
    </row>
    <row s="12863" customFormat="1" customHeight="1" ht="22.5">
      <c r="A10" s="2236"/>
      <c r="B10" s="1385">
        <v>1</v>
      </c>
      <c r="C10" s="1385"/>
      <c r="D10" s="1023"/>
      <c r="E10" s="1021">
        <v>1</v>
      </c>
      <c r="F10" s="1767" t="str">
        <f>IF(ROIV_INFO_NAME="","",ROIV_INFO_NAME)</f>
        <v>ООО "Новая Энергетика"</v>
      </c>
      <c r="G10" s="1960" t="s">
        <v>24</v>
      </c>
      <c r="H10" s="2145"/>
      <c r="I10" s="1762"/>
      <c r="J10" s="1041"/>
      <c r="K10" s="1041"/>
      <c r="L10" s="25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3">
        <f>MERGEVALUE(F10)</f>
      </c>
      <c r="N10" s="734"/>
      <c r="O10" s="734"/>
      <c r="P10" s="723" t="str">
        <f t="array" ref="P10:P10">IF(ISERROR(MATCH(MID(Q10,1,250),MID(note_ter,1,250),0)),"n","y")</f>
        <v>n</v>
      </c>
      <c r="Q10" s="734"/>
      <c r="R10" s="7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5"/>
      <c r="T10" s="1385"/>
      <c r="U10" s="643"/>
      <c r="V10" s="1385"/>
      <c r="W10" s="1385"/>
      <c r="X10" s="1385"/>
      <c r="Y10" s="645"/>
      <c r="Z10" s="645"/>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2"/>
      <c r="BU10" s="642"/>
      <c r="BV10" s="645"/>
      <c r="BW10" s="645"/>
      <c r="BX10" s="645"/>
      <c r="BY10" s="645"/>
      <c r="BZ10" s="645"/>
      <c r="CA10" s="645"/>
      <c r="CB10" s="645"/>
      <c r="CC10" s="645"/>
      <c r="CD10" s="645"/>
      <c r="CE10" s="645"/>
    </row>
    <row s="12863" customFormat="1" customHeight="1" ht="15">
      <c r="A11" s="2236"/>
      <c r="B11" s="1385"/>
      <c r="C11" s="635"/>
      <c r="D11" s="1024"/>
      <c r="E11" s="644"/>
      <c r="F11" s="639" t="s">
        <v>1793</v>
      </c>
      <c r="G11" s="410"/>
      <c r="H11" s="410"/>
      <c r="I11" s="410"/>
      <c r="J11" s="410"/>
      <c r="K11" s="647"/>
      <c r="L11" s="2605"/>
      <c r="M11" s="1764"/>
      <c r="N11" s="734"/>
      <c r="O11" s="734"/>
      <c r="P11" s="734"/>
      <c r="Q11" s="723"/>
      <c r="R11" s="734"/>
      <c r="S11" s="1385"/>
      <c r="T11" s="1385"/>
      <c r="U11" s="643"/>
      <c r="V11" s="1385"/>
      <c r="W11" s="1385"/>
      <c r="X11" s="1385"/>
      <c r="Y11" s="645"/>
      <c r="Z11" s="645"/>
      <c r="AA11" s="642"/>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2"/>
      <c r="AY11" s="642"/>
      <c r="AZ11" s="642"/>
      <c r="BA11" s="642"/>
      <c r="BB11" s="642"/>
      <c r="BC11" s="642"/>
      <c r="BD11" s="642"/>
      <c r="BE11" s="642"/>
      <c r="BF11" s="642"/>
      <c r="BG11" s="642"/>
      <c r="BH11" s="642"/>
      <c r="BI11" s="642"/>
      <c r="BJ11" s="642"/>
      <c r="BK11" s="642"/>
      <c r="BL11" s="642"/>
      <c r="BM11" s="642"/>
      <c r="BN11" s="642"/>
      <c r="BO11" s="642"/>
      <c r="BP11" s="642"/>
      <c r="BQ11" s="642"/>
      <c r="BR11" s="642"/>
      <c r="BS11" s="642"/>
      <c r="BT11" s="642"/>
      <c r="BU11" s="642"/>
      <c r="BV11" s="645"/>
      <c r="BW11" s="645"/>
      <c r="BX11" s="645"/>
      <c r="BY11" s="645"/>
      <c r="BZ11" s="645"/>
      <c r="CA11" s="645"/>
      <c r="CB11" s="645"/>
      <c r="CC11" s="645"/>
      <c r="CD11" s="645"/>
      <c r="CE11" s="645"/>
    </row>
    <row s="12854" customFormat="1" customHeight="1" ht="21">
      <c r="A12" s="1380"/>
      <c r="B12" s="1385"/>
      <c r="C12" s="1380"/>
      <c r="D12" s="674"/>
      <c r="E12" s="404"/>
      <c r="F12" s="404"/>
      <c r="G12" s="404"/>
      <c r="H12" s="404"/>
      <c r="I12" s="404"/>
      <c r="J12" s="404"/>
      <c r="K12" s="404"/>
      <c r="L12" s="404"/>
      <c r="M12" s="723"/>
      <c r="N12" s="723"/>
      <c r="O12" s="723"/>
      <c r="P12" s="723"/>
      <c r="Q12" s="449"/>
      <c r="R12" s="723"/>
      <c r="S12" s="448"/>
      <c r="T12" s="448"/>
      <c r="U12" s="448"/>
      <c r="V12" s="448"/>
    </row>
    <row s="12854" customFormat="1" customHeight="1" ht="14.25">
      <c r="A13" s="1380"/>
      <c r="B13" s="1385"/>
      <c r="C13" s="1380"/>
      <c r="D13" s="674"/>
      <c r="E13" s="1380"/>
      <c r="F13" s="1380"/>
      <c r="G13" s="1380"/>
      <c r="H13" s="1380"/>
      <c r="I13" s="1380"/>
      <c r="J13" s="1380"/>
      <c r="K13" s="1380"/>
      <c r="L13" s="1380"/>
      <c r="M13" s="723"/>
      <c r="N13" s="723"/>
      <c r="O13" s="723"/>
      <c r="P13" s="723"/>
      <c r="Q13" s="449"/>
      <c r="R13" s="723"/>
      <c r="S13" s="448"/>
      <c r="T13" s="448"/>
      <c r="U13" s="448"/>
      <c r="V13" s="448"/>
    </row>
    <row s="12854" customFormat="1" customHeight="1" ht="0.75">
      <c r="A14" s="1380"/>
      <c r="B14" s="1385"/>
      <c r="C14" s="1380"/>
      <c r="D14" s="674"/>
      <c r="E14" s="1380"/>
      <c r="F14" s="1380"/>
      <c r="G14" s="1380"/>
      <c r="H14" s="1380"/>
      <c r="I14" s="1380"/>
      <c r="J14" s="1380"/>
      <c r="K14" s="1380"/>
      <c r="L14" s="1380"/>
      <c r="M14" s="723"/>
      <c r="N14" s="723"/>
      <c r="O14" s="723"/>
      <c r="P14" s="723"/>
      <c r="Q14" s="449"/>
      <c r="R14" s="723"/>
      <c r="S14" s="448"/>
      <c r="T14" s="448"/>
      <c r="U14" s="448"/>
      <c r="V14" s="44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83E1B-E3F4-9BF6-835E-983F76D6C2DA}" mc:Ignorable="x14ac xr xr2 xr3">
  <dimension ref="A1:IV14"/>
  <sheetViews>
    <sheetView topLeftCell="A1" showGridLines="0" zoomScale="90" workbookViewId="0">
      <selection activeCell="A1" sqref="A1"/>
    </sheetView>
  </sheetViews>
  <sheetFormatPr defaultColWidth="9.140625" customHeight="1" defaultRowHeight="14.25"/>
  <cols>
    <col min="1" max="1" style="13661" width="9.140625" hidden="1"/>
    <col min="2" max="2" style="13646" width="9.140625" hidden="1"/>
    <col min="3" max="3" style="13661" width="3.7109375" hidden="1" customWidth="1"/>
    <col min="4" max="4" style="17477" width="3.8515625" customWidth="1"/>
    <col min="5" max="5" style="13661" width="6.28125" customWidth="1"/>
    <col min="6" max="6" style="13661" width="27.28125" customWidth="1"/>
    <col min="7" max="7" style="13661" width="16.7109375" customWidth="1"/>
    <col min="8" max="8" style="13661" width="12.7109375" customWidth="1"/>
    <col min="9" max="9" style="13661" width="32.140625" customWidth="1"/>
    <col min="10" max="11" style="13661" width="41.8515625" customWidth="1"/>
    <col min="12" max="12" style="13661" width="89.57421875" customWidth="1"/>
    <col min="13" max="13" style="17478" width="3.7109375" customWidth="1"/>
    <col min="14" max="16" style="17478" width="9.140625"/>
    <col min="17" max="17" style="17478" width="25.7109375" customWidth="1"/>
    <col min="18" max="18" style="17478" width="14.421875" customWidth="1"/>
    <col min="19" max="22" style="12896" width="9.140625"/>
    <col min="23" max="256" style="13661" width="9.140625"/>
  </cols>
  <sheetData>
    <row customHeight="1" ht="14.25" hidden="1"/>
    <row s="17467" customFormat="1" customHeight="1" ht="22.5" hidden="1">
      <c r="A2" s="1054"/>
      <c r="B2" s="1594">
        <v>1</v>
      </c>
      <c r="C2" s="1594"/>
      <c r="D2" s="2156" t="s">
        <v>531</v>
      </c>
      <c r="E2" s="2133"/>
      <c r="F2" s="2135" t="str">
        <f>IF(ROIV_INFO_NAME="","",ROIV_INFO_NAME)</f>
        <v>ООО "Новая Энергетика"</v>
      </c>
      <c r="G2" s="1960" t="s">
        <v>24</v>
      </c>
      <c r="H2" s="2145"/>
      <c r="I2" s="1766"/>
      <c r="J2" s="1041"/>
      <c r="K2" s="1041"/>
      <c r="L2" s="451"/>
      <c r="M2" s="1763">
        <f>MERGEVALUE(F2)</f>
      </c>
      <c r="N2" s="1864"/>
      <c r="O2" s="1864"/>
      <c r="P2" s="1852" t="str">
        <f t="array" ref="P2:P2">IF(ISERROR(MATCH(MID(Q2,1,250),MID(note_ter,1,250),0)),"n","y")</f>
        <v>n</v>
      </c>
      <c r="Q2" s="1864"/>
      <c r="R2" s="1852" t="str">
        <f>G2&amp;"("&amp;L2&amp;")"</f>
        <v>()</v>
      </c>
      <c r="S2" s="1594"/>
      <c r="T2" s="1594"/>
      <c r="U2" s="643"/>
      <c r="V2" s="1594"/>
      <c r="W2" s="1594"/>
      <c r="X2" s="1594"/>
      <c r="Y2" s="1056"/>
      <c r="Z2" s="1056"/>
      <c r="AA2" s="850"/>
      <c r="AB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1056"/>
      <c r="BW2" s="1056"/>
      <c r="BX2" s="1056"/>
      <c r="BY2" s="1056"/>
      <c r="BZ2" s="1056"/>
      <c r="CA2" s="1056"/>
      <c r="CB2" s="1056"/>
      <c r="CC2" s="1056"/>
      <c r="CD2" s="1056"/>
      <c r="CE2" s="1056"/>
    </row>
    <row s="13659" customFormat="1" customHeight="1" ht="5.25" hidden="1">
      <c r="A3" s="1869"/>
      <c r="D3" s="2122"/>
      <c r="F3" s="471" t="s">
        <v>82</v>
      </c>
      <c r="G3" s="1963" t="s">
        <v>83</v>
      </c>
      <c r="H3" s="2122"/>
      <c r="I3" s="2122"/>
      <c r="J3" s="2122"/>
      <c r="K3" s="2122"/>
      <c r="L3" s="450" t="s">
        <v>84</v>
      </c>
      <c r="M3" s="471" t="s">
        <v>82</v>
      </c>
      <c r="N3" s="471"/>
      <c r="O3" s="471"/>
      <c r="P3" s="471"/>
      <c r="Q3" s="471"/>
      <c r="R3" s="471"/>
      <c r="S3" s="471"/>
      <c r="T3" s="471"/>
      <c r="U3" s="471"/>
      <c r="V3" s="471"/>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c r="IU3" s="450"/>
      <c r="IV3" s="450"/>
    </row>
    <row s="13173" customFormat="1" customHeight="1" ht="14.25">
      <c r="A4" s="1859"/>
      <c r="B4" s="1594"/>
      <c r="C4" s="1859"/>
      <c r="D4" s="1743"/>
      <c r="E4" s="1863"/>
      <c r="F4" s="1863"/>
      <c r="G4" s="1863"/>
      <c r="H4" s="1863"/>
      <c r="I4" s="1863"/>
      <c r="J4" s="1863"/>
      <c r="K4" s="1863"/>
      <c r="L4" s="2124"/>
      <c r="M4" s="471"/>
      <c r="N4" s="1852"/>
      <c r="O4" s="1852"/>
      <c r="P4" s="1852"/>
      <c r="Q4" s="1852"/>
      <c r="R4" s="1852"/>
      <c r="S4" s="448"/>
      <c r="T4" s="448"/>
      <c r="U4" s="448"/>
      <c r="V4" s="448"/>
    </row>
    <row s="13173" customFormat="1" customHeight="1" ht="25.5">
      <c r="A5" s="1859"/>
      <c r="B5" s="1594"/>
      <c r="C5" s="1859"/>
      <c r="D5" s="1743"/>
      <c r="E5" s="22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7"/>
      <c r="G5" s="2237"/>
      <c r="H5" s="2237"/>
      <c r="I5" s="2237"/>
      <c r="J5" s="2237"/>
      <c r="K5" s="2237"/>
      <c r="L5" s="1863"/>
      <c r="M5" s="471"/>
      <c r="N5" s="1852"/>
      <c r="O5" s="1852"/>
      <c r="P5" s="1852"/>
      <c r="Q5" s="1852"/>
      <c r="R5" s="1852"/>
      <c r="S5" s="448"/>
      <c r="T5" s="448"/>
      <c r="U5" s="448"/>
      <c r="V5" s="448"/>
    </row>
    <row s="13173" customFormat="1" customHeight="1" ht="14.25">
      <c r="A6" s="1859"/>
      <c r="B6" s="1594"/>
      <c r="C6" s="1859"/>
      <c r="D6" s="1743"/>
      <c r="E6" s="1863"/>
      <c r="F6" s="839"/>
      <c r="G6" s="839"/>
      <c r="H6" s="839"/>
      <c r="I6" s="839"/>
      <c r="J6" s="839"/>
      <c r="K6" s="839"/>
      <c r="L6" s="1479"/>
      <c r="M6" s="1852"/>
      <c r="N6" s="1852"/>
      <c r="O6" s="1852"/>
      <c r="P6" s="1852"/>
      <c r="Q6" s="1852"/>
      <c r="R6" s="1852"/>
      <c r="S6" s="448"/>
      <c r="T6" s="448"/>
      <c r="U6" s="448"/>
      <c r="V6" s="448"/>
    </row>
    <row s="13173" customFormat="1" customHeight="1" ht="14.25">
      <c r="A7" s="1859"/>
      <c r="B7" s="1594"/>
      <c r="C7" s="1859"/>
      <c r="D7" s="1743"/>
      <c r="E7" s="2238" t="s">
        <v>301</v>
      </c>
      <c r="F7" s="2239"/>
      <c r="G7" s="2239"/>
      <c r="H7" s="2239"/>
      <c r="I7" s="2239"/>
      <c r="J7" s="2239"/>
      <c r="K7" s="2239"/>
      <c r="L7" s="2602" t="s">
        <v>302</v>
      </c>
      <c r="M7" s="1852"/>
      <c r="N7" s="1852"/>
      <c r="O7" s="1852"/>
      <c r="P7" s="1852"/>
      <c r="Q7" s="1852"/>
      <c r="R7" s="1852"/>
      <c r="S7" s="448"/>
      <c r="T7" s="448"/>
      <c r="U7" s="448"/>
      <c r="V7" s="448"/>
    </row>
    <row s="13173" customFormat="1" customHeight="1" ht="64.5">
      <c r="A8" s="1859"/>
      <c r="B8" s="1594"/>
      <c r="C8" s="1859"/>
      <c r="D8" s="1743"/>
      <c r="E8" s="2606" t="s">
        <v>87</v>
      </c>
      <c r="F8" s="2606" t="s">
        <v>1794</v>
      </c>
      <c r="G8" s="2608" t="s">
        <v>1795</v>
      </c>
      <c r="H8" s="2609"/>
      <c r="I8" s="2610"/>
      <c r="J8" s="2606" t="s">
        <v>1796</v>
      </c>
      <c r="K8" s="26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4"/>
      <c r="M8" s="1852"/>
      <c r="N8" s="1852"/>
      <c r="O8" s="1852"/>
      <c r="P8" s="1852"/>
      <c r="Q8" s="1852"/>
      <c r="R8" s="1852"/>
      <c r="S8" s="448"/>
      <c r="T8" s="448"/>
      <c r="U8" s="448"/>
      <c r="V8" s="448"/>
    </row>
    <row s="13173" customFormat="1" customHeight="1" ht="27.75">
      <c r="A9" s="1859"/>
      <c r="B9" s="1594"/>
      <c r="C9" s="1859"/>
      <c r="D9" s="1743"/>
      <c r="E9" s="2607"/>
      <c r="F9" s="2607"/>
      <c r="G9" s="2123" t="s">
        <v>1790</v>
      </c>
      <c r="H9" s="2123" t="s">
        <v>1791</v>
      </c>
      <c r="I9" s="2123" t="s">
        <v>1792</v>
      </c>
      <c r="J9" s="2607"/>
      <c r="K9" s="2607"/>
      <c r="L9" s="2603"/>
      <c r="M9" s="1852"/>
      <c r="N9" s="1852"/>
      <c r="O9" s="1852"/>
      <c r="P9" s="1852"/>
      <c r="Q9" s="1852"/>
      <c r="R9" s="1852"/>
      <c r="S9" s="448"/>
      <c r="T9" s="448"/>
      <c r="U9" s="448"/>
      <c r="V9" s="448"/>
    </row>
    <row s="17467" customFormat="1" customHeight="1" ht="0.75">
      <c r="A10" s="2236"/>
      <c r="B10" s="1594">
        <v>1</v>
      </c>
      <c r="C10" s="1594"/>
      <c r="D10" s="1023"/>
      <c r="E10" s="1018">
        <v>0</v>
      </c>
      <c r="F10" s="2120" t="str">
        <f>IF(ROIV_INFO_NAME="","",ROIV_INFO_NAME)</f>
        <v>ООО "Новая Энергетика"</v>
      </c>
      <c r="G10" s="1961" t="s">
        <v>24</v>
      </c>
      <c r="H10" s="2132"/>
      <c r="I10" s="2132"/>
      <c r="J10" s="742"/>
      <c r="K10" s="742"/>
      <c r="L10" s="25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3">
        <f>MERGEVALUE(F10)</f>
      </c>
      <c r="N10" s="1864"/>
      <c r="O10" s="1864"/>
      <c r="P10" s="1852" t="str">
        <f t="array" ref="P10:P10">IF(ISERROR(MATCH(MID(Q10,1,250),MID(note_ter,1,250),0)),"n","y")</f>
        <v>n</v>
      </c>
      <c r="Q10" s="1864"/>
      <c r="R10" s="18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4"/>
      <c r="T10" s="1594"/>
      <c r="U10" s="643"/>
      <c r="V10" s="1594"/>
      <c r="W10" s="1594"/>
      <c r="X10" s="1594"/>
      <c r="Y10" s="1056"/>
      <c r="Z10" s="1056"/>
      <c r="AA10" s="850"/>
      <c r="AB10" s="850"/>
      <c r="AC10" s="850"/>
      <c r="AD10" s="850"/>
      <c r="AE10" s="850"/>
      <c r="AF10" s="850"/>
      <c r="AG10" s="850"/>
      <c r="AH10" s="850"/>
      <c r="AI10" s="850"/>
      <c r="AJ10" s="850"/>
      <c r="AK10" s="850"/>
      <c r="AL10" s="850"/>
      <c r="AM10" s="850"/>
      <c r="AN10" s="850"/>
      <c r="AO10" s="850"/>
      <c r="AP10" s="850"/>
      <c r="AQ10" s="850"/>
      <c r="AR10" s="850"/>
      <c r="AS10" s="850"/>
      <c r="AT10" s="850"/>
      <c r="AU10" s="850"/>
      <c r="AV10" s="850"/>
      <c r="AW10" s="850"/>
      <c r="AX10" s="850"/>
      <c r="AY10" s="850"/>
      <c r="AZ10" s="850"/>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1056"/>
      <c r="BW10" s="1056"/>
      <c r="BX10" s="1056"/>
      <c r="BY10" s="1056"/>
      <c r="BZ10" s="1056"/>
      <c r="CA10" s="1056"/>
      <c r="CB10" s="1056"/>
      <c r="CC10" s="1056"/>
      <c r="CD10" s="1056"/>
      <c r="CE10" s="1056"/>
    </row>
    <row s="17467" customFormat="1" customHeight="1" ht="15">
      <c r="A11" s="2236"/>
      <c r="B11" s="1594"/>
      <c r="C11" s="635"/>
      <c r="D11" s="1024"/>
      <c r="E11" s="644"/>
      <c r="F11" s="874" t="s">
        <v>1793</v>
      </c>
      <c r="G11" s="410"/>
      <c r="H11" s="410"/>
      <c r="I11" s="410"/>
      <c r="J11" s="410"/>
      <c r="K11" s="647"/>
      <c r="L11" s="2605"/>
      <c r="M11" s="1764"/>
      <c r="N11" s="1864"/>
      <c r="O11" s="1864"/>
      <c r="P11" s="1864"/>
      <c r="Q11" s="1852"/>
      <c r="R11" s="1864"/>
      <c r="S11" s="1594"/>
      <c r="T11" s="1594"/>
      <c r="U11" s="643"/>
      <c r="V11" s="1594"/>
      <c r="W11" s="1594"/>
      <c r="X11" s="1594"/>
      <c r="Y11" s="1056"/>
      <c r="Z11" s="1056"/>
      <c r="AA11" s="850"/>
      <c r="AB11" s="850"/>
      <c r="AC11" s="850"/>
      <c r="AD11" s="850"/>
      <c r="AE11" s="850"/>
      <c r="AF11" s="850"/>
      <c r="AG11" s="850"/>
      <c r="AH11" s="850"/>
      <c r="AI11" s="850"/>
      <c r="AJ11" s="850"/>
      <c r="AK11" s="850"/>
      <c r="AL11" s="850"/>
      <c r="AM11" s="850"/>
      <c r="AN11" s="850"/>
      <c r="AO11" s="850"/>
      <c r="AP11" s="850"/>
      <c r="AQ11" s="850"/>
      <c r="AR11" s="850"/>
      <c r="AS11" s="850"/>
      <c r="AT11" s="850"/>
      <c r="AU11" s="850"/>
      <c r="AV11" s="850"/>
      <c r="AW11" s="850"/>
      <c r="AX11" s="850"/>
      <c r="AY11" s="850"/>
      <c r="AZ11" s="850"/>
      <c r="BA11" s="850"/>
      <c r="BB11" s="850"/>
      <c r="BC11" s="850"/>
      <c r="BD11" s="850"/>
      <c r="BE11" s="850"/>
      <c r="BF11" s="850"/>
      <c r="BG11" s="850"/>
      <c r="BH11" s="850"/>
      <c r="BI11" s="850"/>
      <c r="BJ11" s="850"/>
      <c r="BK11" s="850"/>
      <c r="BL11" s="850"/>
      <c r="BM11" s="850"/>
      <c r="BN11" s="850"/>
      <c r="BO11" s="850"/>
      <c r="BP11" s="850"/>
      <c r="BQ11" s="850"/>
      <c r="BR11" s="850"/>
      <c r="BS11" s="850"/>
      <c r="BT11" s="850"/>
      <c r="BU11" s="850"/>
      <c r="BV11" s="1056"/>
      <c r="BW11" s="1056"/>
      <c r="BX11" s="1056"/>
      <c r="BY11" s="1056"/>
      <c r="BZ11" s="1056"/>
      <c r="CA11" s="1056"/>
      <c r="CB11" s="1056"/>
      <c r="CC11" s="1056"/>
      <c r="CD11" s="1056"/>
      <c r="CE11" s="1056"/>
    </row>
    <row s="13173" customFormat="1" customHeight="1" ht="21">
      <c r="A12" s="1859"/>
      <c r="B12" s="1594"/>
      <c r="C12" s="1859"/>
      <c r="D12" s="1861"/>
      <c r="E12" s="404"/>
      <c r="F12" s="404"/>
      <c r="G12" s="404"/>
      <c r="H12" s="404"/>
      <c r="I12" s="404"/>
      <c r="J12" s="404"/>
      <c r="K12" s="404"/>
      <c r="L12" s="404"/>
      <c r="M12" s="1852"/>
      <c r="N12" s="1852"/>
      <c r="O12" s="1852"/>
      <c r="P12" s="1852"/>
      <c r="Q12" s="1852"/>
      <c r="R12" s="1852"/>
      <c r="S12" s="448"/>
      <c r="T12" s="448"/>
      <c r="U12" s="448"/>
      <c r="V12" s="448"/>
    </row>
    <row s="13173" customFormat="1" customHeight="1" ht="14.25">
      <c r="A13" s="1859"/>
      <c r="B13" s="1594"/>
      <c r="C13" s="1859"/>
      <c r="D13" s="1861"/>
      <c r="E13" s="1859"/>
      <c r="F13" s="1859"/>
      <c r="G13" s="1859"/>
      <c r="H13" s="1859"/>
      <c r="I13" s="1859"/>
      <c r="J13" s="1859"/>
      <c r="K13" s="1859"/>
      <c r="L13" s="1859"/>
      <c r="M13" s="1852"/>
      <c r="N13" s="1852"/>
      <c r="O13" s="1852"/>
      <c r="P13" s="1852"/>
      <c r="Q13" s="1852"/>
      <c r="R13" s="1852"/>
      <c r="S13" s="448"/>
      <c r="T13" s="448"/>
      <c r="U13" s="448"/>
      <c r="V13" s="448"/>
    </row>
    <row s="13173" customFormat="1" customHeight="1" ht="0.75">
      <c r="A14" s="1859"/>
      <c r="B14" s="1594"/>
      <c r="C14" s="1859"/>
      <c r="D14" s="1861"/>
      <c r="E14" s="1859"/>
      <c r="F14" s="1859"/>
      <c r="G14" s="1859"/>
      <c r="H14" s="1859"/>
      <c r="I14" s="1859"/>
      <c r="J14" s="1859"/>
      <c r="K14" s="1859"/>
      <c r="L14" s="1859"/>
      <c r="M14" s="1852"/>
      <c r="N14" s="1852"/>
      <c r="O14" s="1852"/>
      <c r="P14" s="1852"/>
      <c r="Q14" s="1852"/>
      <c r="R14" s="1852"/>
      <c r="S14" s="448"/>
      <c r="T14" s="448"/>
      <c r="U14" s="448"/>
      <c r="V14" s="448"/>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8988D-6544-FB7E-4FDB-F6657BDCDAA1}" mc:Ignorable="x14ac xr xr2 xr3">
  <dimension ref="A1:P18"/>
  <sheetViews>
    <sheetView topLeftCell="A1" showGridLines="0" zoomScale="90" workbookViewId="0">
      <selection activeCell="A1" sqref="A1"/>
    </sheetView>
  </sheetViews>
  <sheetFormatPr defaultColWidth="9.140625" customHeight="1" defaultRowHeight="14.25"/>
  <cols>
    <col min="1" max="1" style="13619" width="9.140625" hidden="1"/>
    <col min="2" max="2" style="13533" width="9.140625" hidden="1"/>
    <col min="3" max="3" style="13619" width="3.7109375" hidden="1" customWidth="1"/>
    <col min="4" max="4" style="13387" width="3.8515625" customWidth="1"/>
    <col min="5" max="5" style="13619" width="6.28125" customWidth="1"/>
    <col min="6" max="6" style="13619" width="27.28125" customWidth="1"/>
    <col min="7" max="7" style="13619" width="29.28125" customWidth="1"/>
    <col min="8" max="8" style="13619" width="25.421875" customWidth="1"/>
    <col min="9" max="9" style="13619" width="5.57421875" customWidth="1"/>
    <col min="10" max="10" style="13619" width="6.57421875" customWidth="1"/>
    <col min="11" max="11" style="13619" width="41.8515625" customWidth="1"/>
    <col min="12" max="12" style="13619" width="42.421875" customWidth="1"/>
    <col min="13" max="13" style="13619" width="41.57421875" customWidth="1"/>
    <col min="14" max="14" style="13661" width="89.57421875" customWidth="1"/>
    <col min="15" max="15" style="17449" width="3.7109375" customWidth="1"/>
    <col min="16" max="16" style="17449" width="9.140625"/>
  </cols>
  <sheetData>
    <row customHeight="1" ht="14.25" hidden="1"/>
    <row s="12863" customFormat="1" customHeight="1" ht="22.5" hidden="1">
      <c r="A2" s="719"/>
      <c r="B2" s="1385">
        <v>1</v>
      </c>
      <c r="C2" s="1385"/>
      <c r="D2" s="2157" t="s">
        <v>531</v>
      </c>
      <c r="E2" s="2254">
        <v>1</v>
      </c>
      <c r="F2" s="2619" t="str">
        <f>IF(region_name="","",region_name)</f>
        <v>Приморский край</v>
      </c>
      <c r="G2" s="2620"/>
      <c r="H2" s="2621"/>
      <c r="I2" s="697"/>
      <c r="J2" s="2139">
        <v>1</v>
      </c>
      <c r="K2" s="2141"/>
      <c r="L2" s="2141"/>
      <c r="M2" s="2141"/>
      <c r="N2" s="715"/>
      <c r="O2" s="1763"/>
      <c r="P2" s="734"/>
    </row>
    <row s="12863" customFormat="1" customHeight="1" ht="22.5" hidden="1">
      <c r="A3" s="1054"/>
      <c r="B3" s="1385"/>
      <c r="C3" s="1385"/>
      <c r="D3" s="1024"/>
      <c r="E3" s="2254"/>
      <c r="F3" s="2619"/>
      <c r="G3" s="2620"/>
      <c r="H3" s="2622"/>
      <c r="I3" s="644"/>
      <c r="J3" s="1728"/>
      <c r="K3" s="1728" t="s">
        <v>1797</v>
      </c>
      <c r="L3" s="1771"/>
      <c r="M3" s="2149"/>
      <c r="N3" s="2142"/>
      <c r="O3" s="1763"/>
      <c r="P3" s="734"/>
    </row>
    <row s="13606" customFormat="1" customHeight="1" ht="5.25" hidden="1">
      <c r="A4" s="719"/>
      <c r="D4" s="717"/>
      <c r="F4" s="470" t="s">
        <v>82</v>
      </c>
      <c r="G4" s="717" t="s">
        <v>83</v>
      </c>
      <c r="H4" s="717"/>
      <c r="I4" s="2152"/>
      <c r="J4" s="1772"/>
      <c r="K4" s="2140"/>
      <c r="L4" s="2140"/>
      <c r="M4" s="2140"/>
      <c r="N4" s="2136"/>
      <c r="O4" s="470" t="s">
        <v>82</v>
      </c>
      <c r="P4" s="470"/>
    </row>
    <row s="17467" customFormat="1" customHeight="1" ht="22.5" hidden="1">
      <c r="A5" s="1869"/>
      <c r="B5" s="1594">
        <v>1</v>
      </c>
      <c r="C5" s="1594"/>
      <c r="D5" s="1024"/>
      <c r="E5" s="2142"/>
      <c r="F5" s="2142"/>
      <c r="G5" s="2142"/>
      <c r="H5" s="2153"/>
      <c r="I5" s="2158" t="s">
        <v>531</v>
      </c>
      <c r="J5" s="2151">
        <v>1</v>
      </c>
      <c r="K5" s="2141"/>
      <c r="L5" s="2141"/>
      <c r="M5" s="2141"/>
      <c r="N5" s="715"/>
      <c r="O5" s="1763"/>
      <c r="P5" s="1864"/>
    </row>
    <row s="12854" customFormat="1" customHeight="1" ht="14.25">
      <c r="A6" s="1380"/>
      <c r="B6" s="1385"/>
      <c r="C6" s="1380"/>
      <c r="D6" s="1723"/>
      <c r="E6" s="732"/>
      <c r="F6" s="732"/>
      <c r="G6" s="732"/>
      <c r="H6" s="732"/>
      <c r="I6" s="732"/>
      <c r="J6" s="732"/>
      <c r="K6" s="732"/>
      <c r="L6" s="732"/>
      <c r="M6" s="732"/>
      <c r="N6" s="1863"/>
      <c r="O6" s="470"/>
      <c r="P6" s="723"/>
    </row>
    <row s="12854" customFormat="1" customHeight="1" ht="25.5">
      <c r="A7" s="1380"/>
      <c r="B7" s="1385"/>
      <c r="C7" s="1380"/>
      <c r="D7" s="1723"/>
      <c r="E7" s="26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3"/>
      <c r="G7" s="2613"/>
      <c r="H7" s="2613"/>
      <c r="I7" s="2613"/>
      <c r="J7" s="2613"/>
      <c r="K7" s="2613"/>
      <c r="L7" s="2613"/>
      <c r="M7" s="2613"/>
      <c r="N7" s="1479"/>
      <c r="O7" s="470"/>
      <c r="P7" s="723"/>
    </row>
    <row s="12854" customFormat="1" customHeight="1" ht="14.25">
      <c r="A8" s="1380"/>
      <c r="B8" s="1385"/>
      <c r="C8" s="1380"/>
      <c r="D8" s="1723"/>
      <c r="E8" s="732"/>
      <c r="F8" s="391"/>
      <c r="G8" s="391"/>
      <c r="H8" s="391"/>
      <c r="I8" s="391"/>
      <c r="J8" s="391"/>
      <c r="K8" s="391"/>
      <c r="L8" s="391"/>
      <c r="M8" s="391"/>
      <c r="N8" s="839"/>
      <c r="O8" s="723"/>
      <c r="P8" s="723"/>
    </row>
    <row s="17496" customFormat="1" customHeight="1" ht="14.25" hidden="1">
      <c r="A9" s="1696"/>
      <c r="B9" s="1706"/>
      <c r="C9" s="1696"/>
      <c r="D9" s="1723"/>
      <c r="E9" s="2143"/>
      <c r="F9" s="2143"/>
      <c r="G9" s="2143"/>
      <c r="H9" s="2143"/>
      <c r="I9" s="2616"/>
      <c r="J9" s="2616"/>
      <c r="K9" s="2616"/>
      <c r="L9" s="2143"/>
      <c r="M9" s="2144"/>
      <c r="O9" s="1773"/>
      <c r="P9" s="1773"/>
    </row>
    <row s="12854" customFormat="1" customHeight="1" ht="14.25">
      <c r="A10" s="1380"/>
      <c r="B10" s="1385"/>
      <c r="C10" s="1380"/>
      <c r="D10" s="1723"/>
      <c r="E10" s="2254" t="s">
        <v>301</v>
      </c>
      <c r="F10" s="2254"/>
      <c r="G10" s="2254"/>
      <c r="H10" s="2254"/>
      <c r="I10" s="2254"/>
      <c r="J10" s="2254"/>
      <c r="K10" s="2254"/>
      <c r="L10" s="2254"/>
      <c r="M10" s="2238"/>
      <c r="N10" s="2606" t="s">
        <v>302</v>
      </c>
      <c r="O10" s="723"/>
      <c r="P10" s="723"/>
    </row>
    <row s="13173" customFormat="1" customHeight="1" ht="42">
      <c r="A11" s="1859"/>
      <c r="B11" s="1594"/>
      <c r="C11" s="1859"/>
      <c r="D11" s="1743"/>
      <c r="E11" s="2615" t="s">
        <v>87</v>
      </c>
      <c r="F11" s="2615" t="s">
        <v>305</v>
      </c>
      <c r="G11" s="2615" t="s">
        <v>1798</v>
      </c>
      <c r="H11" s="2615"/>
      <c r="I11" s="2615" t="s">
        <v>1799</v>
      </c>
      <c r="J11" s="2615"/>
      <c r="K11" s="2615"/>
      <c r="L11" s="2615" t="s">
        <v>1800</v>
      </c>
      <c r="M11" s="2608" t="s">
        <v>1801</v>
      </c>
      <c r="N11" s="2614"/>
      <c r="O11" s="1852"/>
      <c r="P11" s="1852"/>
    </row>
    <row s="12854" customFormat="1" customHeight="1" ht="27.75">
      <c r="A12" s="1380"/>
      <c r="B12" s="1385"/>
      <c r="C12" s="1380"/>
      <c r="D12" s="1723"/>
      <c r="E12" s="2606"/>
      <c r="F12" s="2615"/>
      <c r="G12" s="2138" t="s">
        <v>1802</v>
      </c>
      <c r="H12" s="2138" t="s">
        <v>309</v>
      </c>
      <c r="I12" s="2615"/>
      <c r="J12" s="2615"/>
      <c r="K12" s="2615"/>
      <c r="L12" s="2615"/>
      <c r="M12" s="2608"/>
      <c r="N12" s="2607"/>
      <c r="O12" s="723"/>
      <c r="P12" s="723"/>
    </row>
    <row s="12863" customFormat="1" customHeight="1" ht="22.5">
      <c r="A13" s="2236">
        <v>26379339</v>
      </c>
      <c r="B13" s="1385">
        <v>1</v>
      </c>
      <c r="C13" s="1385"/>
      <c r="D13" s="1024"/>
      <c r="E13" s="2254">
        <v>1</v>
      </c>
      <c r="F13" s="2623" t="str">
        <f>IF(region_name="","",region_name)</f>
        <v>Приморский край</v>
      </c>
      <c r="G13" s="2624"/>
      <c r="H13" s="2617"/>
      <c r="I13" s="697"/>
      <c r="J13" s="2134">
        <v>1</v>
      </c>
      <c r="K13" s="2147"/>
      <c r="L13" s="2148"/>
      <c r="M13" s="2148"/>
      <c r="N13" s="2611" t="s">
        <v>1803</v>
      </c>
      <c r="O13" s="1763"/>
      <c r="P13" s="734"/>
    </row>
    <row s="12863" customFormat="1" customHeight="1" ht="22.5">
      <c r="A14" s="2236"/>
      <c r="B14" s="1385"/>
      <c r="C14" s="1385"/>
      <c r="D14" s="1024"/>
      <c r="E14" s="2254"/>
      <c r="F14" s="2623"/>
      <c r="G14" s="2624"/>
      <c r="H14" s="2618"/>
      <c r="I14" s="644"/>
      <c r="J14" s="1728"/>
      <c r="K14" s="1728" t="s">
        <v>1797</v>
      </c>
      <c r="L14" s="1771"/>
      <c r="M14" s="1771"/>
      <c r="N14" s="2612"/>
      <c r="O14" s="1763"/>
      <c r="P14" s="734"/>
    </row>
    <row s="12863" customFormat="1" customHeight="1" ht="22.5">
      <c r="A15" s="2236"/>
      <c r="B15" s="1385"/>
      <c r="C15" s="635"/>
      <c r="D15" s="1024"/>
      <c r="E15" s="644"/>
      <c r="F15" s="1728" t="s">
        <v>1789</v>
      </c>
      <c r="G15" s="1770"/>
      <c r="H15" s="1770"/>
      <c r="I15" s="410"/>
      <c r="J15" s="410"/>
      <c r="K15" s="410"/>
      <c r="L15" s="410"/>
      <c r="M15" s="410"/>
      <c r="N15" s="2612"/>
      <c r="O15" s="1764"/>
      <c r="P15" s="734"/>
    </row>
    <row s="12854" customFormat="1" customHeight="1" ht="21">
      <c r="A16" s="1380"/>
      <c r="B16" s="1385"/>
      <c r="C16" s="1380"/>
      <c r="D16" s="674"/>
      <c r="E16" s="404"/>
      <c r="F16" s="404"/>
      <c r="G16" s="404"/>
      <c r="H16" s="404"/>
      <c r="I16" s="404"/>
      <c r="J16" s="404"/>
      <c r="K16" s="404"/>
      <c r="L16" s="404"/>
      <c r="M16" s="732"/>
      <c r="N16" s="1863"/>
      <c r="O16" s="723"/>
      <c r="P16" s="723"/>
    </row>
    <row s="12854" customFormat="1" customHeight="1" ht="14.25">
      <c r="A17" s="1380"/>
      <c r="B17" s="1385"/>
      <c r="C17" s="1380"/>
      <c r="D17" s="674"/>
      <c r="E17" s="1380"/>
      <c r="F17" s="1380"/>
      <c r="G17" s="1380"/>
      <c r="H17" s="1380"/>
      <c r="I17" s="1380"/>
      <c r="J17" s="1380"/>
      <c r="K17" s="1380"/>
      <c r="L17" s="1380"/>
      <c r="M17" s="1380"/>
      <c r="N17" s="1859"/>
      <c r="O17" s="723"/>
      <c r="P17" s="723"/>
    </row>
    <row s="12854" customFormat="1" customHeight="1" ht="0.75">
      <c r="A18" s="1380"/>
      <c r="B18" s="1385"/>
      <c r="C18" s="1380"/>
      <c r="D18" s="674"/>
      <c r="E18" s="1380"/>
      <c r="F18" s="1380"/>
      <c r="G18" s="1380"/>
      <c r="H18" s="1380"/>
      <c r="I18" s="1380"/>
      <c r="J18" s="1380"/>
      <c r="K18" s="1380"/>
      <c r="L18" s="1380"/>
      <c r="M18" s="1380"/>
      <c r="N18" s="1859"/>
      <c r="O18" s="723"/>
      <c r="P18" s="723"/>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96E2D-F213-0C46-88E5-4BE602D3E38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7517" width="9.140625" hidden="1"/>
    <col min="2" max="2" style="17535" width="9.140625" hidden="1"/>
    <col min="3" max="3" style="17536" width="3.7109375" customWidth="1"/>
    <col min="4" max="4" style="17537" width="7.00390625" customWidth="1"/>
    <col min="5" max="5" style="17537" width="23.140625" customWidth="1"/>
    <col min="6" max="6" style="17537" width="16.00390625" customWidth="1"/>
    <col min="7" max="7" style="17537" width="14.8515625" customWidth="1"/>
    <col min="8" max="8" style="17537" width="47.8515625" customWidth="1"/>
    <col min="9" max="9" style="17537" width="115.7109375" customWidth="1"/>
    <col min="10" max="10" style="17537" width="3.7109375" customWidth="1"/>
    <col min="11" max="12" style="17537" width="9.140625"/>
  </cols>
  <sheetData>
    <row customHeight="1" ht="14.25" hidden="1"/>
    <row customHeight="1" ht="14.25" hidden="1"/>
    <row customHeight="1" ht="14.25" hidden="1"/>
    <row customHeight="1" ht="3"/>
    <row s="12893" customFormat="1" customHeight="1" ht="30">
      <c r="A5" s="339"/>
      <c r="C5" s="313"/>
      <c r="D5" s="2237" t="s">
        <v>1804</v>
      </c>
      <c r="E5" s="2237"/>
      <c r="F5" s="2237"/>
      <c r="G5" s="2237"/>
      <c r="H5" s="2237"/>
      <c r="I5" s="488"/>
    </row>
    <row customHeight="1" ht="3" hidden="1">
      <c r="D6" s="346"/>
      <c r="E6" s="346"/>
      <c r="F6" s="346"/>
      <c r="G6" s="346"/>
      <c r="H6" s="346"/>
      <c r="I6" s="346"/>
    </row>
    <row s="17517" customFormat="1" customHeight="1" ht="14.25">
      <c r="B7" s="343"/>
      <c r="C7" s="344"/>
      <c r="D7" s="347"/>
      <c r="E7" s="347"/>
      <c r="F7" s="347"/>
      <c r="G7" s="347"/>
      <c r="H7" s="975"/>
      <c r="I7" s="347"/>
      <c r="J7" s="348"/>
    </row>
    <row customHeight="1" ht="14.25">
      <c r="D8" s="2344" t="s">
        <v>301</v>
      </c>
      <c r="E8" s="2344"/>
      <c r="F8" s="2344"/>
      <c r="G8" s="2344"/>
      <c r="H8" s="2344"/>
      <c r="I8" s="2344" t="s">
        <v>302</v>
      </c>
    </row>
    <row customHeight="1" ht="27.75">
      <c r="D9" s="2344" t="s">
        <v>87</v>
      </c>
      <c r="E9" s="2344" t="s">
        <v>1805</v>
      </c>
      <c r="F9" s="2344"/>
      <c r="G9" s="2344"/>
      <c r="H9" s="2344"/>
      <c r="I9" s="2344"/>
    </row>
    <row customHeight="1" ht="22.5">
      <c r="D10" s="2344"/>
      <c r="E10" s="351" t="s">
        <v>1806</v>
      </c>
      <c r="F10" s="351" t="s">
        <v>1807</v>
      </c>
      <c r="G10" s="351" t="s">
        <v>1808</v>
      </c>
      <c r="H10" s="351" t="s">
        <v>391</v>
      </c>
      <c r="I10" s="2344"/>
    </row>
    <row customHeight="1" ht="12" hidden="1">
      <c r="D11" s="310" t="s">
        <v>108</v>
      </c>
      <c r="E11" s="310" t="s">
        <v>90</v>
      </c>
      <c r="F11" s="310" t="s">
        <v>110</v>
      </c>
      <c r="G11" s="310" t="s">
        <v>91</v>
      </c>
      <c r="H11" s="310" t="s">
        <v>92</v>
      </c>
      <c r="I11" s="310" t="s">
        <v>111</v>
      </c>
    </row>
    <row s="17523" customFormat="1" customHeight="1" ht="24.75">
      <c r="A12" s="369" t="s">
        <v>89</v>
      </c>
      <c r="B12" s="349" t="s">
        <v>24</v>
      </c>
      <c r="C12" s="350"/>
      <c r="D12" s="352" t="s">
        <v>108</v>
      </c>
      <c r="E12" s="604"/>
      <c r="F12" s="604"/>
      <c r="G12" s="1962" t="s">
        <v>24</v>
      </c>
      <c r="H12" s="605"/>
      <c r="I12" s="2298" t="s">
        <v>1809</v>
      </c>
      <c r="K12" s="495"/>
      <c r="L12" s="496"/>
    </row>
    <row customHeight="1" ht="15">
      <c r="A13" s="345"/>
      <c r="B13" s="345"/>
      <c r="C13" s="345"/>
      <c r="D13" s="333"/>
      <c r="E13" s="354" t="s">
        <v>466</v>
      </c>
      <c r="F13" s="353"/>
      <c r="G13" s="353"/>
      <c r="H13" s="437"/>
      <c r="I13" s="2300"/>
    </row>
    <row customHeight="1" ht="3">
      <c r="A14" s="345"/>
      <c r="B14" s="345"/>
      <c r="C14" s="345"/>
    </row>
    <row customHeight="1" ht="27.75">
      <c r="E15" s="2625" t="s">
        <v>1810</v>
      </c>
      <c r="F15" s="2625"/>
      <c r="G15" s="2625"/>
      <c r="H15" s="262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BB7B6-7E47-7C0A-7B9C-2C3D10446B18}"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17554" width="9.140625" hidden="1"/>
    <col min="3" max="3" style="17555" width="3.7109375" customWidth="1"/>
    <col min="4" max="4" style="17554" width="6.28125" customWidth="1"/>
    <col min="5" max="5" style="17554" width="94.8515625" customWidth="1"/>
    <col min="6" max="9" style="17554" width="9.140625"/>
  </cols>
  <sheetData>
    <row customHeight="1" ht="14.25" hidden="1"/>
    <row customHeight="1" ht="14.25" hidden="1"/>
    <row customHeight="1" ht="14.25" hidden="1"/>
    <row customHeight="1" ht="14.25" hidden="1"/>
    <row customHeight="1" ht="14.25" hidden="1"/>
    <row customHeight="1" ht="3">
      <c r="C6" s="315"/>
      <c r="D6" s="293"/>
      <c r="E6" s="293"/>
    </row>
    <row customHeight="1" ht="22.5">
      <c r="C7" s="315"/>
      <c r="D7" s="2626" t="s">
        <v>1811</v>
      </c>
      <c r="E7" s="2627"/>
      <c r="F7" s="490"/>
    </row>
    <row customHeight="1" ht="3">
      <c r="C8" s="315"/>
      <c r="D8" s="293"/>
      <c r="E8" s="293"/>
    </row>
    <row customHeight="1" ht="15.75">
      <c r="C9" s="315"/>
      <c r="D9" s="329" t="s">
        <v>87</v>
      </c>
      <c r="E9" s="483" t="s">
        <v>1812</v>
      </c>
    </row>
    <row customHeight="1" ht="0.75">
      <c r="C10" s="315"/>
      <c r="D10" s="310"/>
      <c r="E10" s="310"/>
    </row>
    <row customHeight="1" ht="11.25" hidden="1">
      <c r="C11" s="315"/>
      <c r="D11" s="374">
        <v>0</v>
      </c>
      <c r="E11" s="484"/>
    </row>
    <row customHeight="1" ht="95.25">
      <c r="C12" s="360"/>
      <c r="D12" s="337">
        <v>1</v>
      </c>
      <c r="E12" s="600" t="s">
        <v>1813</v>
      </c>
    </row>
    <row customHeight="1" ht="12">
      <c r="C13" s="315"/>
      <c r="D13" s="485"/>
      <c r="E13" s="486" t="s">
        <v>1814</v>
      </c>
    </row>
    <row customHeight="1" ht="3"/>
    <row customHeight="1" ht="22.5">
      <c r="C15" s="361"/>
      <c r="D15" s="2628" t="s">
        <v>1815</v>
      </c>
      <c r="E15" s="2628"/>
      <c r="F15" s="362"/>
      <c r="G15" s="362"/>
      <c r="H15" s="362"/>
      <c r="I15" s="36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BF991-186A-2705-6A75-57A8BDA5069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7554" width="9.140625" hidden="1"/>
    <col min="3" max="3" style="17555" width="3.7109375" customWidth="1"/>
    <col min="4" max="4" style="17554" width="6.28125" customWidth="1"/>
    <col min="5" max="5" style="17554" width="94.8515625" customWidth="1"/>
    <col min="6" max="12" style="17554" width="9.140625"/>
  </cols>
  <sheetData>
    <row customHeight="1" ht="14.25" hidden="1">
      <c r="L1" s="487"/>
    </row>
    <row customHeight="1" ht="14.25" hidden="1"/>
    <row customHeight="1" ht="14.25" hidden="1"/>
    <row customHeight="1" ht="14.25" hidden="1"/>
    <row customHeight="1" ht="14.25" hidden="1"/>
    <row customHeight="1" ht="3">
      <c r="C6" s="315"/>
      <c r="D6" s="293"/>
      <c r="E6" s="293"/>
    </row>
    <row customHeight="1" ht="22.5">
      <c r="C7" s="315"/>
      <c r="D7" s="2237" t="s">
        <v>1816</v>
      </c>
      <c r="E7" s="2237"/>
      <c r="F7" s="490"/>
    </row>
    <row customHeight="1" ht="3">
      <c r="C8" s="315"/>
      <c r="D8" s="293"/>
      <c r="E8" s="293"/>
    </row>
    <row customHeight="1" ht="15.75">
      <c r="C9" s="315"/>
      <c r="D9" s="329" t="s">
        <v>87</v>
      </c>
      <c r="E9" s="332" t="s">
        <v>288</v>
      </c>
    </row>
    <row customHeight="1" ht="12">
      <c r="C10" s="315"/>
      <c r="D10" s="310" t="s">
        <v>108</v>
      </c>
      <c r="E10" s="310" t="s">
        <v>109</v>
      </c>
    </row>
    <row customHeight="1" ht="15" hidden="1">
      <c r="C11" s="315"/>
      <c r="D11" s="337">
        <v>0</v>
      </c>
      <c r="E11" s="373"/>
    </row>
    <row customHeight="1" ht="14.25">
      <c r="C12" s="315"/>
      <c r="D12" s="333"/>
      <c r="E12" s="331" t="s">
        <v>1814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72293-60E2-EB69-87FF-BB4D4202431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7562" width="1.7109375" customWidth="1"/>
    <col min="2" max="2" style="17562" width="34.57421875" customWidth="1"/>
    <col min="3" max="3" style="17562" width="85.57421875" customWidth="1"/>
    <col min="4" max="4" style="17562" width="17.7109375" customWidth="1"/>
    <col min="5" max="5" style="17562" width="9.140625"/>
  </cols>
  <sheetData>
    <row customHeight="1" ht="3"/>
    <row customHeight="1" ht="22.5">
      <c r="B2" s="2629" t="s">
        <v>1817</v>
      </c>
      <c r="C2" s="2629"/>
      <c r="D2" s="2629"/>
      <c r="E2" s="491"/>
    </row>
    <row customHeight="1" ht="3"/>
    <row customHeight="1" ht="21.75">
      <c r="B4" s="606" t="s">
        <v>1818</v>
      </c>
      <c r="C4" s="606" t="s">
        <v>1819</v>
      </c>
      <c r="D4" s="606" t="s">
        <v>1820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6098D-6AB4-809B-04BA-D3746ADA8F95}"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7562" width="26.57421875" customWidth="1"/>
    <col min="2" max="2" style="17562" width="10.00390625" customWidth="1"/>
    <col min="3" max="3" style="17562" width="9.140625"/>
    <col min="4" max="4" style="17562" width="11.140625" customWidth="1"/>
    <col min="5" max="5" style="17562" width="16.57421875" customWidth="1"/>
    <col min="6" max="6" style="17562" width="16.28125" customWidth="1"/>
    <col min="7" max="7" style="17562" width="19.140625" customWidth="1"/>
    <col min="8" max="11" style="17562" width="10.00390625" customWidth="1"/>
    <col min="12" max="12" style="17562" width="12.7109375" customWidth="1"/>
    <col min="13" max="13" style="17562" width="61.28125" customWidth="1"/>
    <col min="14" max="14" style="17562" width="10.00390625" customWidth="1"/>
    <col min="15" max="17" style="17562" width="23.7109375" customWidth="1"/>
    <col min="18" max="18" style="17562" width="11.7109375" customWidth="1"/>
    <col min="19" max="19" style="17562" width="8.57421875" customWidth="1"/>
    <col min="20" max="20" style="17562" width="11.7109375" customWidth="1"/>
    <col min="21" max="21" style="17562" width="8.57421875" customWidth="1"/>
    <col min="22" max="22" style="17562" width="4.7109375" customWidth="1"/>
    <col min="23" max="23" style="17562" width="115.7109375" customWidth="1"/>
    <col min="24" max="24" style="17562" width="115.28125" customWidth="1"/>
    <col min="25" max="27" style="17562" width="9.140625"/>
    <col min="28" max="28" style="17562" width="115.7109375" customWidth="1"/>
    <col min="29" max="29" style="17562" width="9.140625"/>
    <col min="30" max="90" style="17562" width="115.7109375" customWidth="1"/>
    <col min="91" max="184" style="17562" width="9.140625"/>
  </cols>
  <sheetData>
    <row r="2" s="17563" customFormat="1" customHeight="1" ht="17.25">
      <c r="A2" s="2043" t="s">
        <v>1821</v>
      </c>
    </row>
    <row r="4" s="17554" customFormat="1" customHeight="1" ht="15">
      <c r="C4" s="2044"/>
      <c r="D4" s="337"/>
      <c r="E4" s="600"/>
    </row>
    <row r="6" s="17563" customFormat="1" customHeight="1" ht="17.25">
      <c r="A6" s="2043" t="s">
        <v>1822</v>
      </c>
    </row>
    <row r="8" s="17554" customFormat="1" customHeight="1" ht="17.25">
      <c r="C8" s="2045"/>
      <c r="D8" s="337"/>
      <c r="E8" s="338"/>
    </row>
    <row r="11" s="17563" customFormat="1" customHeight="1" ht="17.25">
      <c r="A11" s="2043" t="s">
        <v>1823</v>
      </c>
    </row>
    <row r="13" s="17568" customFormat="1" customHeight="1" ht="15">
      <c r="A13" s="2364">
        <v>1</v>
      </c>
      <c r="B13" s="1385"/>
      <c r="C13" s="1024" t="s">
        <v>531</v>
      </c>
      <c r="D13" s="2046"/>
      <c r="E13" s="2033">
        <f>A13</f>
        <v>1</v>
      </c>
      <c r="F13" s="1027"/>
      <c r="G13" s="763" t="str">
        <f>"Территория "&amp;E13</f>
        <v>Территория 1</v>
      </c>
      <c r="H13" s="1015"/>
      <c r="I13" s="1015"/>
      <c r="J13" s="1012"/>
      <c r="K13" s="1852"/>
      <c r="L13" s="1852"/>
      <c r="M13" s="1852"/>
      <c r="N13" s="449"/>
      <c r="O13" s="1852"/>
      <c r="P13" s="448"/>
      <c r="Q13" s="448"/>
      <c r="R13" s="448"/>
      <c r="S13" s="448"/>
    </row>
    <row s="12863" customFormat="1" customHeight="1" ht="15">
      <c r="A14" s="2364"/>
      <c r="B14" s="1385">
        <v>1</v>
      </c>
      <c r="C14" s="1385"/>
      <c r="D14" s="1023"/>
      <c r="E14" s="2041" t="str">
        <f>A13&amp;"."&amp;B14</f>
        <v>1.1</v>
      </c>
      <c r="F14" s="1026">
        <f>$F$20</f>
        <v>0</v>
      </c>
      <c r="G14" s="1016"/>
      <c r="H14" s="1016"/>
      <c r="I14" s="1014"/>
      <c r="J14" s="1852"/>
      <c r="K14" s="1864"/>
      <c r="L14" s="1864"/>
      <c r="M14" s="1852" t="str">
        <f t="array" ref="M14:M14">IF(ISERROR(MATCH(MID(N14,1,250),MID(note_ter,1,250),0)),"n","y")</f>
        <v>n</v>
      </c>
      <c r="N14" s="1864"/>
      <c r="O14" s="1852" t="str">
        <f>H14&amp;"("&amp;I14&amp;")"</f>
        <v>()</v>
      </c>
      <c r="P14" s="1385"/>
      <c r="Q14" s="1385"/>
      <c r="R14" s="643"/>
      <c r="S14" s="1385"/>
      <c r="T14" s="1385"/>
      <c r="U14" s="1385"/>
      <c r="V14" s="645"/>
      <c r="W14" s="645"/>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2"/>
      <c r="AY14" s="642"/>
      <c r="AZ14" s="642"/>
      <c r="BA14" s="642"/>
      <c r="BB14" s="642"/>
      <c r="BC14" s="642"/>
      <c r="BD14" s="642"/>
      <c r="BE14" s="642"/>
      <c r="BF14" s="642"/>
      <c r="BG14" s="642"/>
      <c r="BH14" s="642"/>
      <c r="BI14" s="642"/>
      <c r="BJ14" s="642"/>
      <c r="BK14" s="642"/>
      <c r="BL14" s="642"/>
      <c r="BM14" s="642"/>
      <c r="BN14" s="642"/>
      <c r="BO14" s="642"/>
      <c r="BP14" s="642"/>
      <c r="BQ14" s="642"/>
      <c r="BR14" s="642"/>
      <c r="BS14" s="645"/>
      <c r="BT14" s="645"/>
      <c r="BU14" s="645"/>
      <c r="BV14" s="645"/>
      <c r="BW14" s="645"/>
      <c r="BX14" s="645"/>
      <c r="BY14" s="645"/>
      <c r="BZ14" s="645"/>
      <c r="CA14" s="645"/>
      <c r="CB14" s="645"/>
    </row>
    <row s="12863" customFormat="1" customHeight="1" ht="15">
      <c r="A15" s="2364"/>
      <c r="B15" s="1385"/>
      <c r="C15" s="635"/>
      <c r="D15" s="1024"/>
      <c r="E15" s="644"/>
      <c r="F15" s="401"/>
      <c r="G15" s="638" t="s">
        <v>101</v>
      </c>
      <c r="H15" s="410"/>
      <c r="I15" s="647"/>
      <c r="J15" s="1864"/>
      <c r="K15" s="1864"/>
      <c r="L15" s="1864"/>
      <c r="M15" s="1864"/>
      <c r="N15" s="1852"/>
      <c r="O15" s="1864"/>
      <c r="P15" s="1385"/>
      <c r="Q15" s="1385"/>
      <c r="R15" s="643"/>
      <c r="S15" s="1385"/>
      <c r="T15" s="1385"/>
      <c r="U15" s="1385"/>
      <c r="V15" s="645"/>
      <c r="W15" s="645"/>
      <c r="X15" s="642"/>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642"/>
      <c r="AV15" s="642"/>
      <c r="AW15" s="642"/>
      <c r="AX15" s="642"/>
      <c r="AY15" s="642"/>
      <c r="AZ15" s="642"/>
      <c r="BA15" s="642"/>
      <c r="BB15" s="642"/>
      <c r="BC15" s="642"/>
      <c r="BD15" s="642"/>
      <c r="BE15" s="642"/>
      <c r="BF15" s="642"/>
      <c r="BG15" s="642"/>
      <c r="BH15" s="642"/>
      <c r="BI15" s="642"/>
      <c r="BJ15" s="642"/>
      <c r="BK15" s="642"/>
      <c r="BL15" s="642"/>
      <c r="BM15" s="642"/>
      <c r="BN15" s="642"/>
      <c r="BO15" s="642"/>
      <c r="BP15" s="642"/>
      <c r="BQ15" s="642"/>
      <c r="BR15" s="642"/>
      <c r="BS15" s="645"/>
      <c r="BT15" s="645"/>
      <c r="BU15" s="645"/>
      <c r="BV15" s="645"/>
      <c r="BW15" s="645"/>
      <c r="BX15" s="645"/>
      <c r="BY15" s="645"/>
      <c r="BZ15" s="645"/>
      <c r="CA15" s="645"/>
      <c r="CB15" s="645"/>
    </row>
    <row r="17" s="17563" customFormat="1" customHeight="1" ht="17.25">
      <c r="A17" s="2043" t="s">
        <v>1824</v>
      </c>
    </row>
    <row r="19" s="17467" customFormat="1" customHeight="1" ht="15">
      <c r="A19" s="2111"/>
      <c r="B19" s="1594">
        <v>1</v>
      </c>
      <c r="C19" s="1594"/>
      <c r="D19" s="1023" t="s">
        <v>531</v>
      </c>
      <c r="E19" s="2107"/>
      <c r="F19" s="2112">
        <f>$F$20</f>
        <v>0</v>
      </c>
      <c r="G19" s="2116"/>
      <c r="H19" s="2116"/>
      <c r="I19" s="2114"/>
      <c r="J19" s="1852"/>
      <c r="K19" s="1864"/>
      <c r="L19" s="1864"/>
      <c r="M19" s="1852" t="str">
        <f t="array" ref="M19:M19">IF(ISERROR(MATCH(MID(N19,1,250),MID(note_ter,1,250),0)),"n","y")</f>
        <v>n</v>
      </c>
      <c r="N19" s="1864"/>
      <c r="O19" s="1852" t="str">
        <f>H19&amp;"("&amp;I19&amp;")"</f>
        <v>()</v>
      </c>
      <c r="P19" s="1594"/>
      <c r="Q19" s="1594"/>
      <c r="R19" s="643"/>
      <c r="S19" s="1594"/>
      <c r="T19" s="1594"/>
      <c r="U19" s="1594"/>
      <c r="V19" s="1056"/>
      <c r="W19" s="1056"/>
      <c r="X19" s="850"/>
      <c r="Y19" s="850"/>
      <c r="Z19" s="850"/>
      <c r="AA19" s="850"/>
      <c r="AB19" s="850"/>
      <c r="AC19" s="850"/>
      <c r="AD19" s="850"/>
      <c r="AE19" s="850"/>
      <c r="AF19" s="850"/>
      <c r="AG19" s="850"/>
      <c r="AH19" s="850"/>
      <c r="AI19" s="850"/>
      <c r="AJ19" s="850"/>
      <c r="AK19" s="850"/>
      <c r="AL19" s="850"/>
      <c r="AM19" s="850"/>
      <c r="AN19" s="850"/>
      <c r="AO19" s="850"/>
      <c r="AP19" s="850"/>
      <c r="AQ19" s="850"/>
      <c r="AR19" s="850"/>
      <c r="AS19" s="850"/>
      <c r="AT19" s="850"/>
      <c r="AU19" s="850"/>
      <c r="AV19" s="850"/>
      <c r="AW19" s="850"/>
      <c r="AX19" s="850"/>
      <c r="AY19" s="850"/>
      <c r="AZ19" s="850"/>
      <c r="BA19" s="850"/>
      <c r="BB19" s="850"/>
      <c r="BC19" s="850"/>
      <c r="BD19" s="850"/>
      <c r="BE19" s="850"/>
      <c r="BF19" s="850"/>
      <c r="BG19" s="850"/>
      <c r="BH19" s="850"/>
      <c r="BI19" s="850"/>
      <c r="BJ19" s="850"/>
      <c r="BK19" s="850"/>
      <c r="BL19" s="850"/>
      <c r="BM19" s="850"/>
      <c r="BN19" s="850"/>
      <c r="BO19" s="850"/>
      <c r="BP19" s="850"/>
      <c r="BQ19" s="850"/>
      <c r="BR19" s="850"/>
      <c r="BS19" s="1056"/>
      <c r="BT19" s="1056"/>
      <c r="BU19" s="1056"/>
      <c r="BV19" s="1056"/>
      <c r="BW19" s="1056"/>
      <c r="BX19" s="1056"/>
      <c r="BY19" s="1056"/>
      <c r="BZ19" s="1056"/>
      <c r="CA19" s="1056"/>
      <c r="CB19" s="1056"/>
    </row>
    <row r="21" s="12863" customFormat="1" customHeight="1" ht="15">
      <c r="A21" s="2043" t="s">
        <v>1825</v>
      </c>
      <c r="B21" s="2043"/>
      <c r="C21" s="2043"/>
      <c r="D21" s="2043"/>
      <c r="E21" s="2043"/>
      <c r="F21" s="2043"/>
      <c r="G21" s="2043"/>
      <c r="H21" s="2043"/>
      <c r="I21" s="2043"/>
      <c r="J21" s="2043"/>
      <c r="K21" s="2043"/>
      <c r="L21" s="2043"/>
      <c r="M21" s="2043"/>
      <c r="N21" s="2043"/>
      <c r="O21" s="2043"/>
      <c r="P21" s="2043"/>
      <c r="Q21" s="2043"/>
      <c r="R21" s="2043"/>
      <c r="S21" s="2043"/>
      <c r="T21" s="2043"/>
      <c r="U21" s="407"/>
      <c r="V21" s="2043"/>
      <c r="W21" s="2043"/>
    </row>
    <row s="12863" customFormat="1" customHeight="1" ht="15">
      <c r="U22" s="408"/>
    </row>
    <row s="17580" customFormat="1" customHeight="1" ht="15">
      <c r="A23" s="646"/>
      <c r="B23" s="646"/>
      <c r="C23" s="1956" t="s">
        <v>531</v>
      </c>
      <c r="D23" s="2265" t="s">
        <v>108</v>
      </c>
      <c r="E23" s="2266"/>
      <c r="F23" s="2264" t="s">
        <v>56</v>
      </c>
      <c r="G23" s="2677"/>
      <c r="H23" s="2254">
        <v>1</v>
      </c>
      <c r="I23" s="2679" t="str">
        <f>IF(U23="","",INDEX(TERRITORY_MR_LIST,MATCH(U23,TERRITORY_LIST_ID,0)))</f>
        <v/>
      </c>
      <c r="J23" s="2264" t="s">
        <v>56</v>
      </c>
      <c r="K23" s="1055"/>
      <c r="L23" s="2010" t="s">
        <v>108</v>
      </c>
      <c r="M23" s="826"/>
      <c r="N23" s="827"/>
      <c r="O23" s="827"/>
      <c r="P23" s="827"/>
      <c r="Q23" s="827"/>
      <c r="R23" s="827"/>
      <c r="S23" s="827"/>
      <c r="T23" s="827"/>
      <c r="U23" s="828"/>
      <c r="V23" s="827"/>
      <c r="W23" s="827"/>
      <c r="X23" s="818"/>
      <c r="Y23" s="818" t="s">
        <v>117</v>
      </c>
      <c r="Z23" s="818">
        <v>1705000</v>
      </c>
      <c r="AA23" s="818"/>
      <c r="AB23" s="818"/>
      <c r="AC23" s="818"/>
      <c r="AD23" s="818"/>
      <c r="AE23" s="818"/>
      <c r="AF23" s="818"/>
      <c r="AG23" s="818"/>
      <c r="AH23" s="818"/>
      <c r="AI23" s="818"/>
      <c r="AJ23" s="818"/>
      <c r="AK23" s="818"/>
      <c r="AL23" s="818"/>
    </row>
    <row s="17580" customFormat="1" customHeight="1" ht="15">
      <c r="A24" s="646"/>
      <c r="B24" s="646"/>
      <c r="C24" s="400"/>
      <c r="D24" s="2265"/>
      <c r="E24" s="2267"/>
      <c r="F24" s="2264"/>
      <c r="G24" s="2678"/>
      <c r="H24" s="2254"/>
      <c r="I24" s="2680"/>
      <c r="J24" s="2264"/>
      <c r="K24" s="644"/>
      <c r="L24" s="401"/>
      <c r="M24" s="830" t="s">
        <v>118</v>
      </c>
      <c r="N24" s="827"/>
      <c r="O24" s="827"/>
      <c r="P24" s="827"/>
      <c r="Q24" s="827"/>
      <c r="R24" s="827"/>
      <c r="S24" s="827"/>
      <c r="T24" s="827"/>
      <c r="U24" s="828"/>
      <c r="V24" s="827"/>
      <c r="W24" s="827"/>
      <c r="X24" s="818"/>
      <c r="Y24" s="818"/>
      <c r="Z24" s="818"/>
      <c r="AA24" s="818"/>
      <c r="AB24" s="818"/>
      <c r="AC24" s="818"/>
      <c r="AD24" s="818"/>
      <c r="AE24" s="818"/>
      <c r="AF24" s="818"/>
      <c r="AG24" s="818"/>
      <c r="AH24" s="818"/>
      <c r="AI24" s="818"/>
      <c r="AJ24" s="818"/>
      <c r="AK24" s="818"/>
      <c r="AL24" s="818"/>
    </row>
    <row s="17580" customFormat="1" customHeight="1" ht="15">
      <c r="A25" s="646"/>
      <c r="B25" s="646"/>
      <c r="C25" s="400"/>
      <c r="D25" s="2265"/>
      <c r="E25" s="2268"/>
      <c r="F25" s="2264"/>
      <c r="G25" s="644"/>
      <c r="H25" s="401"/>
      <c r="I25" s="803" t="s">
        <v>119</v>
      </c>
      <c r="J25" s="401"/>
      <c r="K25" s="401"/>
      <c r="L25" s="401"/>
      <c r="M25" s="831"/>
      <c r="N25" s="827"/>
      <c r="O25" s="827"/>
      <c r="P25" s="827"/>
      <c r="Q25" s="827"/>
      <c r="R25" s="827"/>
      <c r="S25" s="827"/>
      <c r="T25" s="827"/>
      <c r="U25" s="828"/>
      <c r="V25" s="827"/>
      <c r="W25" s="827"/>
      <c r="X25" s="818"/>
      <c r="Y25" s="818"/>
      <c r="Z25" s="818"/>
      <c r="AA25" s="818"/>
      <c r="AB25" s="818"/>
      <c r="AC25" s="818"/>
      <c r="AD25" s="818"/>
      <c r="AE25" s="818"/>
      <c r="AF25" s="818"/>
      <c r="AG25" s="818"/>
      <c r="AH25" s="818"/>
      <c r="AI25" s="818"/>
      <c r="AJ25" s="818"/>
      <c r="AK25" s="818"/>
      <c r="AL25" s="818"/>
    </row>
    <row s="12863" customFormat="1" customHeight="1" ht="15">
      <c r="U26" s="408"/>
    </row>
    <row s="12863" customFormat="1" customHeight="1" ht="15">
      <c r="A27" s="2043" t="s">
        <v>1826</v>
      </c>
      <c r="B27" s="2043"/>
      <c r="C27" s="2043"/>
      <c r="D27" s="2043"/>
      <c r="E27" s="2043"/>
      <c r="F27" s="2043"/>
      <c r="G27" s="2043"/>
      <c r="H27" s="2043"/>
      <c r="I27" s="2043"/>
      <c r="J27" s="2043"/>
      <c r="K27" s="2043"/>
      <c r="L27" s="2043"/>
      <c r="M27" s="2043"/>
      <c r="N27" s="2043"/>
      <c r="O27" s="2043"/>
      <c r="P27" s="2043"/>
      <c r="Q27" s="2043"/>
      <c r="R27" s="2043"/>
      <c r="S27" s="2043"/>
      <c r="T27" s="2043"/>
      <c r="U27" s="407"/>
      <c r="V27" s="2043"/>
      <c r="W27" s="2043"/>
    </row>
    <row s="12863" customFormat="1" customHeight="1" ht="15">
      <c r="U28" s="408"/>
    </row>
    <row s="17580" customFormat="1" customHeight="1" ht="15">
      <c r="A29" s="646"/>
      <c r="B29" s="646"/>
      <c r="C29" s="400"/>
      <c r="D29" s="2049"/>
      <c r="E29" s="2049"/>
      <c r="F29" s="2049"/>
      <c r="G29" s="2681" t="s">
        <v>531</v>
      </c>
      <c r="H29" s="2240">
        <v>1</v>
      </c>
      <c r="I29" s="2682" t="str">
        <f>IF(U29="","",INDEX(TERRITORY_MR_LIST,MATCH(U29,TERRITORY_LIST_ID,0)))</f>
        <v/>
      </c>
      <c r="J29" s="2264" t="s">
        <v>56</v>
      </c>
      <c r="K29" s="1055"/>
      <c r="L29" s="2010" t="s">
        <v>108</v>
      </c>
      <c r="M29" s="826"/>
      <c r="N29" s="827"/>
      <c r="O29" s="827"/>
      <c r="P29" s="827"/>
      <c r="Q29" s="827"/>
      <c r="R29" s="827"/>
      <c r="S29" s="827"/>
      <c r="T29" s="827"/>
      <c r="U29" s="828"/>
      <c r="V29" s="827"/>
      <c r="W29" s="827"/>
      <c r="X29" s="818"/>
      <c r="Y29" s="818" t="s">
        <v>117</v>
      </c>
      <c r="Z29" s="818">
        <v>1705000</v>
      </c>
      <c r="AA29" s="818"/>
      <c r="AB29" s="818"/>
      <c r="AC29" s="818"/>
      <c r="AD29" s="818"/>
      <c r="AE29" s="818"/>
      <c r="AF29" s="818"/>
      <c r="AG29" s="818"/>
      <c r="AH29" s="818"/>
      <c r="AI29" s="818"/>
      <c r="AJ29" s="818"/>
      <c r="AK29" s="818"/>
      <c r="AL29" s="818"/>
    </row>
    <row s="17580" customFormat="1" customHeight="1" ht="15">
      <c r="A30" s="646"/>
      <c r="B30" s="646"/>
      <c r="C30" s="400"/>
      <c r="D30" s="2049"/>
      <c r="E30" s="2049"/>
      <c r="F30" s="2049"/>
      <c r="G30" s="2681"/>
      <c r="H30" s="2240"/>
      <c r="I30" s="2682"/>
      <c r="J30" s="2264"/>
      <c r="K30" s="644"/>
      <c r="L30" s="401"/>
      <c r="M30" s="830" t="s">
        <v>118</v>
      </c>
      <c r="N30" s="827"/>
      <c r="O30" s="827"/>
      <c r="P30" s="827"/>
      <c r="Q30" s="827"/>
      <c r="R30" s="827"/>
      <c r="S30" s="827"/>
      <c r="T30" s="827"/>
      <c r="U30" s="828"/>
      <c r="V30" s="827"/>
      <c r="W30" s="827"/>
      <c r="X30" s="818"/>
      <c r="Y30" s="818"/>
      <c r="Z30" s="818"/>
      <c r="AA30" s="818"/>
      <c r="AB30" s="818"/>
      <c r="AC30" s="818"/>
      <c r="AD30" s="818"/>
      <c r="AE30" s="818"/>
      <c r="AF30" s="818"/>
      <c r="AG30" s="818"/>
      <c r="AH30" s="818"/>
      <c r="AI30" s="818"/>
      <c r="AJ30" s="818"/>
      <c r="AK30" s="818"/>
      <c r="AL30" s="818"/>
    </row>
    <row s="12863" customFormat="1" customHeight="1" ht="15">
      <c r="U31" s="408"/>
    </row>
    <row s="12863" customFormat="1" customHeight="1" ht="15">
      <c r="A32" s="2043" t="s">
        <v>1827</v>
      </c>
      <c r="B32" s="2043"/>
      <c r="C32" s="2043"/>
      <c r="D32" s="2043"/>
      <c r="E32" s="2043"/>
      <c r="F32" s="2043"/>
      <c r="G32" s="2043"/>
      <c r="H32" s="2043"/>
      <c r="I32" s="2043"/>
      <c r="J32" s="2043"/>
      <c r="K32" s="2043"/>
      <c r="L32" s="2043"/>
      <c r="M32" s="2043"/>
      <c r="N32" s="2043"/>
      <c r="O32" s="2043"/>
      <c r="P32" s="2043"/>
      <c r="Q32" s="2043"/>
      <c r="R32" s="2043"/>
      <c r="S32" s="2043"/>
      <c r="T32" s="2043"/>
      <c r="U32" s="407"/>
      <c r="V32" s="2043"/>
      <c r="W32" s="2043"/>
    </row>
    <row s="12863" customFormat="1" customHeight="1" ht="15">
      <c r="U33" s="408"/>
    </row>
    <row s="17580" customFormat="1" customHeight="1" ht="15">
      <c r="A34" s="646"/>
      <c r="B34" s="646"/>
      <c r="C34" s="400"/>
      <c r="D34" s="2049"/>
      <c r="E34" s="2049"/>
      <c r="F34" s="2049"/>
      <c r="G34" s="2049"/>
      <c r="H34" s="2049"/>
      <c r="I34" s="2049"/>
      <c r="J34" s="2049"/>
      <c r="K34" s="2027" t="s">
        <v>531</v>
      </c>
      <c r="L34" s="1957" t="s">
        <v>108</v>
      </c>
      <c r="M34" s="1034"/>
      <c r="N34" s="1035"/>
      <c r="O34" s="827"/>
      <c r="P34" s="827"/>
      <c r="Q34" s="827"/>
      <c r="R34" s="827"/>
      <c r="S34" s="827"/>
      <c r="T34" s="827"/>
      <c r="U34" s="828"/>
      <c r="V34" s="827"/>
      <c r="W34" s="827"/>
      <c r="X34" s="818"/>
      <c r="Y34" s="818" t="s">
        <v>117</v>
      </c>
      <c r="Z34" s="818">
        <v>1705000</v>
      </c>
      <c r="AA34" s="818"/>
      <c r="AB34" s="818"/>
      <c r="AC34" s="818"/>
      <c r="AD34" s="818"/>
      <c r="AE34" s="818"/>
      <c r="AF34" s="818"/>
      <c r="AG34" s="818"/>
      <c r="AH34" s="818"/>
      <c r="AI34" s="818"/>
      <c r="AJ34" s="818"/>
      <c r="AK34" s="818"/>
      <c r="AL34" s="818"/>
    </row>
    <row s="12863" customFormat="1" customHeight="1" ht="15">
      <c r="U35" s="408"/>
    </row>
    <row s="12863" customFormat="1" customHeight="1" ht="15">
      <c r="U36" s="408"/>
    </row>
    <row s="17563" customFormat="1" customHeight="1" ht="11.25">
      <c r="A37" s="2043" t="s">
        <v>1828</v>
      </c>
    </row>
    <row customHeight="1" ht="11.25"/>
    <row s="13320" customFormat="1" customHeight="1" ht="22.5">
      <c r="A39" s="2019"/>
      <c r="B39" s="680"/>
      <c r="C39" s="1082"/>
      <c r="D39" s="663"/>
      <c r="E39" s="1083"/>
      <c r="F39" s="2040"/>
      <c r="G39" s="2050"/>
      <c r="H39" s="698"/>
    </row>
    <row customHeight="1" ht="11.25"/>
    <row s="17563" customFormat="1" customHeight="1" ht="11.25">
      <c r="A41" s="2043" t="s">
        <v>1829</v>
      </c>
    </row>
    <row customHeight="1" ht="11.25"/>
    <row s="13320" customFormat="1" customHeight="1" ht="22.5">
      <c r="A43" s="680"/>
      <c r="B43" s="680"/>
      <c r="C43" s="680"/>
      <c r="D43" s="663"/>
      <c r="E43" s="1083"/>
      <c r="F43" s="1084"/>
      <c r="G43" s="2050"/>
      <c r="H43" s="698"/>
    </row>
    <row customHeight="1" ht="11.25"/>
    <row s="17563" customFormat="1" customHeight="1" ht="11.25">
      <c r="A45" s="2043" t="s">
        <v>1830</v>
      </c>
    </row>
    <row customHeight="1" ht="11.25"/>
    <row s="13320" customFormat="1" customHeight="1" ht="24">
      <c r="A47" s="2337" t="s">
        <v>314</v>
      </c>
      <c r="B47" s="725"/>
      <c r="C47" s="2348"/>
      <c r="D47" s="668" t="str">
        <f>A47</f>
        <v>5.1</v>
      </c>
      <c r="E47" s="665" t="s">
        <v>315</v>
      </c>
      <c r="F47" s="2206" t="s">
        <v>307</v>
      </c>
      <c r="G47" s="667" t="s">
        <v>316</v>
      </c>
      <c r="H47" s="698"/>
      <c r="I47" s="1075"/>
    </row>
    <row s="13320" customFormat="1" customHeight="1" ht="22.5">
      <c r="A48" s="2337"/>
      <c r="B48" s="725"/>
      <c r="C48" s="2348"/>
      <c r="D48" s="663" t="str">
        <f>D47&amp;".1"</f>
        <v>5.1.1</v>
      </c>
      <c r="E48" s="662" t="s">
        <v>317</v>
      </c>
      <c r="F48" s="2207" t="s">
        <v>24</v>
      </c>
      <c r="G48" s="697"/>
      <c r="H48" s="698"/>
      <c r="I48" s="1075"/>
    </row>
    <row s="13320" customFormat="1" customHeight="1" ht="22.5">
      <c r="A49" s="2337"/>
      <c r="B49" s="725"/>
      <c r="C49" s="2348"/>
      <c r="D49" s="663" t="str">
        <f>D47&amp;".2"</f>
        <v>5.1.2</v>
      </c>
      <c r="E49" s="662" t="s">
        <v>318</v>
      </c>
      <c r="F49" s="1960" t="s">
        <v>24</v>
      </c>
      <c r="G49" s="667" t="s">
        <v>319</v>
      </c>
      <c r="H49" s="698"/>
      <c r="I49" s="1075"/>
    </row>
    <row s="13320" customFormat="1" customHeight="1" ht="22.5">
      <c r="A50" s="2337"/>
      <c r="B50" s="725"/>
      <c r="C50" s="2348"/>
      <c r="D50" s="663" t="str">
        <f>D47&amp;".3"</f>
        <v>5.1.3</v>
      </c>
      <c r="E50" s="662" t="s">
        <v>320</v>
      </c>
      <c r="F50" s="2207" t="s">
        <v>24</v>
      </c>
      <c r="G50" s="697"/>
      <c r="H50" s="698"/>
      <c r="I50" s="1075"/>
    </row>
    <row s="13320" customFormat="1" customHeight="1" ht="22.5">
      <c r="A51" s="2337"/>
      <c r="B51" s="725"/>
      <c r="C51" s="2348"/>
      <c r="D51" s="663" t="str">
        <f>D47&amp;".4"</f>
        <v>5.1.4</v>
      </c>
      <c r="E51" s="662" t="s">
        <v>321</v>
      </c>
      <c r="F51" s="2207" t="s">
        <v>24</v>
      </c>
      <c r="G51" s="667" t="s">
        <v>322</v>
      </c>
      <c r="H51" s="698"/>
      <c r="I51" s="1075"/>
    </row>
    <row r="54" s="17563" customFormat="1" customHeight="1" ht="17.25">
      <c r="A54" s="2043" t="s">
        <v>1831</v>
      </c>
    </row>
    <row r="56" s="13408" customFormat="1" customHeight="1" ht="18.75">
      <c r="A56" s="312"/>
      <c r="B56" s="2051"/>
      <c r="C56" s="2051"/>
      <c r="D56" s="2052"/>
      <c r="E56" s="2037"/>
      <c r="F56" s="1091">
        <v>13</v>
      </c>
      <c r="G56" s="1090"/>
      <c r="H56" s="1016"/>
      <c r="I56" s="1014"/>
      <c r="J56" s="743" t="s">
        <v>66</v>
      </c>
      <c r="K56" s="2053" t="s">
        <v>24</v>
      </c>
      <c r="L56" s="312"/>
      <c r="M56" s="1864"/>
      <c r="N56" s="1864"/>
      <c r="O56" s="1864"/>
      <c r="P56" s="739" t="s">
        <v>393</v>
      </c>
      <c r="Q56" s="739" t="s">
        <v>394</v>
      </c>
      <c r="R56" s="740" t="s">
        <v>395</v>
      </c>
      <c r="S56" s="1864" t="s">
        <v>396</v>
      </c>
      <c r="T56" s="1864"/>
      <c r="U56" s="1864"/>
      <c r="V56" s="1864"/>
    </row>
    <row r="58" s="17563" customFormat="1" customHeight="1" ht="11.25">
      <c r="A58" s="2043" t="s">
        <v>1832</v>
      </c>
    </row>
    <row r="60" s="13661" customFormat="1" customHeight="1" ht="14.25">
      <c r="C60" s="1916"/>
      <c r="D60" s="2098"/>
      <c r="E60" s="2005" t="s">
        <v>24</v>
      </c>
      <c r="F60" s="2097"/>
      <c r="G60" s="1079"/>
      <c r="H60" s="2006"/>
      <c r="I60" s="2006"/>
      <c r="J60" s="656"/>
      <c r="K60" s="2092"/>
      <c r="L60" s="655"/>
      <c r="M60" s="2092"/>
      <c r="N60" s="656"/>
      <c r="O60" s="2092"/>
      <c r="P60" s="656"/>
      <c r="Q60" s="2092"/>
      <c r="R60" s="656"/>
      <c r="S60" s="1077"/>
      <c r="T60" s="2006"/>
      <c r="U60" s="656"/>
      <c r="V60" s="656"/>
      <c r="W60" s="2096"/>
      <c r="X60" s="2006"/>
      <c r="Y60" s="656"/>
      <c r="Z60" s="656"/>
      <c r="AA60" s="2096"/>
      <c r="AB60" s="2006"/>
      <c r="AC60" s="656"/>
      <c r="AD60" s="2096"/>
      <c r="AE60" s="312"/>
      <c r="AF60" s="312"/>
      <c r="AG60" s="312"/>
      <c r="AH60" s="312"/>
      <c r="AJ60" s="1864"/>
      <c r="AK60" s="1864"/>
      <c r="AL60" s="1864"/>
      <c r="AM60" s="1864"/>
      <c r="AN60" s="1864"/>
      <c r="AO60" s="1864"/>
      <c r="AP60" s="1852" t="s">
        <v>382</v>
      </c>
      <c r="AQ60" s="1852" t="s">
        <v>382</v>
      </c>
      <c r="AR60" s="1864"/>
      <c r="AS60" s="1864"/>
    </row>
    <row r="62" s="17563" customFormat="1" customHeight="1" ht="11.25">
      <c r="A62" s="2043" t="s">
        <v>1833</v>
      </c>
    </row>
    <row r="64" s="17611" customFormat="1" customHeight="1" ht="15">
      <c r="A64" s="369" t="s">
        <v>89</v>
      </c>
      <c r="B64" s="349" t="s">
        <v>24</v>
      </c>
      <c r="C64" s="2054"/>
      <c r="D64" s="352"/>
      <c r="E64" s="604"/>
      <c r="F64" s="604"/>
      <c r="G64" s="2031"/>
      <c r="H64" s="2053"/>
      <c r="I64" s="2032"/>
      <c r="K64" s="495"/>
      <c r="L64" s="496"/>
    </row>
    <row r="66" s="17563" customFormat="1" customHeight="1" ht="11.25">
      <c r="A66" s="2043" t="s">
        <v>1834</v>
      </c>
    </row>
    <row r="68" s="13661" customFormat="1" customHeight="1" ht="14.25">
      <c r="A68" s="566"/>
      <c r="B68" s="1385"/>
      <c r="C68" s="599"/>
      <c r="D68" s="2038"/>
      <c r="E68" s="1109"/>
      <c r="F68" s="2053"/>
      <c r="G68" s="312"/>
      <c r="I68" s="1852"/>
      <c r="J68" s="1852"/>
    </row>
    <row r="70" s="17563" customFormat="1" customHeight="1" ht="11.25">
      <c r="A70" s="2043" t="s">
        <v>1835</v>
      </c>
    </row>
    <row r="72" s="13661" customFormat="1" customHeight="1" ht="27">
      <c r="A72" s="1391"/>
      <c r="B72" s="1391"/>
      <c r="C72" s="1391"/>
      <c r="D72" s="1385"/>
      <c r="E72" s="2055"/>
      <c r="F72" s="2630"/>
      <c r="G72" s="2631"/>
      <c r="H72" s="2632" t="s">
        <v>66</v>
      </c>
      <c r="I72" s="2634"/>
      <c r="J72" s="2636"/>
      <c r="K72" s="2638"/>
      <c r="L72" s="2648"/>
      <c r="M72" s="2648"/>
      <c r="N72" s="2689"/>
      <c r="O72" s="2689"/>
      <c r="P72" s="2690">
        <f>DATEDIF(DATEVALUE(N72),DATEVALUE(O72),"y")&amp;"г. "&amp;DATEDIF(DATEVALUE(N72),DATEVALUE(O72),"ym")&amp;"мес. "&amp;DATEVALUE(O72)-DATE(YEAR(DATEVALUE(O72)),MONTH(DATEVALUE(O72)),1)&amp;"дн. "</f>
      </c>
      <c r="Q72" s="2650"/>
      <c r="R72" s="2650"/>
      <c r="S72" s="2650"/>
      <c r="T72" s="2636"/>
      <c r="U72" s="2650"/>
      <c r="V72" s="2650"/>
      <c r="W72" s="2650"/>
      <c r="X72" s="2636"/>
      <c r="Y72" s="2687" t="s">
        <v>66</v>
      </c>
      <c r="Z72" s="2036"/>
      <c r="AA72" s="2020">
        <v>1</v>
      </c>
      <c r="AB72" s="1469"/>
      <c r="AD72" s="1864" t="s">
        <v>1836</v>
      </c>
    </row>
    <row s="13661" customFormat="1" customHeight="1" ht="10.5">
      <c r="A73" s="1391"/>
      <c r="B73" s="1391"/>
      <c r="C73" s="1391"/>
      <c r="D73" s="1385"/>
      <c r="E73" s="1171"/>
      <c r="F73" s="2630"/>
      <c r="G73" s="2631"/>
      <c r="H73" s="2633"/>
      <c r="I73" s="2635"/>
      <c r="J73" s="2637"/>
      <c r="K73" s="2638"/>
      <c r="L73" s="2648"/>
      <c r="M73" s="2648"/>
      <c r="N73" s="2689"/>
      <c r="O73" s="2689"/>
      <c r="P73" s="2690"/>
      <c r="Q73" s="2650"/>
      <c r="R73" s="2650"/>
      <c r="S73" s="2650"/>
      <c r="T73" s="2637"/>
      <c r="U73" s="2650"/>
      <c r="V73" s="2650"/>
      <c r="W73" s="2650"/>
      <c r="X73" s="2637"/>
      <c r="Y73" s="2688"/>
      <c r="Z73" s="570"/>
      <c r="AA73" s="795"/>
      <c r="AB73" s="875" t="s">
        <v>1837</v>
      </c>
    </row>
    <row r="75" s="17563" customFormat="1" customHeight="1" ht="11.25">
      <c r="A75" s="2043" t="s">
        <v>1838</v>
      </c>
    </row>
    <row r="77" s="13661" customFormat="1" customHeight="1" ht="27">
      <c r="A77" s="1391"/>
      <c r="B77" s="1391"/>
      <c r="C77" s="1391"/>
      <c r="D77" s="1385"/>
      <c r="E77" s="2055"/>
      <c r="F77" s="2025"/>
      <c r="G77" s="1975"/>
      <c r="H77" s="1976"/>
      <c r="I77" s="1977"/>
      <c r="J77" s="1978"/>
      <c r="K77" s="1979"/>
      <c r="L77" s="1980"/>
      <c r="M77" s="1980"/>
      <c r="N77" s="1981"/>
      <c r="O77" s="1981"/>
      <c r="P77" s="1982"/>
      <c r="Q77" s="1983"/>
      <c r="R77" s="1983"/>
      <c r="S77" s="1983"/>
      <c r="T77" s="1978"/>
      <c r="U77" s="1983"/>
      <c r="V77" s="1983"/>
      <c r="W77" s="1983"/>
      <c r="X77" s="1978"/>
      <c r="Y77" s="1976"/>
      <c r="Z77" s="2036"/>
      <c r="AA77" s="2020">
        <v>1</v>
      </c>
      <c r="AB77" s="1469"/>
      <c r="AD77" s="1864" t="s">
        <v>1836</v>
      </c>
    </row>
    <row r="79" s="17563" customFormat="1" customHeight="1" ht="11.25">
      <c r="A79" s="2043" t="s">
        <v>1839</v>
      </c>
    </row>
    <row customHeight="1" ht="17.25"/>
    <row s="13661" customFormat="1" customHeight="1" ht="21">
      <c r="A81" s="1392"/>
      <c r="B81" s="1391"/>
      <c r="C81" s="1391"/>
      <c r="D81" s="1385"/>
      <c r="E81" s="1395"/>
      <c r="F81" s="1347">
        <f>INDEX(IP_MAIN_LIST_NAME_IP,MATCH(A81,IP_MAIN_LIST_IP_ID,0))&amp;" ("&amp;INDEX(IP_MAIN_START_DATE,MATCH(A81,IP_MAIN_LIST_IP_ID,0))&amp;"-"&amp;INDEX(IP_MAIN_END_DATE,MATCH(A81,IP_MAIN_LIST_IP_ID,0))&amp;")"</f>
      </c>
      <c r="G81" s="1348"/>
      <c r="H81" s="1348"/>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1396"/>
      <c r="AM81" s="2051"/>
      <c r="AN81" s="2051"/>
      <c r="AO81" s="2051"/>
      <c r="AP81" s="2051"/>
      <c r="AQ81" s="2051"/>
      <c r="AR81" s="2051"/>
      <c r="AS81" s="2051"/>
      <c r="AT81" s="2051"/>
      <c r="AU81" s="2051"/>
      <c r="AV81" s="2051"/>
      <c r="AW81" s="2051"/>
      <c r="AX81" s="2051"/>
      <c r="AY81" s="2051"/>
      <c r="AZ81" s="2051"/>
      <c r="BA81" s="2051"/>
      <c r="BB81" s="2051"/>
      <c r="BC81" s="2051"/>
      <c r="BD81" s="2051"/>
      <c r="BE81" s="2051"/>
      <c r="BF81" s="2051"/>
    </row>
    <row s="13661" customFormat="1" customHeight="1" ht="11.25">
      <c r="A82" s="1391"/>
      <c r="B82" s="1391"/>
      <c r="C82" s="1391"/>
      <c r="D82" s="1385"/>
      <c r="E82" s="1395"/>
      <c r="F82" s="2693"/>
      <c r="G82" s="2649"/>
      <c r="H82" s="2649" t="s">
        <v>108</v>
      </c>
      <c r="I82" s="2696"/>
      <c r="J82" s="2622"/>
      <c r="K82" s="2697"/>
      <c r="L82" s="2691" t="s">
        <v>56</v>
      </c>
      <c r="M82" s="2265"/>
      <c r="N82" s="1404"/>
      <c r="O82" s="1403" t="s">
        <v>377</v>
      </c>
      <c r="P82" s="1404"/>
      <c r="Q82" s="1404"/>
      <c r="R82" s="1404"/>
      <c r="S82" s="1404"/>
      <c r="T82" s="1404"/>
      <c r="U82" s="1404"/>
      <c r="V82" s="1404"/>
      <c r="W82" s="1404"/>
      <c r="X82" s="1404"/>
      <c r="Y82" s="1404"/>
      <c r="Z82" s="1404"/>
      <c r="AA82" s="1404"/>
      <c r="AB82" s="1404"/>
      <c r="AC82" s="1404"/>
      <c r="AD82" s="1404"/>
      <c r="AE82" s="1404"/>
      <c r="AF82" s="2695"/>
      <c r="AG82" s="2691"/>
      <c r="AH82" s="2691"/>
      <c r="AI82" s="2695"/>
      <c r="AJ82" s="2691"/>
      <c r="AK82" s="2691"/>
      <c r="AL82" s="1398"/>
      <c r="AM82" s="2051"/>
      <c r="AN82" s="2051"/>
      <c r="AO82" s="2051"/>
      <c r="AP82" s="2051"/>
      <c r="AQ82" s="2051"/>
      <c r="AR82" s="2051"/>
      <c r="AS82" s="2051"/>
      <c r="AT82" s="2051"/>
      <c r="AU82" s="2051"/>
      <c r="AV82" s="2051"/>
      <c r="AW82" s="2051"/>
      <c r="AX82" s="2051"/>
      <c r="AY82" s="2051"/>
      <c r="AZ82" s="2051"/>
      <c r="BA82" s="2051"/>
      <c r="BB82" s="2051"/>
      <c r="BC82" s="2051"/>
      <c r="BD82" s="2051"/>
      <c r="BE82" s="2051"/>
      <c r="BF82" s="2051"/>
    </row>
    <row s="13661" customFormat="1" customHeight="1" ht="11.25">
      <c r="A83" s="1391"/>
      <c r="B83" s="1391"/>
      <c r="C83" s="1391"/>
      <c r="D83" s="1385"/>
      <c r="E83" s="1395"/>
      <c r="F83" s="2693"/>
      <c r="G83" s="2649"/>
      <c r="H83" s="2649"/>
      <c r="I83" s="2696"/>
      <c r="J83" s="2622"/>
      <c r="K83" s="2697"/>
      <c r="L83" s="2691"/>
      <c r="M83" s="2265"/>
      <c r="N83" s="2698"/>
      <c r="O83" s="2644">
        <v>1</v>
      </c>
      <c r="P83" s="2639" t="s">
        <v>56</v>
      </c>
      <c r="Q83" s="2642" t="s">
        <v>24</v>
      </c>
      <c r="R83" s="2642" t="s">
        <v>24</v>
      </c>
      <c r="S83" s="2642" t="s">
        <v>24</v>
      </c>
      <c r="T83" s="2642" t="s">
        <v>24</v>
      </c>
      <c r="U83" s="2642" t="s">
        <v>24</v>
      </c>
      <c r="V83" s="2642" t="s">
        <v>24</v>
      </c>
      <c r="W83" s="2642" t="s">
        <v>24</v>
      </c>
      <c r="X83" s="2642" t="s">
        <v>24</v>
      </c>
      <c r="Y83" s="2642"/>
      <c r="Z83" s="1401"/>
      <c r="AA83" s="1402"/>
      <c r="AB83" s="1402"/>
      <c r="AC83" s="1406"/>
      <c r="AD83" s="1406"/>
      <c r="AE83" s="1407"/>
      <c r="AF83" s="2695"/>
      <c r="AG83" s="2691"/>
      <c r="AH83" s="2691"/>
      <c r="AI83" s="2695"/>
      <c r="AJ83" s="2691"/>
      <c r="AK83" s="2691"/>
      <c r="AL83" s="1398"/>
      <c r="AM83" s="2051"/>
      <c r="AN83" s="2051"/>
      <c r="AO83" s="2051"/>
      <c r="AP83" s="2051"/>
      <c r="AQ83" s="2051"/>
      <c r="AR83" s="2051"/>
      <c r="AS83" s="2051"/>
      <c r="AT83" s="2051"/>
      <c r="AU83" s="2051"/>
      <c r="AV83" s="2051"/>
      <c r="AW83" s="2051"/>
      <c r="AX83" s="2051"/>
      <c r="AY83" s="2051"/>
      <c r="AZ83" s="2051"/>
      <c r="BA83" s="2051"/>
      <c r="BB83" s="2051"/>
      <c r="BC83" s="2051"/>
      <c r="BD83" s="2051"/>
      <c r="BE83" s="2051"/>
      <c r="BF83" s="2051"/>
    </row>
    <row s="13661" customFormat="1" customHeight="1" ht="11.25">
      <c r="A84" s="1391"/>
      <c r="B84" s="1391"/>
      <c r="C84" s="1391"/>
      <c r="D84" s="1385"/>
      <c r="E84" s="1395"/>
      <c r="F84" s="2693"/>
      <c r="G84" s="2649"/>
      <c r="H84" s="2649"/>
      <c r="I84" s="2696"/>
      <c r="J84" s="2622"/>
      <c r="K84" s="2697"/>
      <c r="L84" s="2691"/>
      <c r="M84" s="2265"/>
      <c r="N84" s="2698"/>
      <c r="O84" s="2644"/>
      <c r="P84" s="2640"/>
      <c r="Q84" s="2642"/>
      <c r="R84" s="2642"/>
      <c r="S84" s="2645"/>
      <c r="T84" s="2642"/>
      <c r="U84" s="2642"/>
      <c r="V84" s="2642"/>
      <c r="W84" s="2642"/>
      <c r="X84" s="2642"/>
      <c r="Y84" s="2642"/>
      <c r="Z84" s="2056"/>
      <c r="AA84" s="2022">
        <v>1</v>
      </c>
      <c r="AB84" s="1405"/>
      <c r="AC84" s="1394"/>
      <c r="AD84" s="1405">
        <f>AB84</f>
        <v>0</v>
      </c>
      <c r="AE84" s="1394"/>
      <c r="AF84" s="2695"/>
      <c r="AG84" s="2691"/>
      <c r="AH84" s="2691"/>
      <c r="AI84" s="2695"/>
      <c r="AJ84" s="2691"/>
      <c r="AK84" s="2691"/>
      <c r="AL84" s="1398"/>
      <c r="AM84" s="2051"/>
      <c r="AN84" s="2051"/>
      <c r="AO84" s="2051"/>
      <c r="AP84" s="2051"/>
      <c r="AQ84" s="2051"/>
      <c r="AR84" s="2051"/>
      <c r="AS84" s="2051"/>
      <c r="AT84" s="2051"/>
      <c r="AU84" s="2051"/>
      <c r="AV84" s="2051"/>
      <c r="AW84" s="2051"/>
      <c r="AX84" s="2051"/>
      <c r="AY84" s="2051"/>
      <c r="AZ84" s="2051"/>
      <c r="BA84" s="2051"/>
      <c r="BB84" s="2051"/>
      <c r="BC84" s="2051"/>
      <c r="BD84" s="2051"/>
      <c r="BE84" s="2051"/>
      <c r="BF84" s="2051"/>
    </row>
    <row s="13661" customFormat="1" customHeight="1" ht="11.25">
      <c r="A85" s="1391"/>
      <c r="B85" s="1391"/>
      <c r="C85" s="1391"/>
      <c r="D85" s="1385"/>
      <c r="E85" s="1395"/>
      <c r="F85" s="2693"/>
      <c r="G85" s="2649"/>
      <c r="H85" s="2649"/>
      <c r="I85" s="2696"/>
      <c r="J85" s="2622"/>
      <c r="K85" s="2697"/>
      <c r="L85" s="2691"/>
      <c r="M85" s="2265"/>
      <c r="N85" s="2698"/>
      <c r="O85" s="2644"/>
      <c r="P85" s="2641"/>
      <c r="Q85" s="2642"/>
      <c r="R85" s="2642"/>
      <c r="S85" s="2645"/>
      <c r="T85" s="2642"/>
      <c r="U85" s="2642"/>
      <c r="V85" s="2642"/>
      <c r="W85" s="2642"/>
      <c r="X85" s="2642"/>
      <c r="Y85" s="2642"/>
      <c r="Z85" s="1401"/>
      <c r="AA85" s="1402"/>
      <c r="AB85" s="1468" t="s">
        <v>1840</v>
      </c>
      <c r="AC85" s="1406"/>
      <c r="AD85" s="1406"/>
      <c r="AE85" s="1408"/>
      <c r="AF85" s="2695"/>
      <c r="AG85" s="2691"/>
      <c r="AH85" s="2691"/>
      <c r="AI85" s="2695"/>
      <c r="AJ85" s="2691"/>
      <c r="AK85" s="2691"/>
      <c r="AL85" s="1398"/>
      <c r="AM85" s="2051"/>
      <c r="AN85" s="2051"/>
      <c r="AO85" s="2051"/>
      <c r="AP85" s="2051"/>
      <c r="AQ85" s="2051"/>
      <c r="AR85" s="2051"/>
      <c r="AS85" s="2051"/>
      <c r="AT85" s="2051"/>
      <c r="AU85" s="2051"/>
      <c r="AV85" s="2051"/>
      <c r="AW85" s="2051"/>
      <c r="AX85" s="2051"/>
      <c r="AY85" s="2051"/>
      <c r="AZ85" s="2051"/>
      <c r="BA85" s="2051"/>
      <c r="BB85" s="2051"/>
      <c r="BC85" s="2051"/>
      <c r="BD85" s="2051"/>
      <c r="BE85" s="2051"/>
      <c r="BF85" s="2051"/>
    </row>
    <row s="13661" customFormat="1" customHeight="1" ht="11.25">
      <c r="A86" s="1391"/>
      <c r="B86" s="1391"/>
      <c r="C86" s="1391"/>
      <c r="D86" s="1385"/>
      <c r="E86" s="1395"/>
      <c r="F86" s="2693"/>
      <c r="G86" s="2649"/>
      <c r="H86" s="2649"/>
      <c r="I86" s="2696"/>
      <c r="J86" s="2622"/>
      <c r="K86" s="2697"/>
      <c r="L86" s="2691"/>
      <c r="M86" s="2265"/>
      <c r="N86" s="1402"/>
      <c r="O86" s="1402"/>
      <c r="P86" s="1393" t="s">
        <v>1841</v>
      </c>
      <c r="Q86" s="1402"/>
      <c r="R86" s="1402"/>
      <c r="S86" s="1402"/>
      <c r="T86" s="1402"/>
      <c r="U86" s="1402"/>
      <c r="V86" s="1402"/>
      <c r="W86" s="1402"/>
      <c r="X86" s="1402"/>
      <c r="Y86" s="1402"/>
      <c r="Z86" s="1402"/>
      <c r="AA86" s="1402"/>
      <c r="AB86" s="1402"/>
      <c r="AC86" s="1402"/>
      <c r="AD86" s="1402"/>
      <c r="AE86" s="1409"/>
      <c r="AF86" s="2695"/>
      <c r="AG86" s="2691"/>
      <c r="AH86" s="2691"/>
      <c r="AI86" s="2695"/>
      <c r="AJ86" s="2691"/>
      <c r="AK86" s="2691"/>
      <c r="AL86" s="1398"/>
      <c r="AM86" s="2051"/>
      <c r="AN86" s="2051"/>
      <c r="AO86" s="2051"/>
      <c r="AP86" s="2051"/>
      <c r="AQ86" s="2051"/>
      <c r="AR86" s="2051"/>
      <c r="AS86" s="2051"/>
      <c r="AT86" s="2051"/>
      <c r="AU86" s="2051"/>
      <c r="AV86" s="2051"/>
      <c r="AW86" s="2051"/>
      <c r="AX86" s="2051"/>
      <c r="AY86" s="2051"/>
      <c r="AZ86" s="2051"/>
      <c r="BA86" s="2051"/>
      <c r="BB86" s="2051"/>
      <c r="BC86" s="2051"/>
      <c r="BD86" s="2051"/>
      <c r="BE86" s="2051"/>
      <c r="BF86" s="2051"/>
    </row>
    <row s="13661" customFormat="1" customHeight="1" ht="12">
      <c r="A87" s="1391"/>
      <c r="B87" s="1391"/>
      <c r="C87" s="1391"/>
      <c r="D87" s="1385"/>
      <c r="E87" s="1395"/>
      <c r="F87" s="2694"/>
      <c r="G87" s="1417"/>
      <c r="H87" s="1417"/>
      <c r="I87" s="2692" t="s">
        <v>1842</v>
      </c>
      <c r="J87" s="2692"/>
      <c r="K87" s="2692"/>
      <c r="L87" s="1399"/>
      <c r="M87" s="1399"/>
      <c r="N87" s="1400"/>
      <c r="O87" s="1400"/>
      <c r="P87" s="1400"/>
      <c r="Q87" s="1400"/>
      <c r="R87" s="1400"/>
      <c r="S87" s="1400"/>
      <c r="T87" s="1400"/>
      <c r="U87" s="1400"/>
      <c r="V87" s="1400"/>
      <c r="W87" s="1400"/>
      <c r="X87" s="1400"/>
      <c r="Y87" s="1400"/>
      <c r="Z87" s="1400"/>
      <c r="AA87" s="1400"/>
      <c r="AB87" s="1400"/>
      <c r="AC87" s="1400"/>
      <c r="AD87" s="1400"/>
      <c r="AE87" s="1400"/>
      <c r="AF87" s="1400"/>
      <c r="AG87" s="1399"/>
      <c r="AH87" s="1399"/>
      <c r="AI87" s="1400"/>
      <c r="AJ87" s="1399"/>
      <c r="AK87" s="1410"/>
      <c r="AL87" s="1398"/>
      <c r="AM87" s="2051"/>
      <c r="AN87" s="2051"/>
      <c r="AO87" s="2051"/>
      <c r="AP87" s="2051"/>
      <c r="AQ87" s="2051"/>
      <c r="AR87" s="2051"/>
      <c r="AS87" s="2051"/>
      <c r="AT87" s="2051"/>
      <c r="AU87" s="2051"/>
      <c r="AV87" s="2051"/>
      <c r="AW87" s="2051"/>
      <c r="AX87" s="2051"/>
      <c r="AY87" s="2051"/>
      <c r="AZ87" s="2051"/>
      <c r="BA87" s="2051"/>
      <c r="BB87" s="2051"/>
      <c r="BC87" s="2051"/>
      <c r="BD87" s="2051"/>
      <c r="BE87" s="2051"/>
      <c r="BF87" s="2051"/>
    </row>
    <row r="89" s="17563" customFormat="1" customHeight="1" ht="11.25">
      <c r="A89" s="2043" t="s">
        <v>1843</v>
      </c>
    </row>
    <row r="91" s="13661" customFormat="1" customHeight="1" ht="11.25">
      <c r="A91" s="1391"/>
      <c r="B91" s="1391"/>
      <c r="C91" s="1391"/>
      <c r="D91" s="1385"/>
      <c r="E91" s="1395"/>
      <c r="F91" s="2057"/>
      <c r="G91" s="2058"/>
      <c r="H91" s="2058"/>
      <c r="I91" s="1992"/>
      <c r="J91" s="1992"/>
      <c r="K91" s="2059"/>
      <c r="L91" s="1992"/>
      <c r="M91" s="2058"/>
      <c r="N91" s="2643"/>
      <c r="O91" s="2644">
        <v>1</v>
      </c>
      <c r="P91" s="2639" t="s">
        <v>56</v>
      </c>
      <c r="Q91" s="2642" t="s">
        <v>24</v>
      </c>
      <c r="R91" s="2642" t="s">
        <v>24</v>
      </c>
      <c r="S91" s="2642" t="s">
        <v>24</v>
      </c>
      <c r="T91" s="2642" t="s">
        <v>24</v>
      </c>
      <c r="U91" s="2642" t="s">
        <v>24</v>
      </c>
      <c r="V91" s="2642" t="s">
        <v>24</v>
      </c>
      <c r="W91" s="2642" t="s">
        <v>24</v>
      </c>
      <c r="X91" s="2642" t="s">
        <v>24</v>
      </c>
      <c r="Y91" s="2642"/>
      <c r="Z91" s="1401"/>
      <c r="AA91" s="1402"/>
      <c r="AB91" s="1402"/>
      <c r="AC91" s="1406"/>
      <c r="AD91" s="1406"/>
      <c r="AE91" s="1406"/>
      <c r="AF91" s="2060"/>
      <c r="AG91" s="1987"/>
      <c r="AH91" s="1987"/>
      <c r="AI91" s="2060"/>
      <c r="AJ91" s="1987"/>
      <c r="AK91" s="1987"/>
      <c r="AL91" s="1398"/>
      <c r="AM91" s="2051"/>
      <c r="AN91" s="2051"/>
      <c r="AO91" s="2051"/>
      <c r="AP91" s="2051"/>
      <c r="AQ91" s="2051"/>
      <c r="AR91" s="2051"/>
      <c r="AS91" s="2051"/>
      <c r="AT91" s="2051"/>
      <c r="AU91" s="2051"/>
      <c r="AV91" s="2051"/>
      <c r="AW91" s="2051"/>
      <c r="AX91" s="2051"/>
      <c r="AY91" s="2051"/>
      <c r="AZ91" s="2051"/>
      <c r="BA91" s="2051"/>
      <c r="BB91" s="2051"/>
      <c r="BC91" s="2051"/>
      <c r="BD91" s="2051"/>
      <c r="BE91" s="2051"/>
      <c r="BF91" s="2051"/>
    </row>
    <row s="13661" customFormat="1" customHeight="1" ht="11.25">
      <c r="A92" s="1391"/>
      <c r="B92" s="1391"/>
      <c r="C92" s="1391"/>
      <c r="D92" s="1385"/>
      <c r="E92" s="1395"/>
      <c r="F92" s="2057"/>
      <c r="G92" s="2058"/>
      <c r="H92" s="2058"/>
      <c r="I92" s="1993"/>
      <c r="J92" s="1993"/>
      <c r="K92" s="2059"/>
      <c r="L92" s="1993"/>
      <c r="M92" s="2058"/>
      <c r="N92" s="2643"/>
      <c r="O92" s="2644"/>
      <c r="P92" s="2640"/>
      <c r="Q92" s="2642"/>
      <c r="R92" s="2642"/>
      <c r="S92" s="2645"/>
      <c r="T92" s="2642"/>
      <c r="U92" s="2642"/>
      <c r="V92" s="2642"/>
      <c r="W92" s="2642"/>
      <c r="X92" s="2642"/>
      <c r="Y92" s="2642"/>
      <c r="Z92" s="2056"/>
      <c r="AA92" s="2022">
        <v>1</v>
      </c>
      <c r="AB92" s="1405"/>
      <c r="AC92" s="1394"/>
      <c r="AD92" s="1405">
        <f>AB92</f>
        <v>0</v>
      </c>
      <c r="AE92" s="947"/>
      <c r="AF92" s="2059"/>
      <c r="AG92" s="1987"/>
      <c r="AH92" s="1987"/>
      <c r="AI92" s="2059"/>
      <c r="AJ92" s="1987"/>
      <c r="AK92" s="1987"/>
      <c r="AL92" s="1398"/>
      <c r="AM92" s="2051"/>
      <c r="AN92" s="2051"/>
      <c r="AO92" s="2051"/>
      <c r="AP92" s="2051"/>
      <c r="AQ92" s="2051"/>
      <c r="AR92" s="2051"/>
      <c r="AS92" s="2051"/>
      <c r="AT92" s="2051"/>
      <c r="AU92" s="2051"/>
      <c r="AV92" s="2051"/>
      <c r="AW92" s="2051"/>
      <c r="AX92" s="2051"/>
      <c r="AY92" s="2051"/>
      <c r="AZ92" s="2051"/>
      <c r="BA92" s="2051"/>
      <c r="BB92" s="2051"/>
      <c r="BC92" s="2051"/>
      <c r="BD92" s="2051"/>
      <c r="BE92" s="2051"/>
      <c r="BF92" s="2051"/>
    </row>
    <row s="13661" customFormat="1" customHeight="1" ht="11.25">
      <c r="A93" s="1391"/>
      <c r="B93" s="1391"/>
      <c r="C93" s="1391"/>
      <c r="D93" s="1385"/>
      <c r="E93" s="1395"/>
      <c r="F93" s="2057"/>
      <c r="G93" s="2058"/>
      <c r="H93" s="2058"/>
      <c r="I93" s="1994"/>
      <c r="J93" s="1994"/>
      <c r="K93" s="2059"/>
      <c r="L93" s="1994"/>
      <c r="M93" s="2058"/>
      <c r="N93" s="2643"/>
      <c r="O93" s="2644"/>
      <c r="P93" s="2641"/>
      <c r="Q93" s="2642"/>
      <c r="R93" s="2642"/>
      <c r="S93" s="2645"/>
      <c r="T93" s="2642"/>
      <c r="U93" s="2642"/>
      <c r="V93" s="2642"/>
      <c r="W93" s="2642"/>
      <c r="X93" s="2642"/>
      <c r="Y93" s="2642"/>
      <c r="Z93" s="1401"/>
      <c r="AA93" s="1402"/>
      <c r="AB93" s="1468" t="s">
        <v>1840</v>
      </c>
      <c r="AC93" s="1406"/>
      <c r="AD93" s="1406"/>
      <c r="AE93" s="1406"/>
      <c r="AF93" s="2061"/>
      <c r="AG93" s="1987"/>
      <c r="AH93" s="1987"/>
      <c r="AI93" s="2061"/>
      <c r="AJ93" s="1987"/>
      <c r="AK93" s="1987"/>
      <c r="AL93" s="1398"/>
      <c r="AM93" s="2051"/>
      <c r="AN93" s="2051"/>
      <c r="AO93" s="2051"/>
      <c r="AP93" s="2051"/>
      <c r="AQ93" s="2051"/>
      <c r="AR93" s="2051"/>
      <c r="AS93" s="2051"/>
      <c r="AT93" s="2051"/>
      <c r="AU93" s="2051"/>
      <c r="AV93" s="2051"/>
      <c r="AW93" s="2051"/>
      <c r="AX93" s="2051"/>
      <c r="AY93" s="2051"/>
      <c r="AZ93" s="2051"/>
      <c r="BA93" s="2051"/>
      <c r="BB93" s="2051"/>
      <c r="BC93" s="2051"/>
      <c r="BD93" s="2051"/>
      <c r="BE93" s="2051"/>
      <c r="BF93" s="2051"/>
    </row>
    <row r="95" s="17563" customFormat="1" customHeight="1" ht="11.25">
      <c r="A95" s="2043" t="s">
        <v>1844</v>
      </c>
    </row>
    <row r="97" s="13661" customFormat="1" customHeight="1" ht="11.25">
      <c r="A97" s="1391"/>
      <c r="B97" s="1391"/>
      <c r="C97" s="1391"/>
      <c r="D97" s="1385"/>
      <c r="E97" s="1395"/>
      <c r="F97" s="2058"/>
      <c r="G97" s="2058"/>
      <c r="H97" s="2058"/>
      <c r="I97" s="2058"/>
      <c r="J97" s="2058"/>
      <c r="K97" s="2058"/>
      <c r="L97" s="2058"/>
      <c r="M97" s="2058"/>
      <c r="N97" s="2058"/>
      <c r="O97" s="2058"/>
      <c r="P97" s="2058"/>
      <c r="Q97" s="2058"/>
      <c r="R97" s="2058"/>
      <c r="S97" s="2058"/>
      <c r="T97" s="2058"/>
      <c r="U97" s="2058"/>
      <c r="V97" s="2058"/>
      <c r="W97" s="2058"/>
      <c r="X97" s="2058"/>
      <c r="Y97" s="2058"/>
      <c r="Z97" s="2062"/>
      <c r="AA97" s="2042">
        <v>1</v>
      </c>
      <c r="AB97" s="1405"/>
      <c r="AC97" s="1394"/>
      <c r="AD97" s="1405">
        <f>AB97</f>
        <v>0</v>
      </c>
      <c r="AE97" s="1394"/>
      <c r="AF97" s="2059"/>
      <c r="AG97" s="1987"/>
      <c r="AH97" s="1987"/>
      <c r="AI97" s="2059"/>
      <c r="AJ97" s="1987"/>
      <c r="AK97" s="1987"/>
      <c r="AL97" s="1398"/>
      <c r="AM97" s="2051"/>
      <c r="AN97" s="2051"/>
      <c r="AO97" s="2051"/>
      <c r="AP97" s="2051"/>
      <c r="AQ97" s="2051"/>
      <c r="AR97" s="2051"/>
      <c r="AS97" s="2051"/>
      <c r="AT97" s="2051"/>
      <c r="AU97" s="2051"/>
      <c r="AV97" s="2051"/>
      <c r="AW97" s="2051"/>
      <c r="AX97" s="2051"/>
      <c r="AY97" s="2051"/>
      <c r="AZ97" s="2051"/>
      <c r="BA97" s="2051"/>
      <c r="BB97" s="2051"/>
      <c r="BC97" s="2051"/>
      <c r="BD97" s="2051"/>
      <c r="BE97" s="2051"/>
      <c r="BF97" s="2051"/>
    </row>
    <row r="99" s="17563" customFormat="1" customHeight="1" ht="11.25">
      <c r="A99" s="2043" t="s">
        <v>1845</v>
      </c>
    </row>
    <row r="101" s="13661" customFormat="1" customHeight="1" ht="11.25">
      <c r="A101" s="1391"/>
      <c r="B101" s="1391"/>
      <c r="C101" s="1391"/>
      <c r="D101" s="1385"/>
      <c r="E101" s="1395"/>
      <c r="F101" s="2057"/>
      <c r="G101" s="2058"/>
      <c r="H101" s="2649" t="s">
        <v>108</v>
      </c>
      <c r="I101" s="2696"/>
      <c r="J101" s="2622"/>
      <c r="K101" s="2697"/>
      <c r="L101" s="2691" t="s">
        <v>56</v>
      </c>
      <c r="M101" s="2265"/>
      <c r="N101" s="1404"/>
      <c r="O101" s="1403" t="s">
        <v>377</v>
      </c>
      <c r="P101" s="1404"/>
      <c r="Q101" s="1404"/>
      <c r="R101" s="1404"/>
      <c r="S101" s="1404"/>
      <c r="T101" s="1404"/>
      <c r="U101" s="1404"/>
      <c r="V101" s="1404"/>
      <c r="W101" s="1404"/>
      <c r="X101" s="1404"/>
      <c r="Y101" s="1404"/>
      <c r="Z101" s="1404"/>
      <c r="AA101" s="1404"/>
      <c r="AB101" s="1404"/>
      <c r="AC101" s="1404"/>
      <c r="AD101" s="1404"/>
      <c r="AE101" s="1404"/>
      <c r="AF101" s="2695"/>
      <c r="AG101" s="2691"/>
      <c r="AH101" s="2691"/>
      <c r="AI101" s="2695"/>
      <c r="AJ101" s="2691"/>
      <c r="AK101" s="2691"/>
      <c r="AL101" s="1398"/>
      <c r="AM101" s="2051"/>
      <c r="AN101" s="2051"/>
      <c r="AO101" s="2051"/>
      <c r="AP101" s="2051"/>
      <c r="AQ101" s="2051"/>
      <c r="AR101" s="2051"/>
      <c r="AS101" s="2051"/>
      <c r="AT101" s="2051"/>
      <c r="AU101" s="2051"/>
      <c r="AV101" s="2051"/>
      <c r="AW101" s="2051"/>
      <c r="AX101" s="2051"/>
      <c r="AY101" s="2051"/>
      <c r="AZ101" s="2051"/>
      <c r="BA101" s="2051"/>
      <c r="BB101" s="2051"/>
      <c r="BC101" s="2051"/>
      <c r="BD101" s="2051"/>
      <c r="BE101" s="2051"/>
      <c r="BF101" s="2051"/>
    </row>
    <row s="13661" customFormat="1" customHeight="1" ht="11.25">
      <c r="A102" s="1391"/>
      <c r="B102" s="1391"/>
      <c r="C102" s="1391"/>
      <c r="D102" s="1385"/>
      <c r="E102" s="1395"/>
      <c r="F102" s="2057"/>
      <c r="G102" s="2058"/>
      <c r="H102" s="2649"/>
      <c r="I102" s="2696"/>
      <c r="J102" s="2622"/>
      <c r="K102" s="2697"/>
      <c r="L102" s="2691"/>
      <c r="M102" s="2265"/>
      <c r="N102" s="2698"/>
      <c r="O102" s="2644">
        <v>1</v>
      </c>
      <c r="P102" s="2639" t="s">
        <v>56</v>
      </c>
      <c r="Q102" s="2642" t="s">
        <v>24</v>
      </c>
      <c r="R102" s="2642" t="s">
        <v>24</v>
      </c>
      <c r="S102" s="2642" t="s">
        <v>24</v>
      </c>
      <c r="T102" s="2642" t="s">
        <v>24</v>
      </c>
      <c r="U102" s="2642" t="s">
        <v>24</v>
      </c>
      <c r="V102" s="2642" t="s">
        <v>24</v>
      </c>
      <c r="W102" s="2642" t="s">
        <v>24</v>
      </c>
      <c r="X102" s="2642" t="s">
        <v>24</v>
      </c>
      <c r="Y102" s="2642"/>
      <c r="Z102" s="1401"/>
      <c r="AA102" s="1402"/>
      <c r="AB102" s="1402"/>
      <c r="AC102" s="1406"/>
      <c r="AD102" s="1406"/>
      <c r="AE102" s="1407"/>
      <c r="AF102" s="2695"/>
      <c r="AG102" s="2691"/>
      <c r="AH102" s="2691"/>
      <c r="AI102" s="2695"/>
      <c r="AJ102" s="2691"/>
      <c r="AK102" s="2691"/>
      <c r="AL102" s="1398"/>
      <c r="AM102" s="2051"/>
      <c r="AN102" s="2051"/>
      <c r="AO102" s="2051"/>
      <c r="AP102" s="2051"/>
      <c r="AQ102" s="2051"/>
      <c r="AR102" s="2051"/>
      <c r="AS102" s="2051"/>
      <c r="AT102" s="2051"/>
      <c r="AU102" s="2051"/>
      <c r="AV102" s="2051"/>
      <c r="AW102" s="2051"/>
      <c r="AX102" s="2051"/>
      <c r="AY102" s="2051"/>
      <c r="AZ102" s="2051"/>
      <c r="BA102" s="2051"/>
      <c r="BB102" s="2051"/>
      <c r="BC102" s="2051"/>
      <c r="BD102" s="2051"/>
      <c r="BE102" s="2051"/>
      <c r="BF102" s="2051"/>
    </row>
    <row s="13661" customFormat="1" customHeight="1" ht="11.25">
      <c r="A103" s="1391"/>
      <c r="B103" s="1391"/>
      <c r="C103" s="1391"/>
      <c r="D103" s="1385"/>
      <c r="E103" s="1395"/>
      <c r="F103" s="2057"/>
      <c r="G103" s="2058"/>
      <c r="H103" s="2649"/>
      <c r="I103" s="2696"/>
      <c r="J103" s="2622"/>
      <c r="K103" s="2697"/>
      <c r="L103" s="2691"/>
      <c r="M103" s="2265"/>
      <c r="N103" s="2698"/>
      <c r="O103" s="2644"/>
      <c r="P103" s="2640"/>
      <c r="Q103" s="2642"/>
      <c r="R103" s="2642"/>
      <c r="S103" s="2645"/>
      <c r="T103" s="2642"/>
      <c r="U103" s="2642"/>
      <c r="V103" s="2642"/>
      <c r="W103" s="2642"/>
      <c r="X103" s="2642"/>
      <c r="Y103" s="2642"/>
      <c r="Z103" s="2056"/>
      <c r="AA103" s="2022">
        <v>1</v>
      </c>
      <c r="AB103" s="1405"/>
      <c r="AC103" s="1394"/>
      <c r="AD103" s="1405">
        <f>AB103</f>
        <v>0</v>
      </c>
      <c r="AE103" s="1394"/>
      <c r="AF103" s="2695"/>
      <c r="AG103" s="2691"/>
      <c r="AH103" s="2691"/>
      <c r="AI103" s="2695"/>
      <c r="AJ103" s="2691"/>
      <c r="AK103" s="2691"/>
      <c r="AL103" s="1398"/>
      <c r="AM103" s="2051"/>
      <c r="AN103" s="2051"/>
      <c r="AO103" s="2051"/>
      <c r="AP103" s="2051"/>
      <c r="AQ103" s="2051"/>
      <c r="AR103" s="2051"/>
      <c r="AS103" s="2051"/>
      <c r="AT103" s="2051"/>
      <c r="AU103" s="2051"/>
      <c r="AV103" s="2051"/>
      <c r="AW103" s="2051"/>
      <c r="AX103" s="2051"/>
      <c r="AY103" s="2051"/>
      <c r="AZ103" s="2051"/>
      <c r="BA103" s="2051"/>
      <c r="BB103" s="2051"/>
      <c r="BC103" s="2051"/>
      <c r="BD103" s="2051"/>
      <c r="BE103" s="2051"/>
      <c r="BF103" s="2051"/>
    </row>
    <row s="13661" customFormat="1" customHeight="1" ht="11.25">
      <c r="A104" s="1391"/>
      <c r="B104" s="1391"/>
      <c r="C104" s="1391"/>
      <c r="D104" s="1385"/>
      <c r="E104" s="1395"/>
      <c r="F104" s="2057"/>
      <c r="G104" s="2058"/>
      <c r="H104" s="2649"/>
      <c r="I104" s="2696"/>
      <c r="J104" s="2622"/>
      <c r="K104" s="2697"/>
      <c r="L104" s="2691"/>
      <c r="M104" s="2265"/>
      <c r="N104" s="2698"/>
      <c r="O104" s="2644"/>
      <c r="P104" s="2641"/>
      <c r="Q104" s="2642"/>
      <c r="R104" s="2642"/>
      <c r="S104" s="2645"/>
      <c r="T104" s="2642"/>
      <c r="U104" s="2642"/>
      <c r="V104" s="2642"/>
      <c r="W104" s="2642"/>
      <c r="X104" s="2642"/>
      <c r="Y104" s="2642"/>
      <c r="Z104" s="1401"/>
      <c r="AA104" s="1402"/>
      <c r="AB104" s="1468" t="s">
        <v>1840</v>
      </c>
      <c r="AC104" s="1406"/>
      <c r="AD104" s="1406"/>
      <c r="AE104" s="1408"/>
      <c r="AF104" s="2695"/>
      <c r="AG104" s="2691"/>
      <c r="AH104" s="2691"/>
      <c r="AI104" s="2695"/>
      <c r="AJ104" s="2691"/>
      <c r="AK104" s="2691"/>
      <c r="AL104" s="1398"/>
      <c r="AM104" s="2051"/>
      <c r="AN104" s="2051"/>
      <c r="AO104" s="2051"/>
      <c r="AP104" s="2051"/>
      <c r="AQ104" s="2051"/>
      <c r="AR104" s="2051"/>
      <c r="AS104" s="2051"/>
      <c r="AT104" s="2051"/>
      <c r="AU104" s="2051"/>
      <c r="AV104" s="2051"/>
      <c r="AW104" s="2051"/>
      <c r="AX104" s="2051"/>
      <c r="AY104" s="2051"/>
      <c r="AZ104" s="2051"/>
      <c r="BA104" s="2051"/>
      <c r="BB104" s="2051"/>
      <c r="BC104" s="2051"/>
      <c r="BD104" s="2051"/>
      <c r="BE104" s="2051"/>
      <c r="BF104" s="2051"/>
    </row>
    <row s="13661" customFormat="1" customHeight="1" ht="11.25">
      <c r="A105" s="1391"/>
      <c r="B105" s="1391"/>
      <c r="C105" s="1391"/>
      <c r="D105" s="1385"/>
      <c r="E105" s="1395"/>
      <c r="F105" s="2057"/>
      <c r="G105" s="2058"/>
      <c r="H105" s="2649"/>
      <c r="I105" s="2696"/>
      <c r="J105" s="2622"/>
      <c r="K105" s="2697"/>
      <c r="L105" s="2691"/>
      <c r="M105" s="2265"/>
      <c r="N105" s="1402"/>
      <c r="O105" s="1402"/>
      <c r="P105" s="1393" t="s">
        <v>1841</v>
      </c>
      <c r="Q105" s="1402"/>
      <c r="R105" s="1402"/>
      <c r="S105" s="1402"/>
      <c r="T105" s="1402"/>
      <c r="U105" s="1402"/>
      <c r="V105" s="1402"/>
      <c r="W105" s="1402"/>
      <c r="X105" s="1402"/>
      <c r="Y105" s="1402"/>
      <c r="Z105" s="1402"/>
      <c r="AA105" s="1402"/>
      <c r="AB105" s="1402"/>
      <c r="AC105" s="1402"/>
      <c r="AD105" s="1402"/>
      <c r="AE105" s="1409"/>
      <c r="AF105" s="2695"/>
      <c r="AG105" s="2691"/>
      <c r="AH105" s="2691"/>
      <c r="AI105" s="2695"/>
      <c r="AJ105" s="2691"/>
      <c r="AK105" s="2691"/>
      <c r="AL105" s="1398"/>
      <c r="AM105" s="2051"/>
      <c r="AN105" s="2051"/>
      <c r="AO105" s="2051"/>
      <c r="AP105" s="2051"/>
      <c r="AQ105" s="2051"/>
      <c r="AR105" s="2051"/>
      <c r="AS105" s="2051"/>
      <c r="AT105" s="2051"/>
      <c r="AU105" s="2051"/>
      <c r="AV105" s="2051"/>
      <c r="AW105" s="2051"/>
      <c r="AX105" s="2051"/>
      <c r="AY105" s="2051"/>
      <c r="AZ105" s="2051"/>
      <c r="BA105" s="2051"/>
      <c r="BB105" s="2051"/>
      <c r="BC105" s="2051"/>
      <c r="BD105" s="2051"/>
      <c r="BE105" s="2051"/>
      <c r="BF105" s="2051"/>
    </row>
    <row r="107" s="17563" customFormat="1" customHeight="1" ht="11.25">
      <c r="A107" s="2043" t="s">
        <v>1846</v>
      </c>
    </row>
    <row customHeight="1" ht="17.25"/>
    <row s="17075" customFormat="1" customHeight="1" ht="21">
      <c r="A109" s="1392"/>
      <c r="B109" s="1163"/>
      <c r="D109" s="1147"/>
      <c r="E109" s="1162" t="s">
        <v>24</v>
      </c>
      <c r="F109" s="1346">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7075" customFormat="1" customHeight="1" ht="24.75">
      <c r="B110" s="1146"/>
      <c r="C110" s="1147"/>
      <c r="D110" s="1147"/>
      <c r="E110" s="2063"/>
      <c r="F110" s="1435">
        <v>1</v>
      </c>
      <c r="G110" s="1436"/>
      <c r="H110" s="1437"/>
      <c r="I110" s="2212"/>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7075" customFormat="1" customHeight="1" ht="12">
      <c r="A111" s="1147"/>
      <c r="B111" s="1146"/>
      <c r="C111" s="1147"/>
      <c r="D111" s="1147"/>
      <c r="E111" s="1147"/>
      <c r="F111" s="1440"/>
      <c r="G111" s="2028" t="s">
        <v>1847</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4"/>
      <c r="FZ111" s="1164"/>
      <c r="GA111" s="1164"/>
      <c r="GB111" s="1164"/>
    </row>
    <row r="113" s="17563" customFormat="1" customHeight="1" ht="11.25">
      <c r="A113" s="2043" t="s">
        <v>1848</v>
      </c>
    </row>
    <row r="115" s="12863" customFormat="1" customHeight="1" ht="15">
      <c r="A115" s="846"/>
      <c r="B115" s="847"/>
      <c r="C115" s="847"/>
      <c r="D115" s="2654" t="s">
        <v>108</v>
      </c>
      <c r="E115" s="2510" t="s">
        <v>104</v>
      </c>
      <c r="F115" s="2511"/>
      <c r="G115" s="2512"/>
      <c r="H115" s="2505" t="str">
        <f>IF(A115="","",INDEX(DIFFERENTIATION_UNMERGE_VD,MATCH(A115,DIFFERENTIATION_ID_DIFF,0)))</f>
        <v/>
      </c>
      <c r="I115" s="2505"/>
      <c r="J115" s="2505"/>
      <c r="K115" s="2505"/>
      <c r="L115" s="2505"/>
      <c r="M115" s="2505"/>
      <c r="N115" s="2505"/>
      <c r="O115" s="2505"/>
      <c r="P115" s="2505"/>
      <c r="Q115" s="2505"/>
      <c r="R115" s="2505"/>
      <c r="S115" s="942"/>
      <c r="T115" s="939"/>
      <c r="U115" s="848"/>
      <c r="V115" s="848"/>
      <c r="W115" s="849"/>
      <c r="X115" s="849"/>
      <c r="Y115" s="849"/>
      <c r="Z115" s="849"/>
      <c r="AA115" s="850"/>
      <c r="AB115" s="851"/>
      <c r="AC115" s="2509"/>
      <c r="AD115" s="852"/>
      <c r="AE115" s="853" t="s">
        <v>24</v>
      </c>
      <c r="AF115" s="853"/>
      <c r="AG115" s="854" t="s">
        <v>612</v>
      </c>
      <c r="AH115" s="855">
        <v>3</v>
      </c>
      <c r="AI115" s="848"/>
      <c r="AJ115" s="848"/>
      <c r="AK115" s="848"/>
      <c r="AL115" s="848"/>
      <c r="AM115" s="848"/>
      <c r="AN115" s="848"/>
      <c r="AO115" s="848"/>
      <c r="AP115" s="848"/>
      <c r="AQ115" s="848"/>
      <c r="AR115" s="848"/>
      <c r="AS115" s="848"/>
      <c r="AT115" s="848"/>
      <c r="AU115" s="848"/>
      <c r="AV115" s="848"/>
      <c r="AW115" s="848"/>
      <c r="AX115" s="848"/>
      <c r="AY115" s="848"/>
      <c r="AZ115" s="848"/>
      <c r="BA115" s="848"/>
      <c r="BB115" s="848"/>
      <c r="BC115" s="848"/>
      <c r="BD115" s="848"/>
      <c r="BE115" s="848"/>
      <c r="BF115" s="848"/>
      <c r="BG115" s="848"/>
      <c r="BH115" s="848"/>
      <c r="BI115" s="848"/>
      <c r="BJ115" s="848"/>
      <c r="BK115" s="848"/>
      <c r="BL115" s="848"/>
      <c r="BM115" s="848"/>
      <c r="BN115" s="848"/>
      <c r="BO115" s="848"/>
      <c r="BP115" s="848"/>
      <c r="BQ115" s="848"/>
      <c r="BR115" s="848"/>
      <c r="BS115" s="848"/>
      <c r="BT115" s="848"/>
      <c r="BU115" s="848"/>
      <c r="BV115" s="849"/>
      <c r="BW115" s="849"/>
      <c r="BX115" s="849"/>
      <c r="BY115" s="849"/>
      <c r="BZ115" s="849"/>
      <c r="CA115" s="849"/>
      <c r="CB115" s="849"/>
      <c r="CC115" s="849"/>
      <c r="CD115" s="849"/>
      <c r="CE115" s="849"/>
    </row>
    <row s="12863" customFormat="1" customHeight="1" ht="15">
      <c r="A116" s="846"/>
      <c r="B116" s="847"/>
      <c r="C116" s="847"/>
      <c r="D116" s="2655"/>
      <c r="E116" s="2510" t="s">
        <v>567</v>
      </c>
      <c r="F116" s="2511"/>
      <c r="G116" s="2512"/>
      <c r="H116" s="2505" t="str">
        <f>IF(A115="","",INDEX(DIFFERENTIATION_UNMERGE_AREA,MATCH(A115,DIFFERENTIATION_ID_DIFF,0)))</f>
        <v/>
      </c>
      <c r="I116" s="2505"/>
      <c r="J116" s="2505"/>
      <c r="K116" s="2505"/>
      <c r="L116" s="2505"/>
      <c r="M116" s="2505"/>
      <c r="N116" s="2505"/>
      <c r="O116" s="2505"/>
      <c r="P116" s="2505"/>
      <c r="Q116" s="2505"/>
      <c r="R116" s="2505"/>
      <c r="S116" s="942"/>
      <c r="T116" s="939"/>
      <c r="U116" s="848"/>
      <c r="V116" s="848"/>
      <c r="W116" s="849"/>
      <c r="X116" s="849"/>
      <c r="Y116" s="849"/>
      <c r="Z116" s="849"/>
      <c r="AA116" s="850"/>
      <c r="AB116" s="851"/>
      <c r="AC116" s="2509"/>
      <c r="AD116" s="852"/>
      <c r="AE116" s="853"/>
      <c r="AF116" s="853"/>
      <c r="AG116" s="854"/>
      <c r="AH116" s="855"/>
      <c r="AI116" s="848"/>
      <c r="AJ116" s="848"/>
      <c r="AK116" s="848"/>
      <c r="AL116" s="848"/>
      <c r="AM116" s="848"/>
      <c r="AN116" s="848"/>
      <c r="AO116" s="848"/>
      <c r="AP116" s="848"/>
      <c r="AQ116" s="848"/>
      <c r="AR116" s="848"/>
      <c r="AS116" s="848"/>
      <c r="AT116" s="848"/>
      <c r="AU116" s="848"/>
      <c r="AV116" s="848"/>
      <c r="AW116" s="848"/>
      <c r="AX116" s="848"/>
      <c r="AY116" s="848"/>
      <c r="AZ116" s="848"/>
      <c r="BA116" s="848"/>
      <c r="BB116" s="848"/>
      <c r="BC116" s="848"/>
      <c r="BD116" s="848"/>
      <c r="BE116" s="848"/>
      <c r="BF116" s="848"/>
      <c r="BG116" s="848"/>
      <c r="BH116" s="848"/>
      <c r="BI116" s="848"/>
      <c r="BJ116" s="848"/>
      <c r="BK116" s="848"/>
      <c r="BL116" s="848"/>
      <c r="BM116" s="848"/>
      <c r="BN116" s="848"/>
      <c r="BO116" s="848"/>
      <c r="BP116" s="848"/>
      <c r="BQ116" s="848"/>
      <c r="BR116" s="848"/>
      <c r="BS116" s="848"/>
      <c r="BT116" s="848"/>
      <c r="BU116" s="848"/>
      <c r="BV116" s="849"/>
      <c r="BW116" s="849"/>
      <c r="BX116" s="849"/>
      <c r="BY116" s="849"/>
      <c r="BZ116" s="849"/>
      <c r="CA116" s="849"/>
      <c r="CB116" s="849"/>
      <c r="CC116" s="849"/>
      <c r="CD116" s="849"/>
      <c r="CE116" s="849"/>
    </row>
    <row s="12863" customFormat="1" customHeight="1" ht="15">
      <c r="A117" s="846"/>
      <c r="B117" s="847"/>
      <c r="C117" s="847"/>
      <c r="D117" s="2655"/>
      <c r="E117" s="2510" t="s">
        <v>568</v>
      </c>
      <c r="F117" s="2511"/>
      <c r="G117" s="2512"/>
      <c r="H117" s="2505" t="str">
        <f>IF(A115="","",INDEX(DIFFERENTIATION_UNMERGE_SYSTEM,MATCH(A115,DIFFERENTIATION_ID_DIFF,0)))</f>
        <v/>
      </c>
      <c r="I117" s="2505"/>
      <c r="J117" s="2505"/>
      <c r="K117" s="2505"/>
      <c r="L117" s="2505"/>
      <c r="M117" s="2505"/>
      <c r="N117" s="2505"/>
      <c r="O117" s="2505"/>
      <c r="P117" s="2505"/>
      <c r="Q117" s="2505"/>
      <c r="R117" s="2505"/>
      <c r="S117" s="942"/>
      <c r="T117" s="939"/>
      <c r="U117" s="848"/>
      <c r="V117" s="848"/>
      <c r="W117" s="849"/>
      <c r="X117" s="849"/>
      <c r="Y117" s="849"/>
      <c r="Z117" s="849"/>
      <c r="AA117" s="850"/>
      <c r="AB117" s="851"/>
      <c r="AC117" s="2509"/>
      <c r="AD117" s="852"/>
      <c r="AE117" s="853"/>
      <c r="AF117" s="853"/>
      <c r="AG117" s="854"/>
      <c r="AH117" s="855"/>
      <c r="AI117" s="848"/>
      <c r="AJ117" s="848"/>
      <c r="AK117" s="848"/>
      <c r="AL117" s="848"/>
      <c r="AM117" s="848"/>
      <c r="AN117" s="848"/>
      <c r="AO117" s="848"/>
      <c r="AP117" s="848"/>
      <c r="AQ117" s="848"/>
      <c r="AR117" s="848"/>
      <c r="AS117" s="848"/>
      <c r="AT117" s="848"/>
      <c r="AU117" s="848"/>
      <c r="AV117" s="848"/>
      <c r="AW117" s="848"/>
      <c r="AX117" s="848"/>
      <c r="AY117" s="848"/>
      <c r="AZ117" s="848"/>
      <c r="BA117" s="848"/>
      <c r="BB117" s="848"/>
      <c r="BC117" s="848"/>
      <c r="BD117" s="848"/>
      <c r="BE117" s="848"/>
      <c r="BF117" s="848"/>
      <c r="BG117" s="848"/>
      <c r="BH117" s="848"/>
      <c r="BI117" s="848"/>
      <c r="BJ117" s="848"/>
      <c r="BK117" s="848"/>
      <c r="BL117" s="848"/>
      <c r="BM117" s="848"/>
      <c r="BN117" s="848"/>
      <c r="BO117" s="848"/>
      <c r="BP117" s="848"/>
      <c r="BQ117" s="848"/>
      <c r="BR117" s="848"/>
      <c r="BS117" s="848"/>
      <c r="BT117" s="848"/>
      <c r="BU117" s="848"/>
      <c r="BV117" s="849"/>
      <c r="BW117" s="849"/>
      <c r="BX117" s="849"/>
      <c r="BY117" s="849"/>
      <c r="BZ117" s="849"/>
      <c r="CA117" s="849"/>
      <c r="CB117" s="849"/>
      <c r="CC117" s="849"/>
      <c r="CD117" s="849"/>
      <c r="CE117" s="849"/>
    </row>
    <row s="12863" customFormat="1" customHeight="1" ht="24.75">
      <c r="A118" s="2034"/>
      <c r="B118" s="1385"/>
      <c r="C118" s="635"/>
      <c r="D118" s="2655"/>
      <c r="E118" s="2507" t="s">
        <v>613</v>
      </c>
      <c r="F118" s="2507"/>
      <c r="G118" s="2507"/>
      <c r="H118" s="2507"/>
      <c r="I118" s="2507"/>
      <c r="J118" s="2507"/>
      <c r="K118" s="2507"/>
      <c r="L118" s="2507"/>
      <c r="M118" s="2507"/>
      <c r="N118" s="2507"/>
      <c r="O118" s="2507"/>
      <c r="P118" s="2507"/>
      <c r="Q118" s="781">
        <f>SUMIF(T119:T120,"i",Q119:Q120)</f>
        <v>0</v>
      </c>
      <c r="R118" s="1241"/>
      <c r="S118" s="2026" t="s">
        <v>614</v>
      </c>
      <c r="T118" s="940" t="s">
        <v>615</v>
      </c>
      <c r="U118" s="2508">
        <v>1</v>
      </c>
      <c r="V118" s="2508" t="s">
        <v>578</v>
      </c>
      <c r="W118" s="1385"/>
      <c r="X118" s="1385"/>
      <c r="Y118" s="1385"/>
      <c r="Z118" s="1385"/>
      <c r="AA118" s="1864"/>
      <c r="AB118" s="1385"/>
      <c r="AC118" s="2509"/>
      <c r="AD118" s="852"/>
      <c r="AE118" s="1385"/>
      <c r="AF118" s="1385"/>
      <c r="AG118" s="1864"/>
      <c r="AH118" s="1864"/>
      <c r="AI118" s="1864"/>
      <c r="AJ118" s="1864"/>
      <c r="AK118" s="1864"/>
      <c r="AL118" s="1864"/>
      <c r="AM118" s="1864"/>
      <c r="AN118" s="1864"/>
      <c r="AO118" s="1864"/>
      <c r="AP118" s="1864"/>
      <c r="AQ118" s="1864"/>
      <c r="AR118" s="1864"/>
      <c r="AS118" s="1864"/>
      <c r="AT118" s="1864"/>
      <c r="AU118" s="1864"/>
      <c r="AV118" s="1864"/>
      <c r="AW118" s="1864"/>
      <c r="AX118" s="1864"/>
      <c r="AY118" s="1864"/>
      <c r="AZ118" s="1864"/>
      <c r="BA118" s="1864"/>
      <c r="BB118" s="1864"/>
      <c r="BC118" s="1864"/>
      <c r="BD118" s="1864"/>
      <c r="BE118" s="1864"/>
      <c r="BF118" s="1864"/>
      <c r="BG118" s="1864"/>
      <c r="BH118" s="1864"/>
      <c r="BI118" s="1864"/>
      <c r="BJ118" s="1864"/>
      <c r="BK118" s="1864"/>
      <c r="BL118" s="1864"/>
      <c r="BM118" s="1864"/>
      <c r="BN118" s="1864"/>
      <c r="BO118" s="1864"/>
      <c r="BP118" s="1864"/>
      <c r="BQ118" s="1864"/>
      <c r="BR118" s="1864"/>
      <c r="BS118" s="1864"/>
      <c r="BT118" s="1864"/>
      <c r="BU118" s="1864"/>
      <c r="BV118" s="1385"/>
      <c r="BW118" s="1385"/>
      <c r="BX118" s="1385"/>
      <c r="BY118" s="1385"/>
      <c r="BZ118" s="1385"/>
      <c r="CA118" s="1385"/>
      <c r="CB118" s="1385"/>
      <c r="CC118" s="1385"/>
      <c r="CD118" s="1385"/>
      <c r="CE118" s="1385"/>
    </row>
    <row s="12863" customFormat="1" customHeight="1" ht="11.25" hidden="1">
      <c r="A119" s="2021"/>
      <c r="B119" s="1864"/>
      <c r="C119" s="1864"/>
      <c r="D119" s="2655"/>
      <c r="E119" s="858"/>
      <c r="F119" s="858">
        <v>0</v>
      </c>
      <c r="G119" s="858"/>
      <c r="H119" s="858"/>
      <c r="I119" s="858"/>
      <c r="J119" s="858"/>
      <c r="K119" s="858"/>
      <c r="L119" s="858"/>
      <c r="M119" s="858"/>
      <c r="N119" s="858"/>
      <c r="O119" s="858"/>
      <c r="P119" s="858"/>
      <c r="Q119" s="858"/>
      <c r="R119" s="858"/>
      <c r="S119" s="859"/>
      <c r="T119" s="941"/>
      <c r="U119" s="2508"/>
      <c r="V119" s="2508"/>
      <c r="W119" s="1864"/>
      <c r="X119" s="1864"/>
      <c r="Y119" s="1864"/>
      <c r="Z119" s="1864"/>
      <c r="AA119" s="1864"/>
      <c r="AB119" s="1385"/>
      <c r="AC119" s="2509"/>
      <c r="AD119" s="852"/>
      <c r="AE119" s="1385"/>
      <c r="AF119" s="1385"/>
      <c r="AG119" s="1864"/>
      <c r="AH119" s="1864"/>
      <c r="AI119" s="1864"/>
      <c r="AJ119" s="1864"/>
      <c r="AK119" s="1864"/>
      <c r="AL119" s="1864"/>
      <c r="AM119" s="1864"/>
      <c r="AN119" s="1864"/>
      <c r="AO119" s="1864"/>
      <c r="AP119" s="1864"/>
      <c r="AQ119" s="1864"/>
      <c r="AR119" s="1864"/>
      <c r="AS119" s="1864"/>
      <c r="AT119" s="1864"/>
      <c r="AU119" s="1864"/>
      <c r="AV119" s="1864"/>
      <c r="AW119" s="1864"/>
      <c r="AX119" s="1864"/>
      <c r="AY119" s="1864"/>
      <c r="AZ119" s="1864"/>
      <c r="BA119" s="1864"/>
      <c r="BB119" s="1864"/>
      <c r="BC119" s="1864"/>
      <c r="BD119" s="1864"/>
      <c r="BE119" s="1864"/>
      <c r="BF119" s="1864"/>
      <c r="BG119" s="1864"/>
      <c r="BH119" s="1864"/>
      <c r="BI119" s="1864"/>
      <c r="BJ119" s="1864"/>
      <c r="BK119" s="1864"/>
      <c r="BL119" s="1864"/>
      <c r="BM119" s="1864"/>
      <c r="BN119" s="1864"/>
      <c r="BO119" s="1864"/>
      <c r="BP119" s="1864"/>
      <c r="BQ119" s="1864"/>
      <c r="BR119" s="1864"/>
      <c r="BS119" s="1864"/>
      <c r="BT119" s="1864"/>
      <c r="BU119" s="1864"/>
      <c r="BV119" s="1864"/>
      <c r="BW119" s="1864"/>
      <c r="BX119" s="1864"/>
      <c r="BY119" s="1864"/>
      <c r="BZ119" s="1864"/>
      <c r="CA119" s="1864"/>
      <c r="CB119" s="1864"/>
      <c r="CC119" s="1864"/>
      <c r="CD119" s="1864"/>
      <c r="CE119" s="1864"/>
    </row>
    <row s="12863" customFormat="1" customHeight="1" ht="11.25">
      <c r="A120" s="2034"/>
      <c r="B120" s="1385"/>
      <c r="C120" s="635"/>
      <c r="D120" s="2655"/>
      <c r="E120" s="872" t="s">
        <v>24</v>
      </c>
      <c r="F120" s="1393" t="s">
        <v>24</v>
      </c>
      <c r="G120" s="1393" t="s">
        <v>1849</v>
      </c>
      <c r="H120" s="874" t="s">
        <v>24</v>
      </c>
      <c r="I120" s="874"/>
      <c r="J120" s="874"/>
      <c r="K120" s="874"/>
      <c r="L120" s="874"/>
      <c r="M120" s="874"/>
      <c r="N120" s="874"/>
      <c r="O120" s="874"/>
      <c r="P120" s="874"/>
      <c r="Q120" s="874"/>
      <c r="R120" s="875"/>
      <c r="S120" s="876"/>
      <c r="T120" s="941"/>
      <c r="U120" s="2508"/>
      <c r="V120" s="2508"/>
      <c r="W120" s="1385"/>
      <c r="X120" s="1385"/>
      <c r="Y120" s="1385"/>
      <c r="Z120" s="1385"/>
      <c r="AA120" s="1864"/>
      <c r="AB120" s="1385"/>
      <c r="AC120" s="2509"/>
      <c r="AD120" s="852"/>
      <c r="AE120" s="1385"/>
      <c r="AF120" s="1385"/>
      <c r="AG120" s="1864"/>
      <c r="AH120" s="1864"/>
      <c r="AI120" s="1864"/>
      <c r="AJ120" s="1864"/>
      <c r="AK120" s="1864"/>
      <c r="AL120" s="1864"/>
      <c r="AM120" s="1864"/>
      <c r="AN120" s="1864"/>
      <c r="AO120" s="1864"/>
      <c r="AP120" s="1864"/>
      <c r="AQ120" s="1864"/>
      <c r="AR120" s="1864"/>
      <c r="AS120" s="1864"/>
      <c r="AT120" s="1864"/>
      <c r="AU120" s="1864"/>
      <c r="AV120" s="1864"/>
      <c r="AW120" s="1864"/>
      <c r="AX120" s="1864"/>
      <c r="AY120" s="1864"/>
      <c r="AZ120" s="1864"/>
      <c r="BA120" s="1864"/>
      <c r="BB120" s="1864"/>
      <c r="BC120" s="1864"/>
      <c r="BD120" s="1864"/>
      <c r="BE120" s="1864"/>
      <c r="BF120" s="1864"/>
      <c r="BG120" s="1864"/>
      <c r="BH120" s="1864"/>
      <c r="BI120" s="1864"/>
      <c r="BJ120" s="1864"/>
      <c r="BK120" s="1864"/>
      <c r="BL120" s="1864"/>
      <c r="BM120" s="1864"/>
      <c r="BN120" s="1864"/>
      <c r="BO120" s="1864"/>
      <c r="BP120" s="1864"/>
      <c r="BQ120" s="1864"/>
      <c r="BR120" s="1864"/>
      <c r="BS120" s="1864"/>
      <c r="BT120" s="1864"/>
      <c r="BU120" s="1864"/>
      <c r="BV120" s="1385"/>
      <c r="BW120" s="1385"/>
      <c r="BX120" s="1385"/>
      <c r="BY120" s="1385"/>
      <c r="BZ120" s="1385"/>
      <c r="CA120" s="1385"/>
      <c r="CB120" s="1385"/>
      <c r="CC120" s="1385"/>
      <c r="CD120" s="1385"/>
      <c r="CE120" s="1385"/>
    </row>
    <row s="12863" customFormat="1" customHeight="1" ht="24.75">
      <c r="A121" s="2034"/>
      <c r="B121" s="1385"/>
      <c r="C121" s="635"/>
      <c r="D121" s="2655"/>
      <c r="E121" s="2507" t="s">
        <v>616</v>
      </c>
      <c r="F121" s="2507"/>
      <c r="G121" s="2507"/>
      <c r="H121" s="2507"/>
      <c r="I121" s="2507"/>
      <c r="J121" s="2507"/>
      <c r="K121" s="2507"/>
      <c r="L121" s="2507"/>
      <c r="M121" s="2507"/>
      <c r="N121" s="2507"/>
      <c r="O121" s="2507"/>
      <c r="P121" s="2507"/>
      <c r="Q121" s="781">
        <f>SUMIF(T122:T123,"i",Q122:Q123)</f>
        <v>0</v>
      </c>
      <c r="R121" s="1241"/>
      <c r="S121" s="2026" t="s">
        <v>617</v>
      </c>
      <c r="T121" s="940" t="s">
        <v>615</v>
      </c>
      <c r="U121" s="2508">
        <v>1</v>
      </c>
      <c r="V121" s="2508" t="s">
        <v>578</v>
      </c>
      <c r="W121" s="1385"/>
      <c r="X121" s="1385"/>
      <c r="Y121" s="1385"/>
      <c r="Z121" s="1385"/>
      <c r="AA121" s="1864"/>
      <c r="AB121" s="1385"/>
      <c r="AC121" s="2024"/>
      <c r="AD121" s="852"/>
      <c r="AE121" s="1385"/>
      <c r="AF121" s="1385"/>
      <c r="AG121" s="1864"/>
      <c r="AH121" s="1864"/>
      <c r="AI121" s="1864"/>
      <c r="AJ121" s="1864"/>
      <c r="AK121" s="1864"/>
      <c r="AL121" s="1864"/>
      <c r="AM121" s="1864"/>
      <c r="AN121" s="1864"/>
      <c r="AO121" s="1864"/>
      <c r="AP121" s="1864"/>
      <c r="AQ121" s="1864"/>
      <c r="AR121" s="1864"/>
      <c r="AS121" s="1864"/>
      <c r="AT121" s="1864"/>
      <c r="AU121" s="1864"/>
      <c r="AV121" s="1864"/>
      <c r="AW121" s="1864"/>
      <c r="AX121" s="1864"/>
      <c r="AY121" s="1864"/>
      <c r="AZ121" s="1864"/>
      <c r="BA121" s="1864"/>
      <c r="BB121" s="1864"/>
      <c r="BC121" s="1864"/>
      <c r="BD121" s="1864"/>
      <c r="BE121" s="1864"/>
      <c r="BF121" s="1864"/>
      <c r="BG121" s="1864"/>
      <c r="BH121" s="1864"/>
      <c r="BI121" s="1864"/>
      <c r="BJ121" s="1864"/>
      <c r="BK121" s="1864"/>
      <c r="BL121" s="1864"/>
      <c r="BM121" s="1864"/>
      <c r="BN121" s="1864"/>
      <c r="BO121" s="1864"/>
      <c r="BP121" s="1864"/>
      <c r="BQ121" s="1864"/>
      <c r="BR121" s="1864"/>
      <c r="BS121" s="1864"/>
      <c r="BT121" s="1864"/>
      <c r="BU121" s="1864"/>
      <c r="BV121" s="1385"/>
      <c r="BW121" s="1385"/>
      <c r="BX121" s="1385"/>
      <c r="BY121" s="1385"/>
      <c r="BZ121" s="1385"/>
      <c r="CA121" s="1385"/>
      <c r="CB121" s="1385"/>
      <c r="CC121" s="1385"/>
      <c r="CD121" s="1385"/>
      <c r="CE121" s="1385"/>
    </row>
    <row s="12863" customFormat="1" customHeight="1" ht="11.25" hidden="1">
      <c r="A122" s="2021"/>
      <c r="B122" s="1864"/>
      <c r="C122" s="1864"/>
      <c r="D122" s="2655"/>
      <c r="E122" s="858"/>
      <c r="F122" s="858">
        <v>0</v>
      </c>
      <c r="G122" s="858"/>
      <c r="H122" s="858"/>
      <c r="I122" s="858"/>
      <c r="J122" s="858"/>
      <c r="K122" s="858"/>
      <c r="L122" s="858"/>
      <c r="M122" s="858"/>
      <c r="N122" s="858"/>
      <c r="O122" s="858"/>
      <c r="P122" s="858"/>
      <c r="Q122" s="858"/>
      <c r="R122" s="858"/>
      <c r="S122" s="859"/>
      <c r="T122" s="941"/>
      <c r="U122" s="2508"/>
      <c r="V122" s="2508"/>
      <c r="W122" s="1864"/>
      <c r="X122" s="1864"/>
      <c r="Y122" s="1864"/>
      <c r="Z122" s="1864"/>
      <c r="AA122" s="1864"/>
      <c r="AB122" s="1385"/>
      <c r="AC122" s="2024"/>
      <c r="AD122" s="852"/>
      <c r="AE122" s="1385"/>
      <c r="AF122" s="1385"/>
      <c r="AG122" s="1864"/>
      <c r="AH122" s="1864"/>
      <c r="AI122" s="1864"/>
      <c r="AJ122" s="1864"/>
      <c r="AK122" s="1864"/>
      <c r="AL122" s="1864"/>
      <c r="AM122" s="1864"/>
      <c r="AN122" s="1864"/>
      <c r="AO122" s="1864"/>
      <c r="AP122" s="1864"/>
      <c r="AQ122" s="1864"/>
      <c r="AR122" s="1864"/>
      <c r="AS122" s="1864"/>
      <c r="AT122" s="1864"/>
      <c r="AU122" s="1864"/>
      <c r="AV122" s="1864"/>
      <c r="AW122" s="1864"/>
      <c r="AX122" s="1864"/>
      <c r="AY122" s="1864"/>
      <c r="AZ122" s="1864"/>
      <c r="BA122" s="1864"/>
      <c r="BB122" s="1864"/>
      <c r="BC122" s="1864"/>
      <c r="BD122" s="1864"/>
      <c r="BE122" s="1864"/>
      <c r="BF122" s="1864"/>
      <c r="BG122" s="1864"/>
      <c r="BH122" s="1864"/>
      <c r="BI122" s="1864"/>
      <c r="BJ122" s="1864"/>
      <c r="BK122" s="1864"/>
      <c r="BL122" s="1864"/>
      <c r="BM122" s="1864"/>
      <c r="BN122" s="1864"/>
      <c r="BO122" s="1864"/>
      <c r="BP122" s="1864"/>
      <c r="BQ122" s="1864"/>
      <c r="BR122" s="1864"/>
      <c r="BS122" s="1864"/>
      <c r="BT122" s="1864"/>
      <c r="BU122" s="1864"/>
      <c r="BV122" s="1864"/>
      <c r="BW122" s="1864"/>
      <c r="BX122" s="1864"/>
      <c r="BY122" s="1864"/>
      <c r="BZ122" s="1864"/>
      <c r="CA122" s="1864"/>
      <c r="CB122" s="1864"/>
      <c r="CC122" s="1864"/>
      <c r="CD122" s="1864"/>
      <c r="CE122" s="1864"/>
    </row>
    <row s="12863" customFormat="1" customHeight="1" ht="11.25">
      <c r="A123" s="2034"/>
      <c r="B123" s="1385"/>
      <c r="C123" s="635"/>
      <c r="D123" s="2656"/>
      <c r="E123" s="872" t="s">
        <v>24</v>
      </c>
      <c r="F123" s="1393" t="s">
        <v>24</v>
      </c>
      <c r="G123" s="1393" t="s">
        <v>1849</v>
      </c>
      <c r="H123" s="874" t="s">
        <v>24</v>
      </c>
      <c r="I123" s="874"/>
      <c r="J123" s="874"/>
      <c r="K123" s="874"/>
      <c r="L123" s="874"/>
      <c r="M123" s="874"/>
      <c r="N123" s="874"/>
      <c r="O123" s="874"/>
      <c r="P123" s="874"/>
      <c r="Q123" s="874"/>
      <c r="R123" s="875"/>
      <c r="S123" s="876"/>
      <c r="T123" s="941"/>
      <c r="U123" s="2508"/>
      <c r="V123" s="2508"/>
      <c r="W123" s="1385"/>
      <c r="X123" s="1385"/>
      <c r="Y123" s="1385"/>
      <c r="Z123" s="1385"/>
      <c r="AA123" s="1864"/>
      <c r="AB123" s="1385"/>
      <c r="AC123" s="2024"/>
      <c r="AD123" s="852"/>
      <c r="AE123" s="1385"/>
      <c r="AF123" s="1385"/>
      <c r="AG123" s="1864"/>
      <c r="AH123" s="1864"/>
      <c r="AI123" s="1864"/>
      <c r="AJ123" s="1864"/>
      <c r="AK123" s="1864"/>
      <c r="AL123" s="1864"/>
      <c r="AM123" s="1864"/>
      <c r="AN123" s="1864"/>
      <c r="AO123" s="1864"/>
      <c r="AP123" s="1864"/>
      <c r="AQ123" s="1864"/>
      <c r="AR123" s="1864"/>
      <c r="AS123" s="1864"/>
      <c r="AT123" s="1864"/>
      <c r="AU123" s="1864"/>
      <c r="AV123" s="1864"/>
      <c r="AW123" s="1864"/>
      <c r="AX123" s="1864"/>
      <c r="AY123" s="1864"/>
      <c r="AZ123" s="1864"/>
      <c r="BA123" s="1864"/>
      <c r="BB123" s="1864"/>
      <c r="BC123" s="1864"/>
      <c r="BD123" s="1864"/>
      <c r="BE123" s="1864"/>
      <c r="BF123" s="1864"/>
      <c r="BG123" s="1864"/>
      <c r="BH123" s="1864"/>
      <c r="BI123" s="1864"/>
      <c r="BJ123" s="1864"/>
      <c r="BK123" s="1864"/>
      <c r="BL123" s="1864"/>
      <c r="BM123" s="1864"/>
      <c r="BN123" s="1864"/>
      <c r="BO123" s="1864"/>
      <c r="BP123" s="1864"/>
      <c r="BQ123" s="1864"/>
      <c r="BR123" s="1864"/>
      <c r="BS123" s="1864"/>
      <c r="BT123" s="1864"/>
      <c r="BU123" s="1864"/>
      <c r="BV123" s="1385"/>
      <c r="BW123" s="1385"/>
      <c r="BX123" s="1385"/>
      <c r="BY123" s="1385"/>
      <c r="BZ123" s="1385"/>
      <c r="CA123" s="1385"/>
      <c r="CB123" s="1385"/>
      <c r="CC123" s="1385"/>
      <c r="CD123" s="1385"/>
      <c r="CE123" s="1385"/>
    </row>
    <row r="125" s="17563" customFormat="1" customHeight="1" ht="11.25">
      <c r="A125" s="2043" t="s">
        <v>1850</v>
      </c>
    </row>
    <row r="127" s="12863" customFormat="1" customHeight="1" ht="15">
      <c r="A127" s="846"/>
      <c r="B127" s="847"/>
      <c r="C127" s="847"/>
      <c r="D127" s="2654" t="s">
        <v>108</v>
      </c>
      <c r="E127" s="2510" t="s">
        <v>104</v>
      </c>
      <c r="F127" s="2511"/>
      <c r="G127" s="2512"/>
      <c r="H127" s="2505" t="str">
        <f>IF(A127="","",INDEX(DIFFERENTIATION_UNMERGE_VD,MATCH(A127,DIFFERENTIATION_ID_DIFF,0)))</f>
        <v/>
      </c>
      <c r="I127" s="2505"/>
      <c r="J127" s="2505"/>
      <c r="K127" s="2505"/>
      <c r="L127" s="2505"/>
      <c r="M127" s="2505"/>
      <c r="N127" s="2505"/>
      <c r="O127" s="2505"/>
      <c r="P127" s="2505"/>
      <c r="Q127" s="2505"/>
      <c r="R127" s="2505"/>
      <c r="S127" s="942"/>
      <c r="T127" s="939"/>
      <c r="U127" s="848"/>
      <c r="V127" s="848"/>
      <c r="W127" s="849"/>
      <c r="X127" s="849"/>
      <c r="Y127" s="849"/>
      <c r="Z127" s="849"/>
      <c r="AA127" s="850"/>
      <c r="AB127" s="851"/>
      <c r="AC127" s="2509"/>
      <c r="AD127" s="852"/>
      <c r="AE127" s="853" t="s">
        <v>24</v>
      </c>
      <c r="AF127" s="853"/>
      <c r="AG127" s="854" t="s">
        <v>612</v>
      </c>
      <c r="AH127" s="855">
        <v>3</v>
      </c>
      <c r="AI127" s="848"/>
      <c r="AJ127" s="848"/>
      <c r="AK127" s="848"/>
      <c r="AL127" s="848"/>
      <c r="AM127" s="848"/>
      <c r="AN127" s="848"/>
      <c r="AO127" s="848"/>
      <c r="AP127" s="848"/>
      <c r="AQ127" s="848"/>
      <c r="AR127" s="848"/>
      <c r="AS127" s="848"/>
      <c r="AT127" s="848"/>
      <c r="AU127" s="848"/>
      <c r="AV127" s="848"/>
      <c r="AW127" s="848"/>
      <c r="AX127" s="848"/>
      <c r="AY127" s="848"/>
      <c r="AZ127" s="848"/>
      <c r="BA127" s="848"/>
      <c r="BB127" s="848"/>
      <c r="BC127" s="848"/>
      <c r="BD127" s="848"/>
      <c r="BE127" s="848"/>
      <c r="BF127" s="848"/>
      <c r="BG127" s="848"/>
      <c r="BH127" s="848"/>
      <c r="BI127" s="848"/>
      <c r="BJ127" s="848"/>
      <c r="BK127" s="848"/>
      <c r="BL127" s="848"/>
      <c r="BM127" s="848"/>
      <c r="BN127" s="848"/>
      <c r="BO127" s="848"/>
      <c r="BP127" s="848"/>
      <c r="BQ127" s="848"/>
      <c r="BR127" s="848"/>
      <c r="BS127" s="848"/>
      <c r="BT127" s="848"/>
      <c r="BU127" s="848"/>
      <c r="BV127" s="849"/>
      <c r="BW127" s="849"/>
      <c r="BX127" s="849"/>
      <c r="BY127" s="849"/>
      <c r="BZ127" s="849"/>
      <c r="CA127" s="849"/>
      <c r="CB127" s="849"/>
      <c r="CC127" s="849"/>
      <c r="CD127" s="849"/>
      <c r="CE127" s="849"/>
    </row>
    <row s="12863" customFormat="1" customHeight="1" ht="15">
      <c r="A128" s="846"/>
      <c r="B128" s="847"/>
      <c r="C128" s="847"/>
      <c r="D128" s="2655"/>
      <c r="E128" s="2510" t="s">
        <v>567</v>
      </c>
      <c r="F128" s="2511"/>
      <c r="G128" s="2512"/>
      <c r="H128" s="2505" t="str">
        <f>IF(A127="","",INDEX(DIFFERENTIATION_UNMERGE_AREA,MATCH(A127,DIFFERENTIATION_ID_DIFF,0)))</f>
        <v/>
      </c>
      <c r="I128" s="2505"/>
      <c r="J128" s="2505"/>
      <c r="K128" s="2505"/>
      <c r="L128" s="2505"/>
      <c r="M128" s="2505"/>
      <c r="N128" s="2505"/>
      <c r="O128" s="2505"/>
      <c r="P128" s="2505"/>
      <c r="Q128" s="2505"/>
      <c r="R128" s="2505"/>
      <c r="S128" s="942"/>
      <c r="T128" s="939"/>
      <c r="U128" s="848"/>
      <c r="V128" s="848"/>
      <c r="W128" s="849"/>
      <c r="X128" s="849"/>
      <c r="Y128" s="849"/>
      <c r="Z128" s="849"/>
      <c r="AA128" s="850"/>
      <c r="AB128" s="851"/>
      <c r="AC128" s="2509"/>
      <c r="AD128" s="852"/>
      <c r="AE128" s="853"/>
      <c r="AF128" s="853"/>
      <c r="AG128" s="854"/>
      <c r="AH128" s="855"/>
      <c r="AI128" s="848"/>
      <c r="AJ128" s="848"/>
      <c r="AK128" s="848"/>
      <c r="AL128" s="848"/>
      <c r="AM128" s="848"/>
      <c r="AN128" s="848"/>
      <c r="AO128" s="848"/>
      <c r="AP128" s="848"/>
      <c r="AQ128" s="848"/>
      <c r="AR128" s="848"/>
      <c r="AS128" s="848"/>
      <c r="AT128" s="848"/>
      <c r="AU128" s="848"/>
      <c r="AV128" s="848"/>
      <c r="AW128" s="848"/>
      <c r="AX128" s="848"/>
      <c r="AY128" s="848"/>
      <c r="AZ128" s="848"/>
      <c r="BA128" s="848"/>
      <c r="BB128" s="848"/>
      <c r="BC128" s="848"/>
      <c r="BD128" s="848"/>
      <c r="BE128" s="848"/>
      <c r="BF128" s="848"/>
      <c r="BG128" s="848"/>
      <c r="BH128" s="848"/>
      <c r="BI128" s="848"/>
      <c r="BJ128" s="848"/>
      <c r="BK128" s="848"/>
      <c r="BL128" s="848"/>
      <c r="BM128" s="848"/>
      <c r="BN128" s="848"/>
      <c r="BO128" s="848"/>
      <c r="BP128" s="848"/>
      <c r="BQ128" s="848"/>
      <c r="BR128" s="848"/>
      <c r="BS128" s="848"/>
      <c r="BT128" s="848"/>
      <c r="BU128" s="848"/>
      <c r="BV128" s="849"/>
      <c r="BW128" s="849"/>
      <c r="BX128" s="849"/>
      <c r="BY128" s="849"/>
      <c r="BZ128" s="849"/>
      <c r="CA128" s="849"/>
      <c r="CB128" s="849"/>
      <c r="CC128" s="849"/>
      <c r="CD128" s="849"/>
      <c r="CE128" s="849"/>
    </row>
    <row s="12863" customFormat="1" customHeight="1" ht="15">
      <c r="A129" s="846"/>
      <c r="B129" s="847"/>
      <c r="C129" s="847"/>
      <c r="D129" s="2655"/>
      <c r="E129" s="2510" t="s">
        <v>568</v>
      </c>
      <c r="F129" s="2511"/>
      <c r="G129" s="2512"/>
      <c r="H129" s="2505" t="str">
        <f>IF(A127="","",INDEX(DIFFERENTIATION_UNMERGE_SYSTEM,MATCH(A127,DIFFERENTIATION_ID_DIFF,0)))</f>
        <v/>
      </c>
      <c r="I129" s="2505"/>
      <c r="J129" s="2505"/>
      <c r="K129" s="2505"/>
      <c r="L129" s="2505"/>
      <c r="M129" s="2505"/>
      <c r="N129" s="2505"/>
      <c r="O129" s="2505"/>
      <c r="P129" s="2505"/>
      <c r="Q129" s="2505"/>
      <c r="R129" s="2505"/>
      <c r="S129" s="942"/>
      <c r="T129" s="939"/>
      <c r="U129" s="848"/>
      <c r="V129" s="848"/>
      <c r="W129" s="849"/>
      <c r="X129" s="849"/>
      <c r="Y129" s="849"/>
      <c r="Z129" s="849"/>
      <c r="AA129" s="850"/>
      <c r="AB129" s="851"/>
      <c r="AC129" s="2509"/>
      <c r="AD129" s="852"/>
      <c r="AE129" s="853"/>
      <c r="AF129" s="853"/>
      <c r="AG129" s="854"/>
      <c r="AH129" s="855"/>
      <c r="AI129" s="848"/>
      <c r="AJ129" s="848"/>
      <c r="AK129" s="848"/>
      <c r="AL129" s="848"/>
      <c r="AM129" s="848"/>
      <c r="AN129" s="848"/>
      <c r="AO129" s="848"/>
      <c r="AP129" s="848"/>
      <c r="AQ129" s="848"/>
      <c r="AR129" s="848"/>
      <c r="AS129" s="848"/>
      <c r="AT129" s="848"/>
      <c r="AU129" s="848"/>
      <c r="AV129" s="848"/>
      <c r="AW129" s="848"/>
      <c r="AX129" s="848"/>
      <c r="AY129" s="848"/>
      <c r="AZ129" s="848"/>
      <c r="BA129" s="848"/>
      <c r="BB129" s="848"/>
      <c r="BC129" s="848"/>
      <c r="BD129" s="848"/>
      <c r="BE129" s="848"/>
      <c r="BF129" s="848"/>
      <c r="BG129" s="848"/>
      <c r="BH129" s="848"/>
      <c r="BI129" s="848"/>
      <c r="BJ129" s="848"/>
      <c r="BK129" s="848"/>
      <c r="BL129" s="848"/>
      <c r="BM129" s="848"/>
      <c r="BN129" s="848"/>
      <c r="BO129" s="848"/>
      <c r="BP129" s="848"/>
      <c r="BQ129" s="848"/>
      <c r="BR129" s="848"/>
      <c r="BS129" s="848"/>
      <c r="BT129" s="848"/>
      <c r="BU129" s="848"/>
      <c r="BV129" s="849"/>
      <c r="BW129" s="849"/>
      <c r="BX129" s="849"/>
      <c r="BY129" s="849"/>
      <c r="BZ129" s="849"/>
      <c r="CA129" s="849"/>
      <c r="CB129" s="849"/>
      <c r="CC129" s="849"/>
      <c r="CD129" s="849"/>
      <c r="CE129" s="849"/>
    </row>
    <row s="12863" customFormat="1" customHeight="1" ht="24.75">
      <c r="A130" s="2034"/>
      <c r="B130" s="1385"/>
      <c r="C130" s="635"/>
      <c r="D130" s="2655"/>
      <c r="E130" s="2507" t="s">
        <v>613</v>
      </c>
      <c r="F130" s="2507"/>
      <c r="G130" s="2507"/>
      <c r="H130" s="2507"/>
      <c r="I130" s="2507"/>
      <c r="J130" s="2507"/>
      <c r="K130" s="2507"/>
      <c r="L130" s="2507"/>
      <c r="M130" s="2507"/>
      <c r="N130" s="2507"/>
      <c r="O130" s="2507"/>
      <c r="P130" s="2507"/>
      <c r="Q130" s="781">
        <f>SUMIF(T131:T132,"i",Q131:Q132)</f>
        <v>0</v>
      </c>
      <c r="R130" s="1241"/>
      <c r="S130" s="2026" t="s">
        <v>614</v>
      </c>
      <c r="T130" s="940" t="s">
        <v>615</v>
      </c>
      <c r="U130" s="2508">
        <v>1</v>
      </c>
      <c r="V130" s="2508" t="s">
        <v>578</v>
      </c>
      <c r="W130" s="1385"/>
      <c r="X130" s="1385"/>
      <c r="Y130" s="1385"/>
      <c r="Z130" s="1385"/>
      <c r="AA130" s="1864"/>
      <c r="AB130" s="1385"/>
      <c r="AC130" s="2509"/>
      <c r="AD130" s="852"/>
      <c r="AE130" s="1385"/>
      <c r="AF130" s="1385"/>
      <c r="AG130" s="1864"/>
      <c r="AH130" s="1864"/>
      <c r="AI130" s="1864"/>
      <c r="AJ130" s="1864"/>
      <c r="AK130" s="1864"/>
      <c r="AL130" s="1864"/>
      <c r="AM130" s="1864"/>
      <c r="AN130" s="1864"/>
      <c r="AO130" s="1864"/>
      <c r="AP130" s="1864"/>
      <c r="AQ130" s="1864"/>
      <c r="AR130" s="1864"/>
      <c r="AS130" s="1864"/>
      <c r="AT130" s="1864"/>
      <c r="AU130" s="1864"/>
      <c r="AV130" s="1864"/>
      <c r="AW130" s="1864"/>
      <c r="AX130" s="1864"/>
      <c r="AY130" s="1864"/>
      <c r="AZ130" s="1864"/>
      <c r="BA130" s="1864"/>
      <c r="BB130" s="1864"/>
      <c r="BC130" s="1864"/>
      <c r="BD130" s="1864"/>
      <c r="BE130" s="1864"/>
      <c r="BF130" s="1864"/>
      <c r="BG130" s="1864"/>
      <c r="BH130" s="1864"/>
      <c r="BI130" s="1864"/>
      <c r="BJ130" s="1864"/>
      <c r="BK130" s="1864"/>
      <c r="BL130" s="1864"/>
      <c r="BM130" s="1864"/>
      <c r="BN130" s="1864"/>
      <c r="BO130" s="1864"/>
      <c r="BP130" s="1864"/>
      <c r="BQ130" s="1864"/>
      <c r="BR130" s="1864"/>
      <c r="BS130" s="1864"/>
      <c r="BT130" s="1864"/>
      <c r="BU130" s="1864"/>
      <c r="BV130" s="1385"/>
      <c r="BW130" s="1385"/>
      <c r="BX130" s="1385"/>
      <c r="BY130" s="1385"/>
      <c r="BZ130" s="1385"/>
      <c r="CA130" s="1385"/>
      <c r="CB130" s="1385"/>
      <c r="CC130" s="1385"/>
      <c r="CD130" s="1385"/>
      <c r="CE130" s="1385"/>
    </row>
    <row s="12863" customFormat="1" customHeight="1" ht="11.25" hidden="1">
      <c r="A131" s="2021"/>
      <c r="B131" s="1864"/>
      <c r="C131" s="1864"/>
      <c r="D131" s="2655"/>
      <c r="E131" s="858"/>
      <c r="F131" s="858">
        <v>0</v>
      </c>
      <c r="G131" s="858"/>
      <c r="H131" s="858"/>
      <c r="I131" s="858"/>
      <c r="J131" s="858"/>
      <c r="K131" s="858"/>
      <c r="L131" s="858"/>
      <c r="M131" s="858"/>
      <c r="N131" s="858"/>
      <c r="O131" s="858"/>
      <c r="P131" s="858"/>
      <c r="Q131" s="858"/>
      <c r="R131" s="858"/>
      <c r="S131" s="859"/>
      <c r="T131" s="941"/>
      <c r="U131" s="2508"/>
      <c r="V131" s="2508"/>
      <c r="W131" s="1864"/>
      <c r="X131" s="1864"/>
      <c r="Y131" s="1864"/>
      <c r="Z131" s="1864"/>
      <c r="AA131" s="1864"/>
      <c r="AB131" s="1385"/>
      <c r="AC131" s="2509"/>
      <c r="AD131" s="852"/>
      <c r="AE131" s="1385"/>
      <c r="AF131" s="1385"/>
      <c r="AG131" s="1864"/>
      <c r="AH131" s="1864"/>
      <c r="AI131" s="1864"/>
      <c r="AJ131" s="1864"/>
      <c r="AK131" s="1864"/>
      <c r="AL131" s="1864"/>
      <c r="AM131" s="1864"/>
      <c r="AN131" s="1864"/>
      <c r="AO131" s="1864"/>
      <c r="AP131" s="1864"/>
      <c r="AQ131" s="1864"/>
      <c r="AR131" s="1864"/>
      <c r="AS131" s="1864"/>
      <c r="AT131" s="1864"/>
      <c r="AU131" s="1864"/>
      <c r="AV131" s="1864"/>
      <c r="AW131" s="1864"/>
      <c r="AX131" s="1864"/>
      <c r="AY131" s="1864"/>
      <c r="AZ131" s="1864"/>
      <c r="BA131" s="1864"/>
      <c r="BB131" s="1864"/>
      <c r="BC131" s="1864"/>
      <c r="BD131" s="1864"/>
      <c r="BE131" s="1864"/>
      <c r="BF131" s="1864"/>
      <c r="BG131" s="1864"/>
      <c r="BH131" s="1864"/>
      <c r="BI131" s="1864"/>
      <c r="BJ131" s="1864"/>
      <c r="BK131" s="1864"/>
      <c r="BL131" s="1864"/>
      <c r="BM131" s="1864"/>
      <c r="BN131" s="1864"/>
      <c r="BO131" s="1864"/>
      <c r="BP131" s="1864"/>
      <c r="BQ131" s="1864"/>
      <c r="BR131" s="1864"/>
      <c r="BS131" s="1864"/>
      <c r="BT131" s="1864"/>
      <c r="BU131" s="1864"/>
      <c r="BV131" s="1864"/>
      <c r="BW131" s="1864"/>
      <c r="BX131" s="1864"/>
      <c r="BY131" s="1864"/>
      <c r="BZ131" s="1864"/>
      <c r="CA131" s="1864"/>
      <c r="CB131" s="1864"/>
      <c r="CC131" s="1864"/>
      <c r="CD131" s="1864"/>
      <c r="CE131" s="1864"/>
    </row>
    <row s="12863" customFormat="1" customHeight="1" ht="11.25">
      <c r="A132" s="2034"/>
      <c r="B132" s="1385"/>
      <c r="C132" s="635"/>
      <c r="D132" s="2655"/>
      <c r="E132" s="872" t="s">
        <v>24</v>
      </c>
      <c r="F132" s="1393" t="s">
        <v>24</v>
      </c>
      <c r="G132" s="1393" t="s">
        <v>1849</v>
      </c>
      <c r="H132" s="874" t="s">
        <v>24</v>
      </c>
      <c r="I132" s="874"/>
      <c r="J132" s="874"/>
      <c r="K132" s="874"/>
      <c r="L132" s="874"/>
      <c r="M132" s="874"/>
      <c r="N132" s="874"/>
      <c r="O132" s="874"/>
      <c r="P132" s="874"/>
      <c r="Q132" s="874"/>
      <c r="R132" s="875"/>
      <c r="S132" s="876"/>
      <c r="T132" s="941"/>
      <c r="U132" s="2508"/>
      <c r="V132" s="2508"/>
      <c r="W132" s="1385"/>
      <c r="X132" s="1385"/>
      <c r="Y132" s="1385"/>
      <c r="Z132" s="1385"/>
      <c r="AA132" s="1864"/>
      <c r="AB132" s="1385"/>
      <c r="AC132" s="2509"/>
      <c r="AD132" s="852"/>
      <c r="AE132" s="1385"/>
      <c r="AF132" s="1385"/>
      <c r="AG132" s="1864"/>
      <c r="AH132" s="1864"/>
      <c r="AI132" s="1864"/>
      <c r="AJ132" s="1864"/>
      <c r="AK132" s="1864"/>
      <c r="AL132" s="1864"/>
      <c r="AM132" s="1864"/>
      <c r="AN132" s="1864"/>
      <c r="AO132" s="1864"/>
      <c r="AP132" s="1864"/>
      <c r="AQ132" s="1864"/>
      <c r="AR132" s="1864"/>
      <c r="AS132" s="1864"/>
      <c r="AT132" s="1864"/>
      <c r="AU132" s="1864"/>
      <c r="AV132" s="1864"/>
      <c r="AW132" s="1864"/>
      <c r="AX132" s="1864"/>
      <c r="AY132" s="1864"/>
      <c r="AZ132" s="1864"/>
      <c r="BA132" s="1864"/>
      <c r="BB132" s="1864"/>
      <c r="BC132" s="1864"/>
      <c r="BD132" s="1864"/>
      <c r="BE132" s="1864"/>
      <c r="BF132" s="1864"/>
      <c r="BG132" s="1864"/>
      <c r="BH132" s="1864"/>
      <c r="BI132" s="1864"/>
      <c r="BJ132" s="1864"/>
      <c r="BK132" s="1864"/>
      <c r="BL132" s="1864"/>
      <c r="BM132" s="1864"/>
      <c r="BN132" s="1864"/>
      <c r="BO132" s="1864"/>
      <c r="BP132" s="1864"/>
      <c r="BQ132" s="1864"/>
      <c r="BR132" s="1864"/>
      <c r="BS132" s="1864"/>
      <c r="BT132" s="1864"/>
      <c r="BU132" s="1864"/>
      <c r="BV132" s="1385"/>
      <c r="BW132" s="1385"/>
      <c r="BX132" s="1385"/>
      <c r="BY132" s="1385"/>
      <c r="BZ132" s="1385"/>
      <c r="CA132" s="1385"/>
      <c r="CB132" s="1385"/>
      <c r="CC132" s="1385"/>
      <c r="CD132" s="1385"/>
      <c r="CE132" s="1385"/>
    </row>
    <row s="13158" customFormat="1" customHeight="1" ht="5.25" hidden="1">
      <c r="A133" s="2021"/>
      <c r="B133" s="1864"/>
      <c r="C133" s="1864"/>
      <c r="D133" s="2655"/>
      <c r="E133" s="1263"/>
      <c r="F133" s="1263"/>
      <c r="G133" s="1263"/>
      <c r="H133" s="1263"/>
      <c r="I133" s="1263"/>
      <c r="J133" s="1263"/>
      <c r="K133" s="1263"/>
      <c r="L133" s="1263"/>
      <c r="M133" s="1263"/>
      <c r="N133" s="1263"/>
      <c r="O133" s="1263"/>
      <c r="P133" s="1263"/>
      <c r="Q133" s="1264"/>
      <c r="R133" s="1265"/>
      <c r="S133" s="1266"/>
      <c r="T133" s="940" t="s">
        <v>615</v>
      </c>
      <c r="U133" s="2508">
        <v>1</v>
      </c>
      <c r="V133" s="2508" t="s">
        <v>578</v>
      </c>
      <c r="W133" s="1864"/>
      <c r="X133" s="1864"/>
      <c r="Y133" s="1864"/>
      <c r="Z133" s="1864"/>
      <c r="AA133" s="1864"/>
      <c r="AB133" s="1864"/>
      <c r="AC133" s="1261"/>
      <c r="AD133" s="1262"/>
      <c r="AE133" s="1864"/>
      <c r="AF133" s="1864"/>
      <c r="AG133" s="1864"/>
      <c r="AH133" s="1864"/>
      <c r="AI133" s="1864"/>
      <c r="AJ133" s="1864"/>
      <c r="AK133" s="1864"/>
      <c r="AL133" s="1864"/>
      <c r="AM133" s="1864"/>
      <c r="AN133" s="1864"/>
      <c r="AO133" s="1864"/>
      <c r="AP133" s="1864"/>
      <c r="AQ133" s="1864"/>
      <c r="AR133" s="1864"/>
      <c r="AS133" s="1864"/>
      <c r="AT133" s="1864"/>
      <c r="AU133" s="1864"/>
      <c r="AV133" s="1864"/>
      <c r="AW133" s="1864"/>
      <c r="AX133" s="1864"/>
      <c r="AY133" s="1864"/>
      <c r="AZ133" s="1864"/>
      <c r="BA133" s="1864"/>
      <c r="BB133" s="1864"/>
      <c r="BC133" s="1864"/>
      <c r="BD133" s="1864"/>
      <c r="BE133" s="1864"/>
      <c r="BF133" s="1864"/>
      <c r="BG133" s="1864"/>
      <c r="BH133" s="1864"/>
      <c r="BI133" s="1864"/>
      <c r="BJ133" s="1864"/>
      <c r="BK133" s="1864"/>
      <c r="BL133" s="1864"/>
      <c r="BM133" s="1864"/>
      <c r="BN133" s="1864"/>
      <c r="BO133" s="1864"/>
      <c r="BP133" s="1864"/>
      <c r="BQ133" s="1864"/>
      <c r="BR133" s="1864"/>
      <c r="BS133" s="1864"/>
      <c r="BT133" s="1864"/>
      <c r="BU133" s="1864"/>
      <c r="BV133" s="1864"/>
      <c r="BW133" s="1864"/>
      <c r="BX133" s="1864"/>
      <c r="BY133" s="1864"/>
      <c r="BZ133" s="1864"/>
      <c r="CA133" s="1864"/>
      <c r="CB133" s="1864"/>
      <c r="CC133" s="1864"/>
      <c r="CD133" s="1864"/>
      <c r="CE133" s="1864"/>
    </row>
    <row s="13158" customFormat="1" customHeight="1" ht="5.25" hidden="1">
      <c r="A134" s="2021"/>
      <c r="B134" s="1864"/>
      <c r="C134" s="1864"/>
      <c r="D134" s="2655"/>
      <c r="E134" s="858"/>
      <c r="F134" s="858"/>
      <c r="G134" s="858"/>
      <c r="H134" s="858"/>
      <c r="I134" s="858"/>
      <c r="J134" s="858"/>
      <c r="K134" s="858"/>
      <c r="L134" s="858"/>
      <c r="M134" s="858"/>
      <c r="N134" s="858"/>
      <c r="O134" s="858"/>
      <c r="P134" s="858"/>
      <c r="Q134" s="858"/>
      <c r="R134" s="858"/>
      <c r="S134" s="859"/>
      <c r="T134" s="941"/>
      <c r="U134" s="2508"/>
      <c r="V134" s="2508"/>
      <c r="W134" s="1864"/>
      <c r="X134" s="1864"/>
      <c r="Y134" s="1864"/>
      <c r="Z134" s="1864"/>
      <c r="AA134" s="1864"/>
      <c r="AB134" s="1864"/>
      <c r="AC134" s="1261"/>
      <c r="AD134" s="1262"/>
      <c r="AE134" s="1864"/>
      <c r="AF134" s="1864"/>
      <c r="AG134" s="1864"/>
      <c r="AH134" s="1864"/>
      <c r="AI134" s="1864"/>
      <c r="AJ134" s="1864"/>
      <c r="AK134" s="1864"/>
      <c r="AL134" s="1864"/>
      <c r="AM134" s="1864"/>
      <c r="AN134" s="1864"/>
      <c r="AO134" s="1864"/>
      <c r="AP134" s="1864"/>
      <c r="AQ134" s="1864"/>
      <c r="AR134" s="1864"/>
      <c r="AS134" s="1864"/>
      <c r="AT134" s="1864"/>
      <c r="AU134" s="1864"/>
      <c r="AV134" s="1864"/>
      <c r="AW134" s="1864"/>
      <c r="AX134" s="1864"/>
      <c r="AY134" s="1864"/>
      <c r="AZ134" s="1864"/>
      <c r="BA134" s="1864"/>
      <c r="BB134" s="1864"/>
      <c r="BC134" s="1864"/>
      <c r="BD134" s="1864"/>
      <c r="BE134" s="1864"/>
      <c r="BF134" s="1864"/>
      <c r="BG134" s="1864"/>
      <c r="BH134" s="1864"/>
      <c r="BI134" s="1864"/>
      <c r="BJ134" s="1864"/>
      <c r="BK134" s="1864"/>
      <c r="BL134" s="1864"/>
      <c r="BM134" s="1864"/>
      <c r="BN134" s="1864"/>
      <c r="BO134" s="1864"/>
      <c r="BP134" s="1864"/>
      <c r="BQ134" s="1864"/>
      <c r="BR134" s="1864"/>
      <c r="BS134" s="1864"/>
      <c r="BT134" s="1864"/>
      <c r="BU134" s="1864"/>
      <c r="BV134" s="1864"/>
      <c r="BW134" s="1864"/>
      <c r="BX134" s="1864"/>
      <c r="BY134" s="1864"/>
      <c r="BZ134" s="1864"/>
      <c r="CA134" s="1864"/>
      <c r="CB134" s="1864"/>
      <c r="CC134" s="1864"/>
      <c r="CD134" s="1864"/>
      <c r="CE134" s="1864"/>
    </row>
    <row s="13158" customFormat="1" customHeight="1" ht="5.25" hidden="1">
      <c r="A135" s="2021"/>
      <c r="B135" s="1864"/>
      <c r="C135" s="1864"/>
      <c r="D135" s="2656"/>
      <c r="E135" s="1267"/>
      <c r="F135" s="1268"/>
      <c r="G135" s="1268"/>
      <c r="H135" s="1269"/>
      <c r="I135" s="1269"/>
      <c r="J135" s="1269"/>
      <c r="K135" s="1269"/>
      <c r="L135" s="1269"/>
      <c r="M135" s="1269"/>
      <c r="N135" s="1269"/>
      <c r="O135" s="1269"/>
      <c r="P135" s="1269"/>
      <c r="Q135" s="1269"/>
      <c r="R135" s="1170"/>
      <c r="S135" s="1270"/>
      <c r="T135" s="941"/>
      <c r="U135" s="2508"/>
      <c r="V135" s="2508"/>
      <c r="W135" s="1864"/>
      <c r="X135" s="1864"/>
      <c r="Y135" s="1864"/>
      <c r="Z135" s="1864"/>
      <c r="AA135" s="1864"/>
      <c r="AB135" s="1864"/>
      <c r="AC135" s="1261"/>
      <c r="AD135" s="1262"/>
      <c r="AE135" s="1864"/>
      <c r="AF135" s="1864"/>
      <c r="AG135" s="1864"/>
      <c r="AH135" s="1864"/>
      <c r="AI135" s="1864"/>
      <c r="AJ135" s="1864"/>
      <c r="AK135" s="1864"/>
      <c r="AL135" s="1864"/>
      <c r="AM135" s="1864"/>
      <c r="AN135" s="1864"/>
      <c r="AO135" s="1864"/>
      <c r="AP135" s="1864"/>
      <c r="AQ135" s="1864"/>
      <c r="AR135" s="1864"/>
      <c r="AS135" s="1864"/>
      <c r="AT135" s="1864"/>
      <c r="AU135" s="1864"/>
      <c r="AV135" s="1864"/>
      <c r="AW135" s="1864"/>
      <c r="AX135" s="1864"/>
      <c r="AY135" s="1864"/>
      <c r="AZ135" s="1864"/>
      <c r="BA135" s="1864"/>
      <c r="BB135" s="1864"/>
      <c r="BC135" s="1864"/>
      <c r="BD135" s="1864"/>
      <c r="BE135" s="1864"/>
      <c r="BF135" s="1864"/>
      <c r="BG135" s="1864"/>
      <c r="BH135" s="1864"/>
      <c r="BI135" s="1864"/>
      <c r="BJ135" s="1864"/>
      <c r="BK135" s="1864"/>
      <c r="BL135" s="1864"/>
      <c r="BM135" s="1864"/>
      <c r="BN135" s="1864"/>
      <c r="BO135" s="1864"/>
      <c r="BP135" s="1864"/>
      <c r="BQ135" s="1864"/>
      <c r="BR135" s="1864"/>
      <c r="BS135" s="1864"/>
      <c r="BT135" s="1864"/>
      <c r="BU135" s="1864"/>
      <c r="BV135" s="1864"/>
      <c r="BW135" s="1864"/>
      <c r="BX135" s="1864"/>
      <c r="BY135" s="1864"/>
      <c r="BZ135" s="1864"/>
      <c r="CA135" s="1864"/>
      <c r="CB135" s="1864"/>
      <c r="CC135" s="1864"/>
      <c r="CD135" s="1864"/>
      <c r="CE135" s="1864"/>
    </row>
    <row customHeight="1" ht="17.25">
      <c r="D136" s="2064"/>
    </row>
    <row s="17563" customFormat="1" customHeight="1" ht="11.25">
      <c r="A137" s="2043" t="s">
        <v>1851</v>
      </c>
    </row>
    <row r="139" s="12863" customFormat="1" customHeight="1" ht="45">
      <c r="A139" s="2034"/>
      <c r="B139" s="1385"/>
      <c r="C139" s="635"/>
      <c r="D139" s="312"/>
      <c r="E139" s="2660"/>
      <c r="F139" s="2265" t="s">
        <v>108</v>
      </c>
      <c r="G139" s="2663" t="s">
        <v>24</v>
      </c>
      <c r="H139" s="512"/>
      <c r="I139" s="860" t="s">
        <v>108</v>
      </c>
      <c r="J139" s="2035" t="s">
        <v>1852</v>
      </c>
      <c r="K139" s="861" t="s">
        <v>549</v>
      </c>
      <c r="L139" s="2355" t="s">
        <v>549</v>
      </c>
      <c r="M139" s="2665"/>
      <c r="N139" s="861" t="s">
        <v>549</v>
      </c>
      <c r="O139" s="861" t="s">
        <v>549</v>
      </c>
      <c r="P139" s="861" t="s">
        <v>549</v>
      </c>
      <c r="Q139" s="862">
        <f>SUM(Q140:Q142)</f>
        <v>0</v>
      </c>
      <c r="R139" s="862">
        <f>IF(R136=0,0,(Q136/R136)*100)</f>
        <v>0</v>
      </c>
      <c r="S139" s="2324"/>
      <c r="T139" s="940" t="s">
        <v>615</v>
      </c>
      <c r="U139" s="312"/>
      <c r="V139" s="312"/>
      <c r="AC139" s="312"/>
    </row>
    <row s="12863" customFormat="1" customHeight="1" ht="11.25">
      <c r="A140" s="2034"/>
      <c r="B140" s="1385"/>
      <c r="C140" s="635"/>
      <c r="D140" s="312"/>
      <c r="E140" s="2661"/>
      <c r="F140" s="2265"/>
      <c r="G140" s="2663"/>
      <c r="H140" s="2254"/>
      <c r="I140" s="2649" t="s">
        <v>942</v>
      </c>
      <c r="J140" s="2657"/>
      <c r="K140" s="2658"/>
      <c r="L140" s="863"/>
      <c r="M140" s="864" t="s">
        <v>108</v>
      </c>
      <c r="N140" s="2023"/>
      <c r="O140" s="865"/>
      <c r="P140" s="866"/>
      <c r="Q140" s="865"/>
      <c r="R140" s="867">
        <v>0</v>
      </c>
      <c r="S140" s="2324"/>
      <c r="T140" s="940"/>
      <c r="U140" s="312"/>
      <c r="V140" s="312"/>
      <c r="AC140" s="312"/>
    </row>
    <row s="12863" customFormat="1" customHeight="1" ht="11.25">
      <c r="A141" s="2034"/>
      <c r="B141" s="1385"/>
      <c r="C141" s="635"/>
      <c r="D141" s="312"/>
      <c r="E141" s="2661"/>
      <c r="F141" s="2265"/>
      <c r="G141" s="2663"/>
      <c r="H141" s="2254"/>
      <c r="I141" s="2649"/>
      <c r="J141" s="2657"/>
      <c r="K141" s="2659"/>
      <c r="L141" s="868"/>
      <c r="M141" s="869"/>
      <c r="N141" s="870" t="s">
        <v>1853</v>
      </c>
      <c r="O141" s="870"/>
      <c r="P141" s="870"/>
      <c r="Q141" s="870"/>
      <c r="R141" s="871"/>
      <c r="S141" s="2324"/>
      <c r="T141" s="940"/>
      <c r="U141" s="312"/>
      <c r="V141" s="312"/>
      <c r="AC141" s="312"/>
    </row>
    <row s="12863" customFormat="1" customHeight="1" ht="11.25">
      <c r="A142" s="2034"/>
      <c r="B142" s="1385"/>
      <c r="C142" s="635"/>
      <c r="D142" s="312"/>
      <c r="E142" s="2662"/>
      <c r="F142" s="2265"/>
      <c r="G142" s="2664"/>
      <c r="H142" s="868" t="s">
        <v>24</v>
      </c>
      <c r="I142" s="869"/>
      <c r="J142" s="870" t="s">
        <v>1854</v>
      </c>
      <c r="K142" s="870"/>
      <c r="L142" s="870"/>
      <c r="M142" s="870"/>
      <c r="N142" s="870"/>
      <c r="O142" s="870"/>
      <c r="P142" s="870"/>
      <c r="Q142" s="870"/>
      <c r="R142" s="871"/>
      <c r="S142" s="2324"/>
      <c r="T142" s="940"/>
      <c r="U142" s="312"/>
      <c r="V142" s="312"/>
      <c r="AC142" s="312"/>
    </row>
    <row r="147" s="12863" customFormat="1" customHeight="1" ht="11.25">
      <c r="A147" s="2034"/>
      <c r="B147" s="1385"/>
      <c r="C147" s="635"/>
      <c r="D147" s="312"/>
      <c r="E147" s="2058"/>
      <c r="F147" s="2058"/>
      <c r="G147" s="2058"/>
      <c r="H147" s="2254"/>
      <c r="I147" s="2649" t="s">
        <v>942</v>
      </c>
      <c r="J147" s="2657"/>
      <c r="K147" s="2658"/>
      <c r="L147" s="863"/>
      <c r="M147" s="864" t="s">
        <v>108</v>
      </c>
      <c r="N147" s="2023"/>
      <c r="O147" s="865"/>
      <c r="P147" s="866"/>
      <c r="Q147" s="865"/>
      <c r="R147" s="867">
        <v>0</v>
      </c>
      <c r="S147" s="312"/>
      <c r="T147" s="940"/>
      <c r="U147" s="312"/>
      <c r="V147" s="312"/>
      <c r="AC147" s="312"/>
    </row>
    <row s="12863" customFormat="1" customHeight="1" ht="11.25">
      <c r="A148" s="2034"/>
      <c r="B148" s="1385"/>
      <c r="C148" s="635"/>
      <c r="D148" s="312"/>
      <c r="E148" s="2058"/>
      <c r="F148" s="2058"/>
      <c r="G148" s="2058"/>
      <c r="H148" s="2254"/>
      <c r="I148" s="2649"/>
      <c r="J148" s="2657"/>
      <c r="K148" s="2659"/>
      <c r="L148" s="868"/>
      <c r="M148" s="869"/>
      <c r="N148" s="870" t="s">
        <v>1853</v>
      </c>
      <c r="O148" s="870"/>
      <c r="P148" s="870"/>
      <c r="Q148" s="870"/>
      <c r="R148" s="871"/>
      <c r="S148" s="312"/>
      <c r="T148" s="940"/>
      <c r="U148" s="312"/>
      <c r="V148" s="312"/>
      <c r="AC148" s="312"/>
    </row>
    <row r="150" s="12863" customFormat="1" customHeight="1" ht="11.25">
      <c r="A150" s="2034"/>
      <c r="B150" s="1385"/>
      <c r="C150" s="635"/>
      <c r="D150" s="312"/>
      <c r="E150" s="2065"/>
      <c r="F150" s="2063"/>
      <c r="G150" s="2063"/>
      <c r="H150" s="2066"/>
      <c r="I150" s="2058"/>
      <c r="J150" s="2059"/>
      <c r="K150" s="2059"/>
      <c r="L150" s="863"/>
      <c r="M150" s="864" t="s">
        <v>108</v>
      </c>
      <c r="N150" s="2023"/>
      <c r="O150" s="865"/>
      <c r="P150" s="866"/>
      <c r="Q150" s="865"/>
      <c r="R150" s="867">
        <v>0</v>
      </c>
      <c r="S150" s="312"/>
      <c r="T150" s="940"/>
      <c r="U150" s="312"/>
      <c r="V150" s="312"/>
      <c r="AC150" s="312"/>
    </row>
    <row r="152" s="17563" customFormat="1" customHeight="1" ht="17.25">
      <c r="A152" s="2043" t="s">
        <v>1855</v>
      </c>
    </row>
    <row customHeight="1" ht="17.25">
      <c r="G153" s="2067"/>
      <c r="H153" s="2067"/>
      <c r="I153" s="2067"/>
      <c r="M153" s="2063"/>
    </row>
    <row s="17761" customFormat="1" customHeight="1" ht="17.25">
      <c r="A154" s="2068"/>
      <c r="C154" s="2070"/>
      <c r="D154" s="2646"/>
      <c r="E154" s="2280"/>
      <c r="F154" s="2282"/>
      <c r="G154" s="2652"/>
      <c r="H154" s="2646"/>
      <c r="I154" s="2646">
        <v>1</v>
      </c>
      <c r="J154" s="2672"/>
      <c r="K154" s="2327" t="s">
        <v>66</v>
      </c>
      <c r="L154" s="2265"/>
      <c r="M154" s="2265" t="s">
        <v>108</v>
      </c>
      <c r="N154" s="2670" t="str">
        <f>IF(Z154="","",INDEX(TERRITORY_MR_LIST,MATCH(Z154,TERRITORY_LIST_ID,0)))</f>
        <v/>
      </c>
      <c r="O154" s="2327" t="s">
        <v>66</v>
      </c>
      <c r="P154" s="2265"/>
      <c r="Q154" s="2265" t="s">
        <v>108</v>
      </c>
      <c r="R154" s="2651" t="s">
        <v>24</v>
      </c>
      <c r="S154" s="2264" t="s">
        <v>66</v>
      </c>
      <c r="T154" s="2039"/>
      <c r="U154" s="2039" t="s">
        <v>108</v>
      </c>
      <c r="V154" s="2071" t="s">
        <v>24</v>
      </c>
      <c r="W154" s="2029"/>
      <c r="Y154" s="1495"/>
      <c r="Z154" s="1495"/>
      <c r="AA154" s="1495"/>
      <c r="AB154" s="1495"/>
      <c r="AC154" s="1495"/>
      <c r="AD154" s="1495"/>
      <c r="AE154" s="1495"/>
      <c r="AF154" s="1495"/>
      <c r="AG154" s="1495"/>
      <c r="AH154" s="1495"/>
      <c r="AI154" s="1495"/>
      <c r="AJ154" s="1495"/>
      <c r="AK154" s="1495"/>
      <c r="AL154" s="2072"/>
      <c r="AM154" s="2072"/>
      <c r="AN154" s="1495"/>
      <c r="AO154" s="1495"/>
      <c r="AP154" s="1495"/>
      <c r="AQ154" s="1495"/>
    </row>
    <row s="17761" customFormat="1" customHeight="1" ht="17.25">
      <c r="A155" s="2068"/>
      <c r="C155" s="2073"/>
      <c r="D155" s="2646"/>
      <c r="E155" s="2280"/>
      <c r="F155" s="2283"/>
      <c r="G155" s="2652"/>
      <c r="H155" s="2646"/>
      <c r="I155" s="2646"/>
      <c r="J155" s="2672"/>
      <c r="K155" s="2328"/>
      <c r="L155" s="2265"/>
      <c r="M155" s="2265"/>
      <c r="N155" s="2670"/>
      <c r="O155" s="2328"/>
      <c r="P155" s="2265"/>
      <c r="Q155" s="2265"/>
      <c r="R155" s="2651"/>
      <c r="S155" s="2264"/>
      <c r="T155" s="540"/>
      <c r="U155" s="541"/>
      <c r="V155" s="541" t="s">
        <v>415</v>
      </c>
      <c r="W155" s="542"/>
      <c r="Y155" s="1487"/>
      <c r="Z155" s="1487"/>
      <c r="AA155" s="1487"/>
      <c r="AB155" s="1487"/>
      <c r="AC155" s="1487"/>
      <c r="AD155" s="1487"/>
      <c r="AE155" s="1487"/>
      <c r="AF155" s="1487"/>
      <c r="AG155" s="1487"/>
      <c r="AH155" s="1487"/>
      <c r="AI155" s="1487"/>
      <c r="AJ155" s="1487"/>
      <c r="AK155" s="1487"/>
    </row>
    <row s="17761" customFormat="1" customHeight="1" ht="17.25">
      <c r="A156" s="2068"/>
      <c r="C156" s="2073"/>
      <c r="D156" s="2647"/>
      <c r="E156" s="2669"/>
      <c r="F156" s="2283"/>
      <c r="G156" s="2653"/>
      <c r="H156" s="2647"/>
      <c r="I156" s="2647"/>
      <c r="J156" s="2673"/>
      <c r="K156" s="2328"/>
      <c r="L156" s="2647"/>
      <c r="M156" s="2647"/>
      <c r="N156" s="2671"/>
      <c r="O156" s="2269"/>
      <c r="P156" s="540"/>
      <c r="Q156" s="541"/>
      <c r="R156" s="541" t="s">
        <v>252</v>
      </c>
      <c r="S156" s="2074"/>
      <c r="T156" s="2074"/>
      <c r="U156" s="2074"/>
      <c r="V156" s="2074"/>
      <c r="W156" s="542"/>
      <c r="Y156" s="1487"/>
      <c r="Z156" s="1487"/>
      <c r="AA156" s="1487"/>
      <c r="AB156" s="1487"/>
      <c r="AC156" s="1487"/>
      <c r="AD156" s="1487"/>
      <c r="AE156" s="1487"/>
      <c r="AF156" s="1487"/>
      <c r="AG156" s="1487"/>
      <c r="AH156" s="1487"/>
      <c r="AI156" s="1487"/>
      <c r="AJ156" s="1487"/>
      <c r="AK156" s="1487"/>
    </row>
    <row s="17761" customFormat="1" customHeight="1" ht="17.25">
      <c r="A157" s="2068"/>
      <c r="C157" s="2073"/>
      <c r="D157" s="2647"/>
      <c r="E157" s="2669"/>
      <c r="F157" s="2283"/>
      <c r="G157" s="2653"/>
      <c r="H157" s="2647"/>
      <c r="I157" s="2647"/>
      <c r="J157" s="2673"/>
      <c r="K157" s="2269"/>
      <c r="L157" s="540"/>
      <c r="M157" s="541"/>
      <c r="N157" s="541" t="s">
        <v>253</v>
      </c>
      <c r="O157" s="541"/>
      <c r="P157" s="541"/>
      <c r="Q157" s="541"/>
      <c r="R157" s="541"/>
      <c r="S157" s="2074"/>
      <c r="T157" s="2074"/>
      <c r="U157" s="2074"/>
      <c r="V157" s="2074"/>
      <c r="W157" s="542"/>
      <c r="Y157" s="1487"/>
      <c r="Z157" s="1487"/>
      <c r="AA157" s="1487"/>
      <c r="AB157" s="1487"/>
      <c r="AC157" s="1487"/>
      <c r="AD157" s="1487"/>
      <c r="AE157" s="1487"/>
      <c r="AF157" s="1487"/>
      <c r="AG157" s="1487"/>
      <c r="AH157" s="1487"/>
      <c r="AI157" s="1487"/>
      <c r="AJ157" s="1487"/>
      <c r="AK157" s="1487"/>
    </row>
    <row s="17761" customFormat="1" customHeight="1" ht="17.25">
      <c r="A158" s="2068"/>
      <c r="C158" s="2073"/>
      <c r="D158" s="2647"/>
      <c r="E158" s="2669"/>
      <c r="F158" s="2284"/>
      <c r="G158" s="2653"/>
      <c r="H158" s="540"/>
      <c r="I158" s="541"/>
      <c r="J158" s="541" t="s">
        <v>254</v>
      </c>
      <c r="K158" s="541"/>
      <c r="L158" s="541"/>
      <c r="M158" s="541"/>
      <c r="N158" s="541"/>
      <c r="O158" s="541"/>
      <c r="P158" s="541"/>
      <c r="Q158" s="541"/>
      <c r="R158" s="541"/>
      <c r="S158" s="2074"/>
      <c r="T158" s="2074"/>
      <c r="U158" s="2074"/>
      <c r="V158" s="2074"/>
      <c r="W158" s="542"/>
      <c r="Y158" s="1487"/>
      <c r="Z158" s="1487"/>
      <c r="AA158" s="1487"/>
      <c r="AB158" s="1487"/>
      <c r="AC158" s="1487"/>
      <c r="AD158" s="1487"/>
      <c r="AE158" s="1487"/>
      <c r="AF158" s="1487"/>
      <c r="AG158" s="1487"/>
      <c r="AH158" s="1487"/>
      <c r="AI158" s="1487"/>
      <c r="AJ158" s="1487"/>
      <c r="AK158" s="1487"/>
    </row>
    <row customHeight="1" ht="17.25">
      <c r="G159" s="2067"/>
      <c r="H159" s="2067"/>
      <c r="I159" s="2067"/>
      <c r="M159" s="2063"/>
    </row>
    <row s="17761" customFormat="1" customHeight="1" ht="17.25">
      <c r="A160" s="2068"/>
      <c r="C160" s="2070"/>
      <c r="D160" s="2058"/>
      <c r="E160" s="2075"/>
      <c r="F160" s="2012"/>
      <c r="G160" s="2076"/>
      <c r="H160" s="2646"/>
      <c r="I160" s="2646">
        <v>1</v>
      </c>
      <c r="J160" s="2672"/>
      <c r="K160" s="2327" t="s">
        <v>66</v>
      </c>
      <c r="L160" s="2265"/>
      <c r="M160" s="2265" t="s">
        <v>108</v>
      </c>
      <c r="N160" s="2670" t="str">
        <f>IF(Z160="","",INDEX(TERRITORY_MR_LIST,MATCH(Z160,TERRITORY_LIST_ID,0)))</f>
        <v/>
      </c>
      <c r="O160" s="2327" t="s">
        <v>66</v>
      </c>
      <c r="P160" s="2265"/>
      <c r="Q160" s="2265" t="s">
        <v>108</v>
      </c>
      <c r="R160" s="2651" t="s">
        <v>24</v>
      </c>
      <c r="S160" s="2264" t="s">
        <v>66</v>
      </c>
      <c r="T160" s="2039"/>
      <c r="U160" s="2039" t="s">
        <v>108</v>
      </c>
      <c r="V160" s="2071" t="s">
        <v>24</v>
      </c>
      <c r="W160" s="2029"/>
      <c r="Y160" s="1495"/>
      <c r="Z160" s="1495"/>
      <c r="AA160" s="1495"/>
      <c r="AB160" s="1495"/>
      <c r="AC160" s="1495"/>
      <c r="AD160" s="1495"/>
      <c r="AE160" s="1495"/>
      <c r="AF160" s="1495"/>
      <c r="AG160" s="1495"/>
      <c r="AH160" s="1495"/>
      <c r="AI160" s="1495"/>
      <c r="AJ160" s="1495"/>
      <c r="AK160" s="1495"/>
      <c r="AL160" s="2072"/>
      <c r="AM160" s="2072"/>
      <c r="AN160" s="1495"/>
      <c r="AO160" s="1495"/>
      <c r="AP160" s="1495"/>
      <c r="AQ160" s="1495"/>
    </row>
    <row s="17761" customFormat="1" customHeight="1" ht="17.25">
      <c r="A161" s="2068"/>
      <c r="C161" s="2073"/>
      <c r="D161" s="2058"/>
      <c r="E161" s="2075"/>
      <c r="F161" s="2012"/>
      <c r="G161" s="2076"/>
      <c r="H161" s="2646"/>
      <c r="I161" s="2646"/>
      <c r="J161" s="2672"/>
      <c r="K161" s="2328"/>
      <c r="L161" s="2265"/>
      <c r="M161" s="2265"/>
      <c r="N161" s="2670"/>
      <c r="O161" s="2328"/>
      <c r="P161" s="2265"/>
      <c r="Q161" s="2265"/>
      <c r="R161" s="2651"/>
      <c r="S161" s="2264"/>
      <c r="T161" s="540"/>
      <c r="U161" s="541"/>
      <c r="V161" s="541" t="s">
        <v>415</v>
      </c>
      <c r="W161" s="542"/>
      <c r="Y161" s="1487"/>
      <c r="Z161" s="1487"/>
      <c r="AA161" s="1487"/>
      <c r="AB161" s="1487"/>
      <c r="AC161" s="1487"/>
      <c r="AD161" s="1487"/>
      <c r="AE161" s="1487"/>
      <c r="AF161" s="1487"/>
      <c r="AG161" s="1487"/>
      <c r="AH161" s="1487"/>
      <c r="AI161" s="1487"/>
      <c r="AJ161" s="1487"/>
      <c r="AK161" s="1487"/>
    </row>
    <row s="17761" customFormat="1" customHeight="1" ht="17.25">
      <c r="A162" s="2068"/>
      <c r="C162" s="2073"/>
      <c r="D162" s="2058"/>
      <c r="E162" s="2075"/>
      <c r="F162" s="2012"/>
      <c r="G162" s="2076"/>
      <c r="H162" s="2647"/>
      <c r="I162" s="2647"/>
      <c r="J162" s="2673"/>
      <c r="K162" s="2328"/>
      <c r="L162" s="2647"/>
      <c r="M162" s="2647"/>
      <c r="N162" s="2671"/>
      <c r="O162" s="2269"/>
      <c r="P162" s="540"/>
      <c r="Q162" s="541"/>
      <c r="R162" s="541" t="s">
        <v>252</v>
      </c>
      <c r="S162" s="2074"/>
      <c r="T162" s="2074"/>
      <c r="U162" s="2074"/>
      <c r="V162" s="2074"/>
      <c r="W162" s="542"/>
      <c r="Y162" s="1487"/>
      <c r="Z162" s="1487"/>
      <c r="AA162" s="1487"/>
      <c r="AB162" s="1487"/>
      <c r="AC162" s="1487"/>
      <c r="AD162" s="1487"/>
      <c r="AE162" s="1487"/>
      <c r="AF162" s="1487"/>
      <c r="AG162" s="1487"/>
      <c r="AH162" s="1487"/>
      <c r="AI162" s="1487"/>
      <c r="AJ162" s="1487"/>
      <c r="AK162" s="1487"/>
    </row>
    <row s="17761" customFormat="1" customHeight="1" ht="17.25">
      <c r="A163" s="2068"/>
      <c r="C163" s="2073"/>
      <c r="D163" s="2058"/>
      <c r="E163" s="2075"/>
      <c r="F163" s="2012"/>
      <c r="G163" s="2076"/>
      <c r="H163" s="2647"/>
      <c r="I163" s="2647"/>
      <c r="J163" s="2673"/>
      <c r="K163" s="2269"/>
      <c r="L163" s="540"/>
      <c r="M163" s="541"/>
      <c r="N163" s="541" t="s">
        <v>253</v>
      </c>
      <c r="O163" s="541"/>
      <c r="P163" s="541"/>
      <c r="Q163" s="541"/>
      <c r="R163" s="541"/>
      <c r="S163" s="2074"/>
      <c r="T163" s="2074"/>
      <c r="U163" s="2074"/>
      <c r="V163" s="2074"/>
      <c r="W163" s="542"/>
      <c r="Y163" s="1487"/>
      <c r="Z163" s="1487"/>
      <c r="AA163" s="1487"/>
      <c r="AB163" s="1487"/>
      <c r="AC163" s="1487"/>
      <c r="AD163" s="1487"/>
      <c r="AE163" s="1487"/>
      <c r="AF163" s="1487"/>
      <c r="AG163" s="1487"/>
      <c r="AH163" s="1487"/>
      <c r="AI163" s="1487"/>
      <c r="AJ163" s="1487"/>
      <c r="AK163" s="1487"/>
    </row>
    <row customHeight="1" ht="17.25">
      <c r="G164" s="2067"/>
      <c r="H164" s="2067"/>
      <c r="I164" s="2067"/>
      <c r="M164" s="2063"/>
    </row>
    <row s="17761" customFormat="1" customHeight="1" ht="17.25">
      <c r="A165" s="2068"/>
      <c r="C165" s="2070"/>
      <c r="D165" s="2058"/>
      <c r="E165" s="2075"/>
      <c r="F165" s="2012"/>
      <c r="G165" s="2076"/>
      <c r="H165" s="2058"/>
      <c r="I165" s="2058"/>
      <c r="J165" s="2077"/>
      <c r="K165" s="1988"/>
      <c r="L165" s="2265"/>
      <c r="M165" s="2265" t="s">
        <v>108</v>
      </c>
      <c r="N165" s="2670" t="str">
        <f>IF(Z165="","",INDEX(TERRITORY_MR_LIST,MATCH(Z165,TERRITORY_LIST_ID,0)))</f>
        <v/>
      </c>
      <c r="O165" s="2327" t="s">
        <v>66</v>
      </c>
      <c r="P165" s="2265"/>
      <c r="Q165" s="2265" t="s">
        <v>108</v>
      </c>
      <c r="R165" s="2651" t="s">
        <v>24</v>
      </c>
      <c r="S165" s="2264" t="s">
        <v>66</v>
      </c>
      <c r="T165" s="2039"/>
      <c r="U165" s="2039" t="s">
        <v>108</v>
      </c>
      <c r="V165" s="2071" t="s">
        <v>24</v>
      </c>
      <c r="W165" s="2029"/>
      <c r="Y165" s="1495"/>
      <c r="Z165" s="1495"/>
      <c r="AA165" s="1495"/>
      <c r="AB165" s="1495"/>
      <c r="AC165" s="1495"/>
      <c r="AD165" s="1495"/>
      <c r="AE165" s="1495"/>
      <c r="AF165" s="1495"/>
      <c r="AG165" s="1495"/>
      <c r="AH165" s="1495"/>
      <c r="AI165" s="1495"/>
      <c r="AJ165" s="1495"/>
      <c r="AK165" s="1495"/>
      <c r="AL165" s="2072"/>
      <c r="AM165" s="2072"/>
      <c r="AN165" s="1495"/>
      <c r="AO165" s="1495"/>
      <c r="AP165" s="1495"/>
      <c r="AQ165" s="1495"/>
    </row>
    <row s="17761" customFormat="1" customHeight="1" ht="17.25">
      <c r="A166" s="2068"/>
      <c r="C166" s="2073"/>
      <c r="D166" s="2058"/>
      <c r="E166" s="2075"/>
      <c r="F166" s="2012"/>
      <c r="G166" s="2076"/>
      <c r="H166" s="2058"/>
      <c r="I166" s="2058"/>
      <c r="J166" s="2077"/>
      <c r="K166" s="1988"/>
      <c r="L166" s="2265"/>
      <c r="M166" s="2265"/>
      <c r="N166" s="2670"/>
      <c r="O166" s="2328"/>
      <c r="P166" s="2265"/>
      <c r="Q166" s="2265"/>
      <c r="R166" s="2651"/>
      <c r="S166" s="2264"/>
      <c r="T166" s="540"/>
      <c r="U166" s="541"/>
      <c r="V166" s="541" t="s">
        <v>415</v>
      </c>
      <c r="W166" s="542"/>
      <c r="Y166" s="1487"/>
      <c r="Z166" s="1487"/>
      <c r="AA166" s="1487"/>
      <c r="AB166" s="1487"/>
      <c r="AC166" s="1487"/>
      <c r="AD166" s="1487"/>
      <c r="AE166" s="1487"/>
      <c r="AF166" s="1487"/>
      <c r="AG166" s="1487"/>
      <c r="AH166" s="1487"/>
      <c r="AI166" s="1487"/>
      <c r="AJ166" s="1487"/>
      <c r="AK166" s="1487"/>
    </row>
    <row s="17761" customFormat="1" customHeight="1" ht="17.25">
      <c r="A167" s="2068"/>
      <c r="C167" s="2073"/>
      <c r="D167" s="2058"/>
      <c r="E167" s="2075"/>
      <c r="F167" s="2012"/>
      <c r="G167" s="2076"/>
      <c r="H167" s="2058"/>
      <c r="I167" s="2058"/>
      <c r="J167" s="2077"/>
      <c r="K167" s="1988"/>
      <c r="L167" s="2647"/>
      <c r="M167" s="2647"/>
      <c r="N167" s="2671"/>
      <c r="O167" s="2269"/>
      <c r="P167" s="540"/>
      <c r="Q167" s="541"/>
      <c r="R167" s="541" t="s">
        <v>252</v>
      </c>
      <c r="S167" s="2074"/>
      <c r="T167" s="2074"/>
      <c r="U167" s="2074"/>
      <c r="V167" s="2074"/>
      <c r="W167" s="542"/>
      <c r="Y167" s="1487"/>
      <c r="Z167" s="1487"/>
      <c r="AA167" s="1487"/>
      <c r="AB167" s="1487"/>
      <c r="AC167" s="1487"/>
      <c r="AD167" s="1487"/>
      <c r="AE167" s="1487"/>
      <c r="AF167" s="1487"/>
      <c r="AG167" s="1487"/>
      <c r="AH167" s="1487"/>
      <c r="AI167" s="1487"/>
      <c r="AJ167" s="1487"/>
      <c r="AK167" s="1487"/>
    </row>
    <row customHeight="1" ht="17.25">
      <c r="G168" s="2067"/>
      <c r="H168" s="2067"/>
      <c r="I168" s="2067"/>
      <c r="M168" s="2063"/>
    </row>
    <row s="17761" customFormat="1" customHeight="1" ht="17.25">
      <c r="A169" s="2068"/>
      <c r="C169" s="2070"/>
      <c r="D169" s="2058"/>
      <c r="E169" s="2075"/>
      <c r="F169" s="2012"/>
      <c r="G169" s="2076"/>
      <c r="H169" s="2058"/>
      <c r="I169" s="2058"/>
      <c r="J169" s="2077"/>
      <c r="K169" s="1988"/>
      <c r="L169" s="1984"/>
      <c r="M169" s="1984"/>
      <c r="N169" s="2078"/>
      <c r="O169" s="2015"/>
      <c r="P169" s="2265"/>
      <c r="Q169" s="2265" t="s">
        <v>108</v>
      </c>
      <c r="R169" s="2651" t="s">
        <v>24</v>
      </c>
      <c r="S169" s="2264" t="s">
        <v>66</v>
      </c>
      <c r="T169" s="2039"/>
      <c r="U169" s="2039" t="s">
        <v>108</v>
      </c>
      <c r="V169" s="2071" t="s">
        <v>24</v>
      </c>
      <c r="W169" s="2029"/>
      <c r="Y169" s="1495"/>
      <c r="Z169" s="1495"/>
      <c r="AA169" s="1495"/>
      <c r="AB169" s="1495"/>
      <c r="AC169" s="1495"/>
      <c r="AD169" s="1495"/>
      <c r="AE169" s="1495"/>
      <c r="AF169" s="1495"/>
      <c r="AG169" s="1495"/>
      <c r="AH169" s="1495"/>
      <c r="AI169" s="1495"/>
      <c r="AJ169" s="1495"/>
      <c r="AK169" s="1495"/>
      <c r="AL169" s="2072"/>
      <c r="AM169" s="2072"/>
      <c r="AN169" s="1495"/>
      <c r="AO169" s="1495"/>
      <c r="AP169" s="1495"/>
      <c r="AQ169" s="1495"/>
    </row>
    <row s="17761" customFormat="1" customHeight="1" ht="17.25">
      <c r="A170" s="2068"/>
      <c r="C170" s="2073"/>
      <c r="D170" s="2058"/>
      <c r="E170" s="2075"/>
      <c r="F170" s="2012"/>
      <c r="G170" s="2076"/>
      <c r="H170" s="2058"/>
      <c r="I170" s="2058"/>
      <c r="J170" s="2077"/>
      <c r="K170" s="1988"/>
      <c r="L170" s="1984"/>
      <c r="M170" s="1984"/>
      <c r="N170" s="2078"/>
      <c r="O170" s="2015"/>
      <c r="P170" s="2265"/>
      <c r="Q170" s="2265"/>
      <c r="R170" s="2651"/>
      <c r="S170" s="2264"/>
      <c r="T170" s="540"/>
      <c r="U170" s="541"/>
      <c r="V170" s="541" t="s">
        <v>415</v>
      </c>
      <c r="W170" s="542"/>
      <c r="Y170" s="1487"/>
      <c r="Z170" s="1487"/>
      <c r="AA170" s="1487"/>
      <c r="AB170" s="1487"/>
      <c r="AC170" s="1487"/>
      <c r="AD170" s="1487"/>
      <c r="AE170" s="1487"/>
      <c r="AF170" s="1487"/>
      <c r="AG170" s="1487"/>
      <c r="AH170" s="1487"/>
      <c r="AI170" s="1487"/>
      <c r="AJ170" s="1487"/>
      <c r="AK170" s="1487"/>
    </row>
    <row customHeight="1" ht="17.25">
      <c r="G171" s="2067"/>
      <c r="H171" s="2067"/>
      <c r="I171" s="2067"/>
      <c r="M171" s="2063"/>
    </row>
    <row s="17761" customFormat="1" customHeight="1" ht="17.25">
      <c r="A172" s="2068"/>
      <c r="C172" s="2070"/>
      <c r="D172" s="2058"/>
      <c r="E172" s="2075"/>
      <c r="F172" s="2012"/>
      <c r="G172" s="2076"/>
      <c r="H172" s="1984"/>
      <c r="I172" s="1984"/>
      <c r="J172" s="1985"/>
      <c r="K172" s="2076"/>
      <c r="L172" s="1984"/>
      <c r="M172" s="1984"/>
      <c r="N172" s="2076"/>
      <c r="O172" s="2076"/>
      <c r="P172" s="1984"/>
      <c r="Q172" s="1984"/>
      <c r="R172" s="1986"/>
      <c r="S172" s="2076"/>
      <c r="T172" s="2039"/>
      <c r="U172" s="2039" t="s">
        <v>108</v>
      </c>
      <c r="V172" s="2071" t="s">
        <v>24</v>
      </c>
      <c r="W172" s="2029"/>
      <c r="Y172" s="1495"/>
      <c r="Z172" s="1495"/>
      <c r="AA172" s="1495"/>
      <c r="AB172" s="1495"/>
      <c r="AC172" s="1495"/>
      <c r="AD172" s="1495"/>
      <c r="AE172" s="1495"/>
      <c r="AF172" s="1495"/>
      <c r="AG172" s="1495"/>
      <c r="AH172" s="1495"/>
      <c r="AI172" s="1495"/>
      <c r="AJ172" s="1495"/>
      <c r="AK172" s="1495"/>
      <c r="AL172" s="2072"/>
      <c r="AM172" s="2072"/>
      <c r="AN172" s="1495"/>
      <c r="AO172" s="1495"/>
      <c r="AP172" s="1495"/>
      <c r="AQ172" s="1495"/>
    </row>
    <row r="174" s="17563" customFormat="1" customHeight="1" ht="17.25">
      <c r="A174" s="2043" t="s">
        <v>1856</v>
      </c>
    </row>
    <row customHeight="1" ht="17.25">
      <c r="G175" s="2067"/>
      <c r="H175" s="2067"/>
      <c r="I175" s="2067"/>
      <c r="M175" s="2063"/>
    </row>
    <row s="17761" customFormat="1" customHeight="1" ht="17.25">
      <c r="A176" s="2068"/>
      <c r="C176" s="2070"/>
      <c r="D176" s="2646"/>
      <c r="E176" s="2280"/>
      <c r="F176" s="2282"/>
      <c r="G176" s="2652"/>
      <c r="H176" s="2646"/>
      <c r="I176" s="2646">
        <v>1</v>
      </c>
      <c r="J176" s="2672"/>
      <c r="K176" s="2327" t="s">
        <v>66</v>
      </c>
      <c r="L176" s="2265"/>
      <c r="M176" s="2265" t="s">
        <v>108</v>
      </c>
      <c r="N176" s="2670" t="str">
        <f>IF(Z176="","",INDEX(TERRITORY_MR_LIST,MATCH(Z176,TERRITORY_LIST_ID,0)))</f>
        <v/>
      </c>
      <c r="O176" s="2327" t="s">
        <v>66</v>
      </c>
      <c r="P176" s="2265"/>
      <c r="Q176" s="2265" t="s">
        <v>108</v>
      </c>
      <c r="R176" s="2651" t="s">
        <v>24</v>
      </c>
      <c r="S176" s="2525" t="s">
        <v>56</v>
      </c>
      <c r="T176" s="2030"/>
      <c r="U176" s="2030" t="s">
        <v>108</v>
      </c>
      <c r="V176" s="1662"/>
      <c r="W176" s="2672"/>
      <c r="Y176" s="1495"/>
      <c r="Z176" s="1495"/>
      <c r="AA176" s="1495"/>
      <c r="AB176" s="1495"/>
      <c r="AC176" s="1495"/>
      <c r="AD176" s="1495"/>
      <c r="AE176" s="1495"/>
      <c r="AF176" s="1495"/>
      <c r="AG176" s="1495"/>
      <c r="AH176" s="1495"/>
      <c r="AI176" s="1495"/>
      <c r="AJ176" s="1495"/>
      <c r="AK176" s="1495"/>
      <c r="AL176" s="2072"/>
      <c r="AM176" s="2072"/>
      <c r="AN176" s="1495"/>
      <c r="AO176" s="1495"/>
      <c r="AP176" s="1495"/>
      <c r="AQ176" s="1495"/>
    </row>
    <row s="17761" customFormat="1" customHeight="1" ht="17.25">
      <c r="A177" s="2068"/>
      <c r="C177" s="2073"/>
      <c r="D177" s="2646"/>
      <c r="E177" s="2280"/>
      <c r="F177" s="2283"/>
      <c r="G177" s="2652"/>
      <c r="H177" s="2646"/>
      <c r="I177" s="2646"/>
      <c r="J177" s="2672"/>
      <c r="K177" s="2328"/>
      <c r="L177" s="2265"/>
      <c r="M177" s="2265"/>
      <c r="N177" s="2670"/>
      <c r="O177" s="2328"/>
      <c r="P177" s="2265"/>
      <c r="Q177" s="2265"/>
      <c r="R177" s="2651"/>
      <c r="S177" s="2525"/>
      <c r="T177" s="1663"/>
      <c r="U177" s="1664"/>
      <c r="V177" s="1664"/>
      <c r="W177" s="2672"/>
      <c r="Y177" s="1487"/>
      <c r="Z177" s="1487"/>
      <c r="AA177" s="1487"/>
      <c r="AB177" s="1487"/>
      <c r="AC177" s="1487"/>
      <c r="AD177" s="1487"/>
      <c r="AE177" s="1487"/>
      <c r="AF177" s="1487"/>
      <c r="AG177" s="1487"/>
      <c r="AH177" s="1487"/>
      <c r="AI177" s="1487"/>
      <c r="AJ177" s="1487"/>
      <c r="AK177" s="1487"/>
    </row>
    <row s="17761" customFormat="1" customHeight="1" ht="17.25">
      <c r="A178" s="2068"/>
      <c r="C178" s="2073"/>
      <c r="D178" s="2647"/>
      <c r="E178" s="2669"/>
      <c r="F178" s="2283"/>
      <c r="G178" s="2653"/>
      <c r="H178" s="2647"/>
      <c r="I178" s="2647"/>
      <c r="J178" s="2673"/>
      <c r="K178" s="2328"/>
      <c r="L178" s="2647"/>
      <c r="M178" s="2647"/>
      <c r="N178" s="2671"/>
      <c r="O178" s="2269"/>
      <c r="P178" s="540"/>
      <c r="Q178" s="541"/>
      <c r="R178" s="541" t="s">
        <v>252</v>
      </c>
      <c r="S178" s="2074"/>
      <c r="T178" s="2074"/>
      <c r="U178" s="2074"/>
      <c r="V178" s="2074"/>
      <c r="W178" s="1661"/>
      <c r="Y178" s="1487"/>
      <c r="Z178" s="1487"/>
      <c r="AA178" s="1487"/>
      <c r="AB178" s="1487"/>
      <c r="AC178" s="1487"/>
      <c r="AD178" s="1487"/>
      <c r="AE178" s="1487"/>
      <c r="AF178" s="1487"/>
      <c r="AG178" s="1487"/>
      <c r="AH178" s="1487"/>
      <c r="AI178" s="1487"/>
      <c r="AJ178" s="1487"/>
      <c r="AK178" s="1487"/>
    </row>
    <row s="17761" customFormat="1" customHeight="1" ht="17.25">
      <c r="A179" s="2068"/>
      <c r="C179" s="2073"/>
      <c r="D179" s="2647"/>
      <c r="E179" s="2669"/>
      <c r="F179" s="2283"/>
      <c r="G179" s="2653"/>
      <c r="H179" s="2647"/>
      <c r="I179" s="2647"/>
      <c r="J179" s="2673"/>
      <c r="K179" s="2269"/>
      <c r="L179" s="540"/>
      <c r="M179" s="541"/>
      <c r="N179" s="541" t="s">
        <v>253</v>
      </c>
      <c r="O179" s="541"/>
      <c r="P179" s="541"/>
      <c r="Q179" s="541"/>
      <c r="R179" s="541"/>
      <c r="S179" s="2074"/>
      <c r="T179" s="2074"/>
      <c r="U179" s="2074"/>
      <c r="V179" s="2074"/>
      <c r="W179" s="542"/>
      <c r="Y179" s="1487"/>
      <c r="Z179" s="1487"/>
      <c r="AA179" s="1487"/>
      <c r="AB179" s="1487"/>
      <c r="AC179" s="1487"/>
      <c r="AD179" s="1487"/>
      <c r="AE179" s="1487"/>
      <c r="AF179" s="1487"/>
      <c r="AG179" s="1487"/>
      <c r="AH179" s="1487"/>
      <c r="AI179" s="1487"/>
      <c r="AJ179" s="1487"/>
      <c r="AK179" s="1487"/>
    </row>
    <row s="17761" customFormat="1" customHeight="1" ht="17.25">
      <c r="A180" s="2068"/>
      <c r="C180" s="2073"/>
      <c r="D180" s="2647"/>
      <c r="E180" s="2669"/>
      <c r="F180" s="2284"/>
      <c r="G180" s="2653"/>
      <c r="H180" s="540"/>
      <c r="I180" s="541"/>
      <c r="J180" s="541" t="s">
        <v>254</v>
      </c>
      <c r="K180" s="541"/>
      <c r="L180" s="541"/>
      <c r="M180" s="541"/>
      <c r="N180" s="541"/>
      <c r="O180" s="541"/>
      <c r="P180" s="541"/>
      <c r="Q180" s="541"/>
      <c r="R180" s="541"/>
      <c r="S180" s="2074"/>
      <c r="T180" s="2074"/>
      <c r="U180" s="2074"/>
      <c r="V180" s="2074"/>
      <c r="W180" s="542"/>
      <c r="Y180" s="1487"/>
      <c r="Z180" s="1487"/>
      <c r="AA180" s="1487"/>
      <c r="AB180" s="1487"/>
      <c r="AC180" s="1487"/>
      <c r="AD180" s="1487"/>
      <c r="AE180" s="1487"/>
      <c r="AF180" s="1487"/>
      <c r="AG180" s="1487"/>
      <c r="AH180" s="1487"/>
      <c r="AI180" s="1487"/>
      <c r="AJ180" s="1487"/>
      <c r="AK180" s="1487"/>
    </row>
    <row customHeight="1" ht="17.25">
      <c r="A181" s="2079"/>
    </row>
    <row s="17761" customFormat="1" customHeight="1" ht="17.25">
      <c r="A182" s="2068"/>
      <c r="C182" s="2070"/>
      <c r="D182" s="2058"/>
      <c r="E182" s="2075"/>
      <c r="F182" s="2012"/>
      <c r="G182" s="2076"/>
      <c r="H182" s="2646"/>
      <c r="I182" s="2646">
        <v>1</v>
      </c>
      <c r="J182" s="2672"/>
      <c r="K182" s="2327" t="s">
        <v>66</v>
      </c>
      <c r="L182" s="2265"/>
      <c r="M182" s="2265" t="s">
        <v>108</v>
      </c>
      <c r="N182" s="2670" t="str">
        <f>IF(Z182="","",INDEX(TERRITORY_MR_LIST,MATCH(Z182,TERRITORY_LIST_ID,0)))</f>
        <v/>
      </c>
      <c r="O182" s="2327" t="s">
        <v>66</v>
      </c>
      <c r="P182" s="2265"/>
      <c r="Q182" s="2265" t="s">
        <v>108</v>
      </c>
      <c r="R182" s="2651" t="s">
        <v>24</v>
      </c>
      <c r="S182" s="2525" t="s">
        <v>56</v>
      </c>
      <c r="T182" s="2030"/>
      <c r="U182" s="2030" t="s">
        <v>108</v>
      </c>
      <c r="V182" s="1662"/>
      <c r="W182" s="2672"/>
      <c r="Y182" s="1495"/>
      <c r="Z182" s="1495"/>
      <c r="AA182" s="1495"/>
      <c r="AB182" s="1495"/>
      <c r="AC182" s="1495"/>
      <c r="AD182" s="1495"/>
      <c r="AE182" s="1495"/>
      <c r="AF182" s="1495"/>
      <c r="AG182" s="1495"/>
      <c r="AH182" s="1495"/>
      <c r="AI182" s="1495"/>
      <c r="AJ182" s="1495"/>
      <c r="AK182" s="1495"/>
      <c r="AL182" s="2072"/>
      <c r="AM182" s="2072"/>
      <c r="AN182" s="1495"/>
      <c r="AO182" s="1495"/>
      <c r="AP182" s="1495"/>
      <c r="AQ182" s="1495"/>
    </row>
    <row s="17761" customFormat="1" customHeight="1" ht="17.25">
      <c r="A183" s="2068"/>
      <c r="C183" s="2073"/>
      <c r="D183" s="2058"/>
      <c r="E183" s="2075"/>
      <c r="F183" s="2012"/>
      <c r="G183" s="2076"/>
      <c r="H183" s="2646"/>
      <c r="I183" s="2646"/>
      <c r="J183" s="2672"/>
      <c r="K183" s="2328"/>
      <c r="L183" s="2265"/>
      <c r="M183" s="2265"/>
      <c r="N183" s="2670"/>
      <c r="O183" s="2328"/>
      <c r="P183" s="2265"/>
      <c r="Q183" s="2265"/>
      <c r="R183" s="2651"/>
      <c r="S183" s="2525"/>
      <c r="T183" s="1663"/>
      <c r="U183" s="1664"/>
      <c r="V183" s="1664"/>
      <c r="W183" s="2672"/>
      <c r="Y183" s="1487"/>
      <c r="Z183" s="1487"/>
      <c r="AA183" s="1487"/>
      <c r="AB183" s="1487"/>
      <c r="AC183" s="1487"/>
      <c r="AD183" s="1487"/>
      <c r="AE183" s="1487"/>
      <c r="AF183" s="1487"/>
      <c r="AG183" s="1487"/>
      <c r="AH183" s="1487"/>
      <c r="AI183" s="1487"/>
      <c r="AJ183" s="1487"/>
      <c r="AK183" s="1487"/>
    </row>
    <row s="17761" customFormat="1" customHeight="1" ht="17.25">
      <c r="A184" s="2068"/>
      <c r="C184" s="2073"/>
      <c r="D184" s="2058"/>
      <c r="E184" s="2075"/>
      <c r="F184" s="2012"/>
      <c r="G184" s="2076"/>
      <c r="H184" s="2647"/>
      <c r="I184" s="2647"/>
      <c r="J184" s="2673"/>
      <c r="K184" s="2328"/>
      <c r="L184" s="2647"/>
      <c r="M184" s="2647"/>
      <c r="N184" s="2671"/>
      <c r="O184" s="2269"/>
      <c r="P184" s="540"/>
      <c r="Q184" s="541"/>
      <c r="R184" s="541" t="s">
        <v>252</v>
      </c>
      <c r="S184" s="2074"/>
      <c r="T184" s="2074"/>
      <c r="U184" s="2074"/>
      <c r="V184" s="2074"/>
      <c r="W184" s="1661"/>
      <c r="Y184" s="1487"/>
      <c r="Z184" s="1487"/>
      <c r="AA184" s="1487"/>
      <c r="AB184" s="1487"/>
      <c r="AC184" s="1487"/>
      <c r="AD184" s="1487"/>
      <c r="AE184" s="1487"/>
      <c r="AF184" s="1487"/>
      <c r="AG184" s="1487"/>
      <c r="AH184" s="1487"/>
      <c r="AI184" s="1487"/>
      <c r="AJ184" s="1487"/>
      <c r="AK184" s="1487"/>
    </row>
    <row s="17761" customFormat="1" customHeight="1" ht="17.25">
      <c r="A185" s="2068"/>
      <c r="C185" s="2073"/>
      <c r="D185" s="2058"/>
      <c r="E185" s="2075"/>
      <c r="F185" s="2012"/>
      <c r="G185" s="2076"/>
      <c r="H185" s="2647"/>
      <c r="I185" s="2647"/>
      <c r="J185" s="2673"/>
      <c r="K185" s="2269"/>
      <c r="L185" s="540"/>
      <c r="M185" s="541"/>
      <c r="N185" s="541" t="s">
        <v>253</v>
      </c>
      <c r="O185" s="541"/>
      <c r="P185" s="541"/>
      <c r="Q185" s="541"/>
      <c r="R185" s="541"/>
      <c r="S185" s="2074"/>
      <c r="T185" s="2074"/>
      <c r="U185" s="2074"/>
      <c r="V185" s="2074"/>
      <c r="W185" s="542"/>
      <c r="Y185" s="1487"/>
      <c r="Z185" s="1487"/>
      <c r="AA185" s="1487"/>
      <c r="AB185" s="1487"/>
      <c r="AC185" s="1487"/>
      <c r="AD185" s="1487"/>
      <c r="AE185" s="1487"/>
      <c r="AF185" s="1487"/>
      <c r="AG185" s="1487"/>
      <c r="AH185" s="1487"/>
      <c r="AI185" s="1487"/>
      <c r="AJ185" s="1487"/>
      <c r="AK185" s="1487"/>
    </row>
    <row customHeight="1" ht="17.25">
      <c r="A186" s="2079"/>
    </row>
    <row s="17761" customFormat="1" customHeight="1" ht="17.25">
      <c r="A187" s="2068"/>
      <c r="C187" s="2070"/>
      <c r="D187" s="2058"/>
      <c r="E187" s="2075"/>
      <c r="F187" s="2012"/>
      <c r="G187" s="2076"/>
      <c r="H187" s="2058"/>
      <c r="I187" s="2058"/>
      <c r="J187" s="2080"/>
      <c r="K187" s="2076"/>
      <c r="L187" s="2265"/>
      <c r="M187" s="2265" t="s">
        <v>108</v>
      </c>
      <c r="N187" s="2670" t="str">
        <f>IF(Z187="","",INDEX(TERRITORY_MR_LIST,MATCH(Z187,TERRITORY_LIST_ID,0)))</f>
        <v/>
      </c>
      <c r="O187" s="2327" t="s">
        <v>66</v>
      </c>
      <c r="P187" s="2265"/>
      <c r="Q187" s="2265" t="s">
        <v>108</v>
      </c>
      <c r="R187" s="2651" t="s">
        <v>24</v>
      </c>
      <c r="S187" s="2525" t="s">
        <v>56</v>
      </c>
      <c r="T187" s="2030"/>
      <c r="U187" s="2030" t="s">
        <v>108</v>
      </c>
      <c r="V187" s="1662"/>
      <c r="W187" s="2672"/>
      <c r="Y187" s="1495"/>
      <c r="Z187" s="1495"/>
      <c r="AA187" s="1495"/>
      <c r="AB187" s="1495"/>
      <c r="AC187" s="1495"/>
      <c r="AD187" s="1495"/>
      <c r="AE187" s="1495"/>
      <c r="AF187" s="1495"/>
      <c r="AG187" s="1495"/>
      <c r="AH187" s="1495"/>
      <c r="AI187" s="1495"/>
      <c r="AJ187" s="1495"/>
      <c r="AK187" s="1495"/>
      <c r="AL187" s="2072"/>
      <c r="AM187" s="2072"/>
      <c r="AN187" s="1495"/>
      <c r="AO187" s="1495"/>
      <c r="AP187" s="1495"/>
      <c r="AQ187" s="1495"/>
    </row>
    <row s="17761" customFormat="1" customHeight="1" ht="17.25">
      <c r="A188" s="2068"/>
      <c r="C188" s="2073"/>
      <c r="D188" s="2058"/>
      <c r="E188" s="2075"/>
      <c r="F188" s="2012"/>
      <c r="G188" s="2076"/>
      <c r="H188" s="2058"/>
      <c r="I188" s="2058"/>
      <c r="J188" s="2080"/>
      <c r="K188" s="2076"/>
      <c r="L188" s="2265"/>
      <c r="M188" s="2265"/>
      <c r="N188" s="2670"/>
      <c r="O188" s="2328"/>
      <c r="P188" s="2265"/>
      <c r="Q188" s="2265"/>
      <c r="R188" s="2651"/>
      <c r="S188" s="2525"/>
      <c r="T188" s="1663"/>
      <c r="U188" s="1664"/>
      <c r="V188" s="1664"/>
      <c r="W188" s="2672"/>
      <c r="Y188" s="1487"/>
      <c r="Z188" s="1487"/>
      <c r="AA188" s="1487"/>
      <c r="AB188" s="1487"/>
      <c r="AC188" s="1487"/>
      <c r="AD188" s="1487"/>
      <c r="AE188" s="1487"/>
      <c r="AF188" s="1487"/>
      <c r="AG188" s="1487"/>
      <c r="AH188" s="1487"/>
      <c r="AI188" s="1487"/>
      <c r="AJ188" s="1487"/>
      <c r="AK188" s="1487"/>
    </row>
    <row s="17761" customFormat="1" customHeight="1" ht="17.25">
      <c r="A189" s="2068"/>
      <c r="C189" s="2073"/>
      <c r="D189" s="2058"/>
      <c r="E189" s="2075"/>
      <c r="F189" s="2012"/>
      <c r="G189" s="2076"/>
      <c r="H189" s="2058"/>
      <c r="I189" s="2058"/>
      <c r="J189" s="2080"/>
      <c r="K189" s="2076"/>
      <c r="L189" s="2647"/>
      <c r="M189" s="2647"/>
      <c r="N189" s="2671"/>
      <c r="O189" s="2269"/>
      <c r="P189" s="540"/>
      <c r="Q189" s="541"/>
      <c r="R189" s="541" t="s">
        <v>252</v>
      </c>
      <c r="S189" s="2074"/>
      <c r="T189" s="2074"/>
      <c r="U189" s="2074"/>
      <c r="V189" s="2074"/>
      <c r="W189" s="1661"/>
      <c r="Y189" s="1487"/>
      <c r="Z189" s="1487"/>
      <c r="AA189" s="1487"/>
      <c r="AB189" s="1487"/>
      <c r="AC189" s="1487"/>
      <c r="AD189" s="1487"/>
      <c r="AE189" s="1487"/>
      <c r="AF189" s="1487"/>
      <c r="AG189" s="1487"/>
      <c r="AH189" s="1487"/>
      <c r="AI189" s="1487"/>
      <c r="AJ189" s="1487"/>
      <c r="AK189" s="1487"/>
    </row>
    <row customHeight="1" ht="17.25">
      <c r="A190" s="2079"/>
    </row>
    <row s="17761" customFormat="1" customHeight="1" ht="17.25">
      <c r="A191" s="2068"/>
      <c r="C191" s="2070"/>
      <c r="D191" s="2058"/>
      <c r="E191" s="2075"/>
      <c r="F191" s="2012"/>
      <c r="G191" s="2076"/>
      <c r="H191" s="2058"/>
      <c r="I191" s="2058"/>
      <c r="J191" s="2080"/>
      <c r="K191" s="2076"/>
      <c r="L191" s="2058"/>
      <c r="M191" s="2058"/>
      <c r="N191" s="2078"/>
      <c r="O191" s="2015"/>
      <c r="P191" s="2265"/>
      <c r="Q191" s="2265" t="s">
        <v>108</v>
      </c>
      <c r="R191" s="2651" t="s">
        <v>24</v>
      </c>
      <c r="S191" s="2525" t="s">
        <v>56</v>
      </c>
      <c r="T191" s="2030"/>
      <c r="U191" s="2030" t="s">
        <v>108</v>
      </c>
      <c r="V191" s="1662"/>
      <c r="W191" s="2672"/>
      <c r="Y191" s="1495"/>
      <c r="Z191" s="1495"/>
      <c r="AA191" s="1495"/>
      <c r="AB191" s="1495"/>
      <c r="AC191" s="1495"/>
      <c r="AD191" s="1495"/>
      <c r="AE191" s="1495"/>
      <c r="AF191" s="1495"/>
      <c r="AG191" s="1495"/>
      <c r="AH191" s="1495"/>
      <c r="AI191" s="1495"/>
      <c r="AJ191" s="1495"/>
      <c r="AK191" s="1495"/>
      <c r="AL191" s="2072"/>
      <c r="AM191" s="2072"/>
      <c r="AN191" s="1495"/>
      <c r="AO191" s="1495"/>
      <c r="AP191" s="1495"/>
      <c r="AQ191" s="1495"/>
    </row>
    <row s="17761" customFormat="1" customHeight="1" ht="17.25">
      <c r="A192" s="2068"/>
      <c r="C192" s="2073"/>
      <c r="D192" s="2058"/>
      <c r="E192" s="2075"/>
      <c r="F192" s="2012"/>
      <c r="G192" s="2076"/>
      <c r="H192" s="2058"/>
      <c r="I192" s="2058"/>
      <c r="J192" s="2080"/>
      <c r="K192" s="2076"/>
      <c r="L192" s="2058"/>
      <c r="M192" s="2058"/>
      <c r="N192" s="2078"/>
      <c r="O192" s="2015"/>
      <c r="P192" s="2265"/>
      <c r="Q192" s="2265"/>
      <c r="R192" s="2651"/>
      <c r="S192" s="2525"/>
      <c r="T192" s="1663"/>
      <c r="U192" s="1664"/>
      <c r="V192" s="1664"/>
      <c r="W192" s="2672"/>
      <c r="Y192" s="1487"/>
      <c r="Z192" s="1487"/>
      <c r="AA192" s="1487"/>
      <c r="AB192" s="1487"/>
      <c r="AC192" s="1487"/>
      <c r="AD192" s="1487"/>
      <c r="AE192" s="1487"/>
      <c r="AF192" s="1487"/>
      <c r="AG192" s="1487"/>
      <c r="AH192" s="1487"/>
      <c r="AI192" s="1487"/>
      <c r="AJ192" s="1487"/>
      <c r="AK192" s="1487"/>
    </row>
    <row customHeight="1" ht="17.25">
      <c r="A193" s="2079"/>
    </row>
    <row customHeight="1" ht="16.5">
      <c r="A194" s="2068"/>
      <c r="B194" s="2069"/>
      <c r="C194" s="2073"/>
      <c r="D194" s="2683"/>
      <c r="E194" s="2324"/>
      <c r="F194" s="2324"/>
      <c r="G194" s="2254"/>
      <c r="H194" s="2684"/>
      <c r="I194" s="2674"/>
      <c r="J194" s="2289"/>
      <c r="K194" s="2272"/>
      <c r="L194" s="2272"/>
      <c r="M194" s="2272"/>
      <c r="N194" s="2666"/>
      <c r="O194" s="2272"/>
      <c r="P194" s="2272"/>
      <c r="Q194" s="2272"/>
      <c r="R194" s="2676"/>
      <c r="S194" s="2272"/>
      <c r="T194" s="2011"/>
      <c r="U194" s="2011"/>
      <c r="V194" s="2081"/>
      <c r="W194" s="1524"/>
    </row>
    <row customHeight="1" ht="16.5">
      <c r="A195" s="2068"/>
      <c r="B195" s="2069"/>
      <c r="C195" s="2073"/>
      <c r="D195" s="2683"/>
      <c r="E195" s="2324"/>
      <c r="F195" s="2324"/>
      <c r="G195" s="2254"/>
      <c r="H195" s="2685"/>
      <c r="I195" s="2675"/>
      <c r="J195" s="2290"/>
      <c r="K195" s="2273"/>
      <c r="L195" s="2273"/>
      <c r="M195" s="2273"/>
      <c r="N195" s="2667"/>
      <c r="O195" s="2273"/>
      <c r="P195" s="2273"/>
      <c r="Q195" s="2273"/>
      <c r="R195" s="2668"/>
      <c r="S195" s="2273"/>
      <c r="T195" s="1525"/>
      <c r="U195" s="1525"/>
      <c r="V195" s="1525"/>
      <c r="W195" s="1526"/>
    </row>
    <row customHeight="1" ht="17.25">
      <c r="A196" s="2068"/>
      <c r="B196" s="2069"/>
      <c r="C196" s="2073"/>
      <c r="D196" s="2683"/>
      <c r="E196" s="2324"/>
      <c r="F196" s="2324"/>
      <c r="G196" s="2254"/>
      <c r="H196" s="2685"/>
      <c r="I196" s="2675"/>
      <c r="J196" s="2686"/>
      <c r="K196" s="2273"/>
      <c r="L196" s="2273"/>
      <c r="M196" s="2273"/>
      <c r="N196" s="2668"/>
      <c r="O196" s="2273"/>
      <c r="P196" s="2014"/>
      <c r="Q196" s="1525"/>
      <c r="R196" s="1525"/>
      <c r="S196" s="2082"/>
      <c r="T196" s="2082"/>
      <c r="U196" s="2082"/>
      <c r="V196" s="2082"/>
      <c r="W196" s="1526"/>
    </row>
    <row customHeight="1" ht="17.25">
      <c r="A197" s="2068"/>
      <c r="B197" s="2069"/>
      <c r="C197" s="2073"/>
      <c r="D197" s="2683"/>
      <c r="E197" s="2324"/>
      <c r="F197" s="2324"/>
      <c r="G197" s="2254"/>
      <c r="H197" s="2685"/>
      <c r="I197" s="2675"/>
      <c r="J197" s="2686"/>
      <c r="K197" s="2273"/>
      <c r="L197" s="1525"/>
      <c r="M197" s="1525"/>
      <c r="N197" s="1525"/>
      <c r="O197" s="1525"/>
      <c r="P197" s="1525"/>
      <c r="Q197" s="1525"/>
      <c r="R197" s="1525"/>
      <c r="S197" s="2082"/>
      <c r="T197" s="2082"/>
      <c r="U197" s="2082"/>
      <c r="V197" s="2082"/>
      <c r="W197" s="1526"/>
    </row>
    <row customHeight="1" ht="17.25">
      <c r="A198" s="2068"/>
      <c r="B198" s="2069"/>
      <c r="C198" s="2073"/>
      <c r="D198" s="2683"/>
      <c r="E198" s="2324"/>
      <c r="F198" s="2324"/>
      <c r="G198" s="2254"/>
      <c r="H198" s="1527"/>
      <c r="I198" s="1528"/>
      <c r="J198" s="1528"/>
      <c r="K198" s="1528"/>
      <c r="L198" s="1528"/>
      <c r="M198" s="1528"/>
      <c r="N198" s="1528"/>
      <c r="O198" s="1528"/>
      <c r="P198" s="1528"/>
      <c r="Q198" s="1528"/>
      <c r="R198" s="1528"/>
      <c r="S198" s="2083"/>
      <c r="T198" s="2083"/>
      <c r="U198" s="2083"/>
      <c r="V198" s="2083"/>
      <c r="W198" s="1530"/>
    </row>
    <row r="200" s="17563" customFormat="1" customHeight="1" ht="17.25">
      <c r="A200" s="2043" t="s">
        <v>1857</v>
      </c>
    </row>
    <row customHeight="1" ht="17.25">
      <c r="G201" s="2067"/>
      <c r="H201" s="2067"/>
      <c r="I201" s="2067"/>
      <c r="M201" s="2063"/>
    </row>
    <row s="12863" customFormat="1" customHeight="1" ht="15">
      <c r="D202" s="2702"/>
      <c r="E202" s="2319"/>
      <c r="F202" s="2319"/>
      <c r="G202" s="2327"/>
      <c r="H202" s="1792"/>
      <c r="I202" s="2703">
        <v>1</v>
      </c>
      <c r="J202" s="2672"/>
      <c r="K202" s="1807"/>
      <c r="L202" s="2327" t="s">
        <v>66</v>
      </c>
      <c r="M202" s="2327" t="s">
        <v>66</v>
      </c>
      <c r="N202" s="1792"/>
      <c r="O202" s="2265" t="s">
        <v>108</v>
      </c>
      <c r="P202" s="2697"/>
      <c r="Q202" s="1808"/>
      <c r="R202" s="2327" t="s">
        <v>66</v>
      </c>
      <c r="S202" s="2327" t="s">
        <v>66</v>
      </c>
      <c r="T202" s="2084"/>
      <c r="U202" s="2265" t="s">
        <v>108</v>
      </c>
      <c r="V202" s="2699" t="str">
        <f>IF(AK202="","",INDEX(TERRITORY_MR_LIST,MATCH(AK202,TERRITORY_LIST_ID,0)))</f>
        <v/>
      </c>
      <c r="W202" s="1809"/>
      <c r="X202" s="2327" t="s">
        <v>66</v>
      </c>
      <c r="Y202" s="2327" t="s">
        <v>56</v>
      </c>
      <c r="Z202" s="1792"/>
      <c r="AA202" s="2265" t="s">
        <v>108</v>
      </c>
      <c r="AB202" s="2701"/>
      <c r="AC202" s="1810"/>
      <c r="AD202" s="2327" t="s">
        <v>66</v>
      </c>
      <c r="AE202" s="2327" t="s">
        <v>56</v>
      </c>
      <c r="AF202" s="1790"/>
      <c r="AG202" s="2039" t="s">
        <v>108</v>
      </c>
      <c r="AH202" s="1800"/>
      <c r="AI202" s="2029"/>
    </row>
    <row s="12863" customFormat="1" customHeight="1" ht="15">
      <c r="D203" s="2702"/>
      <c r="E203" s="2319"/>
      <c r="F203" s="2319"/>
      <c r="G203" s="2328"/>
      <c r="H203" s="1792"/>
      <c r="I203" s="2703"/>
      <c r="J203" s="2672"/>
      <c r="K203" s="1791"/>
      <c r="L203" s="2328"/>
      <c r="M203" s="2328"/>
      <c r="N203" s="1792"/>
      <c r="O203" s="2265"/>
      <c r="P203" s="2697"/>
      <c r="Q203" s="1788"/>
      <c r="R203" s="2328"/>
      <c r="S203" s="2328"/>
      <c r="T203" s="2084"/>
      <c r="U203" s="2265"/>
      <c r="V203" s="2700"/>
      <c r="W203" s="1789"/>
      <c r="X203" s="2328"/>
      <c r="Y203" s="2328"/>
      <c r="Z203" s="1792"/>
      <c r="AA203" s="2265"/>
      <c r="AB203" s="2618"/>
      <c r="AC203" s="1793"/>
      <c r="AD203" s="2269"/>
      <c r="AE203" s="2269"/>
      <c r="AF203" s="1794"/>
      <c r="AG203" s="1795"/>
      <c r="AH203" s="2705" t="s">
        <v>1858</v>
      </c>
      <c r="AI203" s="2706"/>
    </row>
    <row s="12863" customFormat="1" customHeight="1" ht="15">
      <c r="D204" s="2702"/>
      <c r="E204" s="2319"/>
      <c r="F204" s="2319"/>
      <c r="G204" s="2328"/>
      <c r="H204" s="1792"/>
      <c r="I204" s="2703"/>
      <c r="J204" s="2672"/>
      <c r="K204" s="1791"/>
      <c r="L204" s="2328"/>
      <c r="M204" s="2328"/>
      <c r="N204" s="1792"/>
      <c r="O204" s="2265"/>
      <c r="P204" s="2697"/>
      <c r="Q204" s="1788"/>
      <c r="R204" s="2328"/>
      <c r="S204" s="2328"/>
      <c r="T204" s="2084"/>
      <c r="U204" s="2265"/>
      <c r="V204" s="2700"/>
      <c r="W204" s="1789"/>
      <c r="X204" s="2328"/>
      <c r="Y204" s="2328"/>
      <c r="Z204" s="1831"/>
      <c r="AA204" s="1797"/>
      <c r="AB204" s="2707" t="s">
        <v>1859</v>
      </c>
      <c r="AC204" s="2707"/>
      <c r="AD204" s="2707"/>
      <c r="AE204" s="2707"/>
      <c r="AF204" s="2707"/>
      <c r="AG204" s="2707"/>
      <c r="AH204" s="2707"/>
      <c r="AI204" s="2708"/>
    </row>
    <row s="12863" customFormat="1" customHeight="1" ht="15">
      <c r="D205" s="2702"/>
      <c r="E205" s="2319"/>
      <c r="F205" s="2319"/>
      <c r="G205" s="2328"/>
      <c r="H205" s="1792"/>
      <c r="I205" s="2703"/>
      <c r="J205" s="2672"/>
      <c r="K205" s="1791"/>
      <c r="L205" s="2328"/>
      <c r="M205" s="2328"/>
      <c r="N205" s="1792"/>
      <c r="O205" s="2265"/>
      <c r="P205" s="2709"/>
      <c r="Q205" s="1788"/>
      <c r="R205" s="2328"/>
      <c r="S205" s="2328"/>
      <c r="T205" s="2085"/>
      <c r="U205" s="1832"/>
      <c r="V205" s="2705" t="s">
        <v>102</v>
      </c>
      <c r="W205" s="2705"/>
      <c r="X205" s="2705"/>
      <c r="Y205" s="2705"/>
      <c r="Z205" s="2705"/>
      <c r="AA205" s="2705"/>
      <c r="AB205" s="2705"/>
      <c r="AC205" s="2705"/>
      <c r="AD205" s="2705"/>
      <c r="AE205" s="2705"/>
      <c r="AF205" s="2705"/>
      <c r="AG205" s="2705"/>
      <c r="AH205" s="2705"/>
      <c r="AI205" s="2706"/>
    </row>
    <row s="12863" customFormat="1" customHeight="1" ht="11.25">
      <c r="D206" s="2702"/>
      <c r="E206" s="2319"/>
      <c r="F206" s="2319"/>
      <c r="G206" s="2328"/>
      <c r="H206" s="1796"/>
      <c r="I206" s="2703"/>
      <c r="J206" s="2704"/>
      <c r="K206" s="1791"/>
      <c r="L206" s="2328"/>
      <c r="M206" s="2328"/>
      <c r="N206" s="1796"/>
      <c r="O206" s="1797"/>
      <c r="P206" s="2705" t="s">
        <v>1860</v>
      </c>
      <c r="Q206" s="2705"/>
      <c r="R206" s="2705"/>
      <c r="S206" s="2705"/>
      <c r="T206" s="2705"/>
      <c r="U206" s="2705"/>
      <c r="V206" s="2705"/>
      <c r="W206" s="2705"/>
      <c r="X206" s="2705"/>
      <c r="Y206" s="2705"/>
      <c r="Z206" s="2705"/>
      <c r="AA206" s="2705"/>
      <c r="AB206" s="2705"/>
      <c r="AC206" s="2705"/>
      <c r="AD206" s="2705"/>
      <c r="AE206" s="2705"/>
      <c r="AF206" s="2705"/>
      <c r="AG206" s="2705"/>
      <c r="AH206" s="2705"/>
      <c r="AI206" s="2706"/>
    </row>
    <row s="13162" customFormat="1" customHeight="1" ht="11.25">
      <c r="D207" s="2702"/>
      <c r="E207" s="2319"/>
      <c r="F207" s="2319"/>
      <c r="G207" s="2269"/>
      <c r="H207" s="1798"/>
      <c r="I207" s="1799"/>
      <c r="J207" s="2705" t="s">
        <v>254</v>
      </c>
      <c r="K207" s="2705"/>
      <c r="L207" s="2705"/>
      <c r="M207" s="2705"/>
      <c r="N207" s="2705"/>
      <c r="O207" s="2705"/>
      <c r="P207" s="2705"/>
      <c r="Q207" s="2705"/>
      <c r="R207" s="2705"/>
      <c r="S207" s="2705"/>
      <c r="T207" s="2705"/>
      <c r="U207" s="2705"/>
      <c r="V207" s="2705"/>
      <c r="W207" s="2705"/>
      <c r="X207" s="2705"/>
      <c r="Y207" s="2705"/>
      <c r="Z207" s="2705"/>
      <c r="AA207" s="2705"/>
      <c r="AB207" s="2705"/>
      <c r="AC207" s="2705"/>
      <c r="AD207" s="2705"/>
      <c r="AE207" s="2705"/>
      <c r="AF207" s="2705"/>
      <c r="AG207" s="2705"/>
      <c r="AH207" s="2705"/>
      <c r="AI207" s="2706"/>
      <c r="BK207" s="1802"/>
    </row>
    <row customHeight="1" ht="17.25">
      <c r="G208" s="2067"/>
      <c r="I208" s="2067"/>
      <c r="J208" s="2067"/>
      <c r="N208" s="2063"/>
    </row>
    <row s="12863" customFormat="1" customHeight="1" ht="15">
      <c r="D209" s="2702"/>
      <c r="E209" s="2319"/>
      <c r="F209" s="2319"/>
      <c r="G209" s="2324"/>
      <c r="H209" s="1827"/>
      <c r="I209" s="2329"/>
      <c r="J209" s="2289"/>
      <c r="K209" s="2013"/>
      <c r="L209" s="2272"/>
      <c r="M209" s="2272"/>
      <c r="N209" s="1812"/>
      <c r="O209" s="2272"/>
      <c r="P209" s="2289"/>
      <c r="Q209" s="2017"/>
      <c r="R209" s="2272"/>
      <c r="S209" s="2272"/>
      <c r="T209" s="2086"/>
      <c r="U209" s="2272"/>
      <c r="V209" s="2289"/>
      <c r="W209" s="1815"/>
      <c r="X209" s="2272"/>
      <c r="Y209" s="2272"/>
      <c r="Z209" s="1812"/>
      <c r="AA209" s="2272"/>
      <c r="AB209" s="2289"/>
      <c r="AC209" s="1816"/>
      <c r="AD209" s="2272"/>
      <c r="AE209" s="2272"/>
      <c r="AF209" s="2011"/>
      <c r="AG209" s="2011"/>
      <c r="AH209" s="1817"/>
      <c r="AI209" s="1524"/>
    </row>
    <row s="12863" customFormat="1" customHeight="1" ht="15">
      <c r="D210" s="2702"/>
      <c r="E210" s="2319"/>
      <c r="F210" s="2319"/>
      <c r="G210" s="2324"/>
      <c r="H210" s="1828"/>
      <c r="I210" s="2330"/>
      <c r="J210" s="2290"/>
      <c r="K210" s="1838"/>
      <c r="L210" s="2273"/>
      <c r="M210" s="2273"/>
      <c r="N210" s="1818"/>
      <c r="O210" s="2273"/>
      <c r="P210" s="2290"/>
      <c r="Q210" s="2018"/>
      <c r="R210" s="2273"/>
      <c r="S210" s="2273"/>
      <c r="T210" s="2087"/>
      <c r="U210" s="2273"/>
      <c r="V210" s="2290"/>
      <c r="W210" s="1821"/>
      <c r="X210" s="2273"/>
      <c r="Y210" s="2273"/>
      <c r="Z210" s="1818"/>
      <c r="AA210" s="2273"/>
      <c r="AB210" s="2290"/>
      <c r="AC210" s="1822"/>
      <c r="AD210" s="2273"/>
      <c r="AE210" s="2273"/>
      <c r="AF210" s="2016"/>
      <c r="AG210" s="2016"/>
      <c r="AH210" s="2333"/>
      <c r="AI210" s="2334"/>
    </row>
    <row s="12863" customFormat="1" customHeight="1" ht="15">
      <c r="D211" s="2702"/>
      <c r="E211" s="2319"/>
      <c r="F211" s="2319"/>
      <c r="G211" s="2324"/>
      <c r="H211" s="1828"/>
      <c r="I211" s="2330"/>
      <c r="J211" s="2290"/>
      <c r="K211" s="1838"/>
      <c r="L211" s="2273"/>
      <c r="M211" s="2273"/>
      <c r="N211" s="1818"/>
      <c r="O211" s="2273"/>
      <c r="P211" s="2290"/>
      <c r="Q211" s="2018"/>
      <c r="R211" s="2273"/>
      <c r="S211" s="2273"/>
      <c r="T211" s="2087"/>
      <c r="U211" s="2273"/>
      <c r="V211" s="2290"/>
      <c r="W211" s="1821"/>
      <c r="X211" s="2273"/>
      <c r="Y211" s="2273"/>
      <c r="Z211" s="2014"/>
      <c r="AA211" s="2016"/>
      <c r="AB211" s="2333"/>
      <c r="AC211" s="2333"/>
      <c r="AD211" s="2333"/>
      <c r="AE211" s="2333"/>
      <c r="AF211" s="2333"/>
      <c r="AG211" s="2333"/>
      <c r="AH211" s="2333"/>
      <c r="AI211" s="2334"/>
    </row>
    <row s="12863" customFormat="1" customHeight="1" ht="15">
      <c r="D212" s="2702"/>
      <c r="E212" s="2319"/>
      <c r="F212" s="2319"/>
      <c r="G212" s="2324"/>
      <c r="H212" s="1828"/>
      <c r="I212" s="2330"/>
      <c r="J212" s="2290"/>
      <c r="K212" s="1838"/>
      <c r="L212" s="2273"/>
      <c r="M212" s="2273"/>
      <c r="N212" s="1818"/>
      <c r="O212" s="2273"/>
      <c r="P212" s="2290"/>
      <c r="Q212" s="2018"/>
      <c r="R212" s="2273"/>
      <c r="S212" s="2273"/>
      <c r="T212" s="2088"/>
      <c r="U212" s="1825"/>
      <c r="V212" s="2333"/>
      <c r="W212" s="2333"/>
      <c r="X212" s="2333"/>
      <c r="Y212" s="2333"/>
      <c r="Z212" s="2333"/>
      <c r="AA212" s="2333"/>
      <c r="AB212" s="2333"/>
      <c r="AC212" s="2333"/>
      <c r="AD212" s="2333"/>
      <c r="AE212" s="2333"/>
      <c r="AF212" s="2333"/>
      <c r="AG212" s="2333"/>
      <c r="AH212" s="2333"/>
      <c r="AI212" s="2334"/>
    </row>
    <row s="12863" customFormat="1" customHeight="1" ht="11.25">
      <c r="D213" s="2702"/>
      <c r="E213" s="2319"/>
      <c r="F213" s="2319"/>
      <c r="G213" s="2324"/>
      <c r="H213" s="1829"/>
      <c r="I213" s="2330"/>
      <c r="J213" s="2290"/>
      <c r="K213" s="1838"/>
      <c r="L213" s="2273"/>
      <c r="M213" s="2273"/>
      <c r="N213" s="2016"/>
      <c r="O213" s="2016"/>
      <c r="P213" s="2333"/>
      <c r="Q213" s="2333"/>
      <c r="R213" s="2333"/>
      <c r="S213" s="2333"/>
      <c r="T213" s="2333"/>
      <c r="U213" s="2333"/>
      <c r="V213" s="2333"/>
      <c r="W213" s="2333"/>
      <c r="X213" s="2333"/>
      <c r="Y213" s="2333"/>
      <c r="Z213" s="2333"/>
      <c r="AA213" s="2333"/>
      <c r="AB213" s="2333"/>
      <c r="AC213" s="2333"/>
      <c r="AD213" s="2333"/>
      <c r="AE213" s="2333"/>
      <c r="AF213" s="2333"/>
      <c r="AG213" s="2333"/>
      <c r="AH213" s="2333"/>
      <c r="AI213" s="2334"/>
    </row>
    <row s="13162" customFormat="1" customHeight="1" ht="11.25">
      <c r="D214" s="2702"/>
      <c r="E214" s="2319"/>
      <c r="F214" s="2319"/>
      <c r="G214" s="2335"/>
      <c r="H214" s="1826"/>
      <c r="I214" s="1830"/>
      <c r="J214" s="2331"/>
      <c r="K214" s="2331"/>
      <c r="L214" s="2331"/>
      <c r="M214" s="2331"/>
      <c r="N214" s="2331"/>
      <c r="O214" s="2331"/>
      <c r="P214" s="2331"/>
      <c r="Q214" s="2331"/>
      <c r="R214" s="2331"/>
      <c r="S214" s="2331"/>
      <c r="T214" s="2331"/>
      <c r="U214" s="2331"/>
      <c r="V214" s="2331"/>
      <c r="W214" s="2331"/>
      <c r="X214" s="2331"/>
      <c r="Y214" s="2331"/>
      <c r="Z214" s="2331"/>
      <c r="AA214" s="2331"/>
      <c r="AB214" s="2331"/>
      <c r="AC214" s="2331"/>
      <c r="AD214" s="2331"/>
      <c r="AE214" s="2331"/>
      <c r="AF214" s="2331"/>
      <c r="AG214" s="2331"/>
      <c r="AH214" s="2331"/>
      <c r="AI214" s="2332"/>
      <c r="BK214" s="1802"/>
    </row>
    <row customHeight="1" ht="17.25">
      <c r="A215" s="2079"/>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8F05D-D36A-0011-EB1F-A4D7EFA38F4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7863" width="43.140625"/>
    <col min="2" max="2" style="17863" width="43.140625" hidden="1"/>
    <col min="3" max="3" style="17863" width="43.140625"/>
    <col min="4" max="5" style="17863" width="36.421875" customWidth="1"/>
    <col min="6" max="8" style="17864" width="36.421875" customWidth="1"/>
  </cols>
  <sheetData>
    <row customHeight="1" ht="9">
      <c r="A1" s="1069" t="s">
        <v>1861</v>
      </c>
      <c r="B1" s="1069"/>
      <c r="C1" s="1206" t="s">
        <v>1862</v>
      </c>
      <c r="D1" s="1204" t="s">
        <v>725</v>
      </c>
      <c r="E1" s="1204" t="s">
        <v>771</v>
      </c>
      <c r="F1" s="1204" t="s">
        <v>826</v>
      </c>
      <c r="G1" s="1204" t="s">
        <v>812</v>
      </c>
      <c r="H1" s="1204" t="s">
        <v>1536</v>
      </c>
    </row>
    <row customHeight="1" ht="9">
      <c r="A2" s="1207" t="s">
        <v>1863</v>
      </c>
      <c r="B2" s="1207"/>
      <c r="C2" s="1208" t="str">
        <f>INDEX(TEMPLATE_NUMBER_FORM_LIST,MATCH(TEMPLATE_SPHERE,TEMPLATE_SPHERE_LIST,0))</f>
        <v>10</v>
      </c>
      <c r="D2" s="1207" t="s">
        <v>1387</v>
      </c>
      <c r="E2" s="1207" t="s">
        <v>148</v>
      </c>
      <c r="F2" s="1209" t="s">
        <v>148</v>
      </c>
      <c r="G2" s="1207" t="s">
        <v>148</v>
      </c>
      <c r="H2" s="1210"/>
    </row>
    <row customHeight="1" ht="63">
      <c r="A3" s="1069"/>
      <c r="B3" s="1069" t="s">
        <v>108</v>
      </c>
      <c r="C3" s="12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08" t="s">
        <v>1864</v>
      </c>
      <c r="E3" s="12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09"/>
      <c r="G3" s="1210"/>
      <c r="H3" s="1069"/>
    </row>
    <row customHeight="1" ht="243">
      <c r="A4" s="1069" t="s">
        <v>1865</v>
      </c>
      <c r="B4" s="1069" t="s">
        <v>109</v>
      </c>
      <c r="C4" s="1208" t="str">
        <f>IF(TEMPLATE_SPHERE="HEAT",D4,IF(TEMPLATE_SPHERE="TKO",H4,E4))</f>
        <v>Форма 1. Информация об организации, осуществляющей горячее водоснабжение (общая информация)</v>
      </c>
      <c r="D4" s="1207" t="s">
        <v>1866</v>
      </c>
      <c r="E4" s="12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07"/>
      <c r="G4" s="1207"/>
      <c r="H4" s="1069" t="s">
        <v>1867</v>
      </c>
    </row>
    <row customHeight="1" ht="117">
      <c r="A5" s="1069" t="s">
        <v>1868</v>
      </c>
      <c r="B5" s="1069" t="s">
        <v>89</v>
      </c>
      <c r="C5" s="12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69" t="s">
        <v>1869</v>
      </c>
      <c r="E5" s="107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10"/>
      <c r="G5" s="1210"/>
      <c r="H5" s="1069" t="s">
        <v>1870</v>
      </c>
    </row>
    <row customHeight="1" ht="45">
      <c r="A6" s="1069" t="s">
        <v>1871</v>
      </c>
      <c r="B6" s="1069" t="s">
        <v>90</v>
      </c>
      <c r="C6" s="12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69" t="s">
        <v>1872</v>
      </c>
      <c r="E6" s="107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69"/>
      <c r="G6" s="1069"/>
      <c r="H6" s="1210"/>
    </row>
    <row customHeight="1" ht="45">
      <c r="A7" s="1069" t="s">
        <v>1873</v>
      </c>
      <c r="B7" s="1069" t="s">
        <v>110</v>
      </c>
      <c r="C7" s="12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69" t="s">
        <v>1874</v>
      </c>
      <c r="E7" s="1069" t="s">
        <v>1875</v>
      </c>
      <c r="F7" s="1210"/>
      <c r="G7" s="1210"/>
      <c r="H7" s="1210"/>
    </row>
    <row customHeight="1" ht="108">
      <c r="A8" s="1069" t="s">
        <v>1876</v>
      </c>
      <c r="B8" s="1069" t="s">
        <v>91</v>
      </c>
      <c r="C8" s="12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69" t="s">
        <v>1075</v>
      </c>
      <c r="E8" s="1069" t="s">
        <v>1877</v>
      </c>
      <c r="F8" s="1210"/>
      <c r="G8" s="1210"/>
      <c r="H8" s="1210"/>
    </row>
    <row customHeight="1" ht="99">
      <c r="A9" s="1069" t="s">
        <v>1878</v>
      </c>
      <c r="B9" s="1069"/>
      <c r="C9" s="1069" t="s">
        <v>1879</v>
      </c>
      <c r="D9" s="1069"/>
      <c r="E9" s="1069"/>
      <c r="F9" s="1210"/>
      <c r="G9" s="1210"/>
      <c r="H9" s="1210"/>
    </row>
    <row customHeight="1" ht="126">
      <c r="A10" s="1069" t="s">
        <v>1880</v>
      </c>
      <c r="B10" s="1069"/>
      <c r="C10" s="1069" t="s">
        <v>1881</v>
      </c>
      <c r="D10" s="1069"/>
      <c r="E10" s="1069"/>
      <c r="F10" s="1210"/>
      <c r="G10" s="1210"/>
      <c r="H10" s="1210"/>
    </row>
    <row customHeight="1" ht="108">
      <c r="A11" s="1069" t="s">
        <v>1882</v>
      </c>
      <c r="B11" s="1069"/>
      <c r="C11" s="1069" t="s">
        <v>1883</v>
      </c>
      <c r="D11" s="1069"/>
      <c r="E11" s="1069"/>
      <c r="F11" s="1210"/>
      <c r="G11" s="1210"/>
      <c r="H11" s="1210"/>
    </row>
    <row customHeight="1" ht="54">
      <c r="A12" s="1069" t="s">
        <v>1884</v>
      </c>
      <c r="B12" s="1069"/>
      <c r="C12" s="1069" t="s">
        <v>1885</v>
      </c>
      <c r="D12" s="1069"/>
      <c r="E12" s="1069"/>
      <c r="F12" s="1210"/>
      <c r="G12" s="1210"/>
      <c r="H12" s="1210"/>
    </row>
    <row customHeight="1" ht="45">
      <c r="A13" s="1069" t="s">
        <v>1886</v>
      </c>
      <c r="B13" s="1069"/>
      <c r="C13" s="1069" t="s">
        <v>1887</v>
      </c>
      <c r="D13" s="1069"/>
      <c r="E13" s="1069"/>
      <c r="F13" s="1210"/>
      <c r="G13" s="1210"/>
      <c r="H13" s="1210"/>
    </row>
    <row customHeight="1" ht="117">
      <c r="A14" s="1069" t="s">
        <v>1888</v>
      </c>
      <c r="B14" s="1069"/>
      <c r="C14" s="1069" t="s">
        <v>1889</v>
      </c>
      <c r="D14" s="1069"/>
      <c r="E14" s="1069"/>
      <c r="F14" s="1210"/>
      <c r="G14" s="1210"/>
      <c r="H14" s="1210"/>
    </row>
    <row customHeight="1" ht="117">
      <c r="A15" s="1069" t="s">
        <v>1890</v>
      </c>
      <c r="B15" s="1069"/>
      <c r="C15" s="1069" t="s">
        <v>1891</v>
      </c>
      <c r="D15" s="1069"/>
      <c r="E15" s="1069"/>
      <c r="F15" s="1210"/>
      <c r="G15" s="1210"/>
      <c r="H15" s="1210"/>
    </row>
    <row customHeight="1" ht="63">
      <c r="A16" s="1069" t="s">
        <v>1892</v>
      </c>
      <c r="B16" s="1069"/>
      <c r="C16" s="1069" t="s">
        <v>1893</v>
      </c>
      <c r="D16" s="1069"/>
      <c r="E16" s="1069"/>
      <c r="F16" s="1210"/>
      <c r="G16" s="1210"/>
      <c r="H16" s="1210"/>
    </row>
    <row customHeight="1" ht="54">
      <c r="A17" s="1069" t="s">
        <v>1894</v>
      </c>
      <c r="B17" s="1069"/>
      <c r="C17" s="1208" t="s">
        <v>1895</v>
      </c>
      <c r="D17" s="1069"/>
      <c r="E17" s="1069"/>
      <c r="F17" s="1210"/>
      <c r="G17" s="1210"/>
      <c r="H17" s="1210"/>
    </row>
    <row customHeight="1" ht="27">
      <c r="A18" s="1069" t="s">
        <v>1896</v>
      </c>
      <c r="B18" s="1069"/>
      <c r="C18" s="1208" t="s">
        <v>1897</v>
      </c>
      <c r="D18" s="1069"/>
      <c r="E18" s="1069"/>
      <c r="F18" s="1210"/>
      <c r="G18" s="1210"/>
      <c r="H18" s="1210"/>
    </row>
    <row customHeight="1" ht="54">
      <c r="A19" s="1069" t="s">
        <v>1898</v>
      </c>
      <c r="B19" s="1069"/>
      <c r="C19" s="1208" t="s">
        <v>1899</v>
      </c>
      <c r="D19" s="1069"/>
      <c r="E19" s="1069"/>
      <c r="F19" s="1210"/>
      <c r="G19" s="1210"/>
      <c r="H19" s="1210"/>
    </row>
    <row customHeight="1" ht="36">
      <c r="A20" s="1069" t="s">
        <v>1900</v>
      </c>
      <c r="B20" s="1069"/>
      <c r="C20" s="1208" t="s">
        <v>1901</v>
      </c>
      <c r="D20" s="1069"/>
      <c r="E20" s="1069"/>
      <c r="F20" s="1210"/>
      <c r="G20" s="1210"/>
      <c r="H20" s="1210"/>
    </row>
    <row customHeight="1" ht="36">
      <c r="A21" s="1069" t="s">
        <v>1902</v>
      </c>
      <c r="B21" s="1069"/>
      <c r="C21" s="1208" t="s">
        <v>1903</v>
      </c>
      <c r="D21" s="1069"/>
      <c r="E21" s="1069"/>
      <c r="F21" s="1210"/>
      <c r="G21" s="1210"/>
      <c r="H21" s="1210"/>
    </row>
    <row customHeight="1" ht="27">
      <c r="A22" s="1069" t="s">
        <v>1904</v>
      </c>
      <c r="B22" s="1069"/>
      <c r="C22" s="1208" t="s">
        <v>1905</v>
      </c>
      <c r="D22" s="1069"/>
      <c r="E22" s="1069"/>
      <c r="F22" s="1210"/>
      <c r="G22" s="1210"/>
      <c r="H22" s="1210"/>
    </row>
    <row customHeight="1" ht="36">
      <c r="A23" s="1069" t="s">
        <v>1906</v>
      </c>
      <c r="B23" s="1069"/>
      <c r="C23" s="1208" t="s">
        <v>1907</v>
      </c>
      <c r="D23" s="1069"/>
      <c r="E23" s="1069"/>
      <c r="F23" s="1210"/>
      <c r="G23" s="1210"/>
      <c r="H23" s="1210"/>
    </row>
    <row customHeight="1" ht="28.5">
      <c r="A24" s="1069" t="s">
        <v>1908</v>
      </c>
      <c r="B24" s="1069"/>
      <c r="C24" s="1208" t="s">
        <v>1909</v>
      </c>
      <c r="D24" s="1069"/>
      <c r="E24" s="1069"/>
      <c r="F24" s="1210"/>
      <c r="G24" s="1210"/>
      <c r="H24" s="1210"/>
    </row>
    <row customHeight="1" ht="36">
      <c r="A25" s="1069" t="s">
        <v>1910</v>
      </c>
      <c r="B25" s="1069"/>
      <c r="C25" s="1208" t="s">
        <v>1911</v>
      </c>
      <c r="D25" s="1069"/>
      <c r="E25" s="1069"/>
      <c r="F25" s="1210"/>
      <c r="G25" s="1210"/>
      <c r="H25" s="1210"/>
    </row>
    <row customHeight="1" ht="27">
      <c r="A26" s="1069" t="s">
        <v>1912</v>
      </c>
      <c r="B26" s="1069"/>
      <c r="C26" s="1208" t="s">
        <v>1913</v>
      </c>
      <c r="D26" s="1069"/>
      <c r="E26" s="1069"/>
      <c r="F26" s="1210"/>
      <c r="G26" s="1210"/>
      <c r="H26" s="1210"/>
    </row>
    <row customHeight="1" ht="36">
      <c r="A27" s="1069" t="s">
        <v>1914</v>
      </c>
      <c r="B27" s="1069"/>
      <c r="C27" s="1208" t="s">
        <v>1915</v>
      </c>
      <c r="D27" s="1069"/>
      <c r="E27" s="1069"/>
      <c r="F27" s="1210"/>
      <c r="G27" s="1210"/>
      <c r="H27" s="1210"/>
    </row>
    <row customHeight="1" ht="28.5">
      <c r="A28" s="1069" t="s">
        <v>1916</v>
      </c>
      <c r="B28" s="1069"/>
      <c r="C28" s="1208" t="s">
        <v>1917</v>
      </c>
      <c r="D28" s="1069"/>
      <c r="E28" s="1069"/>
      <c r="F28" s="1210"/>
      <c r="G28" s="1210"/>
      <c r="H28" s="1210"/>
    </row>
    <row customHeight="1" ht="126">
      <c r="A29" s="1069" t="s">
        <v>1918</v>
      </c>
      <c r="B29" s="1069" t="s">
        <v>1488</v>
      </c>
      <c r="C29" s="12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69" t="s">
        <v>1919</v>
      </c>
      <c r="E29" s="107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10"/>
      <c r="G29" s="1210"/>
      <c r="H29" s="1069" t="s">
        <v>1920</v>
      </c>
    </row>
    <row customHeight="1" ht="36">
      <c r="A30" s="1069" t="s">
        <v>1921</v>
      </c>
      <c r="B30" s="1069"/>
      <c r="C30" s="12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69" t="s">
        <v>1922</v>
      </c>
      <c r="E30" s="107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10"/>
      <c r="G30" s="1210"/>
      <c r="H30" s="1210"/>
    </row>
    <row customHeight="1" ht="54">
      <c r="A31" s="1069" t="s">
        <v>1923</v>
      </c>
      <c r="B31" s="1069"/>
      <c r="C31" s="1208" t="str">
        <f>IF(TEMPLATE_SPHERE="HEAT",D31,IF(TEMPLATE_SPHERE="TKO",H31,E31))</f>
        <v>Форма 1. Информация об организации, осуществляющей горячее водоснабжение (общая информация)</v>
      </c>
      <c r="D31" s="1069" t="s">
        <v>1924</v>
      </c>
      <c r="E31" s="107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10"/>
      <c r="G31" s="1210"/>
      <c r="H31" s="1210"/>
    </row>
    <row customHeight="1" ht="198">
      <c r="A32" s="1069" t="s">
        <v>1925</v>
      </c>
      <c r="B32" s="1069"/>
      <c r="C32" s="1208" t="str">
        <f>IF(TEMPLATE_SPHERE="HEAT",D32,IF(TEMPLATE_SPHERE="TKO",H32,E32))</f>
        <v>Форма 7. Информация об инвестиционных программах организации горячего водоснабжения и отчетах об их исполнении</v>
      </c>
      <c r="D32" s="1069" t="s">
        <v>1926</v>
      </c>
      <c r="E32" s="107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10"/>
      <c r="G32" s="1210"/>
      <c r="H32" s="1069" t="s">
        <v>1927</v>
      </c>
    </row>
    <row customHeight="1" ht="9">
      <c r="A33" s="1069"/>
      <c r="B33" s="1069"/>
      <c r="C33" s="1208"/>
      <c r="D33" s="1069"/>
      <c r="E33" s="1069"/>
      <c r="F33" s="1210"/>
      <c r="G33" s="1210"/>
      <c r="H33" s="1210"/>
    </row>
    <row customHeight="1" ht="9">
      <c r="A34" s="1069"/>
      <c r="B34" s="1069" t="s">
        <v>1424</v>
      </c>
      <c r="C34" s="1208">
        <f>INDEX(TEMPLATE_NAME_FORM_LIST,B34,MATCH(TEMPLATE_SPHERE,TEMPLATE_SPHERE_LIST,0))</f>
        <v>0</v>
      </c>
      <c r="D34" s="1069"/>
      <c r="E34" s="1069"/>
      <c r="F34" s="1210"/>
      <c r="G34" s="1210"/>
      <c r="H34" s="121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D61F93-43EE-47D4-744D-7D64E539C9B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7863" width="9.140625"/>
    <col min="3" max="7" style="17907" width="8.00390625" customWidth="1"/>
    <col min="8" max="12" style="17907" width="8.57421875" customWidth="1"/>
    <col min="13" max="14" style="17907" width="27.7109375" customWidth="1"/>
    <col min="15" max="19" style="17907" width="5.140625" customWidth="1"/>
    <col min="20" max="24" style="17907" width="27.7109375" customWidth="1"/>
    <col min="25" max="25" style="17908" width="1.8515625" customWidth="1"/>
    <col min="26" max="26" style="17863" width="27.7109375" customWidth="1"/>
    <col min="27" max="27" style="17909" width="27.7109375" customWidth="1"/>
    <col min="28" max="29" style="17863" width="27.7109375" customWidth="1"/>
    <col min="30" max="30" style="17863" width="3.8515625" customWidth="1"/>
    <col min="31" max="34" style="17863" width="9.140625"/>
  </cols>
  <sheetData>
    <row s="17865" customFormat="1" customHeight="1" ht="18">
      <c r="A1" s="1121"/>
      <c r="B1" s="1121"/>
      <c r="C1" s="1121" t="s">
        <v>1928</v>
      </c>
      <c r="D1" s="1121"/>
      <c r="E1" s="1121"/>
      <c r="F1" s="1121"/>
      <c r="G1" s="1121"/>
      <c r="H1" s="1121" t="s">
        <v>1929</v>
      </c>
      <c r="I1" s="1121"/>
      <c r="J1" s="1121"/>
      <c r="K1" s="1121"/>
      <c r="L1" s="1121"/>
      <c r="M1" s="1121" t="s">
        <v>1930</v>
      </c>
      <c r="N1" s="1121" t="s">
        <v>1931</v>
      </c>
      <c r="O1" s="2710" t="s">
        <v>1932</v>
      </c>
      <c r="P1" s="2710"/>
      <c r="Q1" s="2710"/>
      <c r="R1" s="2710"/>
      <c r="S1" s="2710"/>
      <c r="T1" s="2710" t="s">
        <v>1930</v>
      </c>
      <c r="U1" s="2710"/>
      <c r="V1" s="2710"/>
      <c r="W1" s="2710"/>
      <c r="X1" s="2710"/>
      <c r="Y1" s="1223"/>
      <c r="Z1" s="2710" t="s">
        <v>1933</v>
      </c>
      <c r="AA1" s="2710"/>
      <c r="AB1" s="2710"/>
      <c r="AC1" s="2710"/>
      <c r="AD1" s="2710"/>
    </row>
    <row customHeight="1" ht="18">
      <c r="A2" s="1069"/>
      <c r="B2" s="1069"/>
      <c r="C2" s="1064" t="s">
        <v>725</v>
      </c>
      <c r="D2" s="1064" t="s">
        <v>771</v>
      </c>
      <c r="E2" s="1064" t="s">
        <v>826</v>
      </c>
      <c r="F2" s="1064" t="s">
        <v>812</v>
      </c>
      <c r="G2" s="1064" t="s">
        <v>1536</v>
      </c>
      <c r="H2" s="1066"/>
      <c r="I2" s="1066"/>
      <c r="J2" s="1066"/>
      <c r="K2" s="1066"/>
      <c r="L2" s="1066"/>
      <c r="M2" s="1066"/>
      <c r="N2" s="1066"/>
      <c r="O2" s="1064" t="s">
        <v>725</v>
      </c>
      <c r="P2" s="1064" t="s">
        <v>771</v>
      </c>
      <c r="Q2" s="1064" t="s">
        <v>812</v>
      </c>
      <c r="R2" s="1064" t="s">
        <v>826</v>
      </c>
      <c r="S2" s="1064" t="s">
        <v>1536</v>
      </c>
      <c r="T2" s="1064" t="s">
        <v>725</v>
      </c>
      <c r="U2" s="1064" t="s">
        <v>771</v>
      </c>
      <c r="V2" s="1064" t="s">
        <v>812</v>
      </c>
      <c r="W2" s="1064" t="s">
        <v>826</v>
      </c>
      <c r="X2" s="1064" t="s">
        <v>1536</v>
      </c>
      <c r="Y2" s="1064"/>
      <c r="Z2" s="1064" t="s">
        <v>725</v>
      </c>
      <c r="AA2" s="1073" t="s">
        <v>771</v>
      </c>
      <c r="AB2" s="1064" t="s">
        <v>812</v>
      </c>
      <c r="AC2" s="1064" t="s">
        <v>826</v>
      </c>
      <c r="AD2" s="1064" t="s">
        <v>1536</v>
      </c>
    </row>
    <row customHeight="1" ht="162">
      <c r="A3" s="1068" t="s">
        <v>22</v>
      </c>
      <c r="B3" s="1068"/>
      <c r="C3" s="2714" t="s">
        <v>1934</v>
      </c>
      <c r="D3" s="2715"/>
      <c r="E3" s="2715"/>
      <c r="F3" s="2716"/>
      <c r="G3" s="1066"/>
      <c r="H3" s="1066"/>
      <c r="I3" s="1066"/>
      <c r="J3" s="1066"/>
      <c r="K3" s="1066"/>
      <c r="L3" s="1066"/>
      <c r="M3" s="1066"/>
      <c r="N3" s="106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66"/>
      <c r="P3" s="1066"/>
      <c r="Q3" s="1066"/>
      <c r="R3" s="1066"/>
      <c r="S3" s="1066"/>
      <c r="T3" s="1066"/>
      <c r="U3" s="1066"/>
      <c r="V3" s="1066"/>
      <c r="W3" s="1066"/>
      <c r="X3" s="1066"/>
      <c r="Y3" s="1224"/>
      <c r="Z3" s="1069" t="s">
        <v>1935</v>
      </c>
      <c r="AA3" s="1066" t="s">
        <v>1936</v>
      </c>
      <c r="AB3" s="1069" t="s">
        <v>1937</v>
      </c>
      <c r="AC3" s="1069" t="s">
        <v>1938</v>
      </c>
      <c r="AD3" s="1069"/>
      <c r="AG3" s="1069"/>
      <c r="AH3" s="1069"/>
    </row>
    <row customHeight="1" ht="9">
      <c r="A4" s="1068"/>
      <c r="B4" s="1068"/>
      <c r="C4" s="1066"/>
      <c r="D4" s="1066"/>
      <c r="E4" s="1066"/>
      <c r="F4" s="1066"/>
      <c r="G4" s="1066"/>
      <c r="H4" s="1066"/>
      <c r="I4" s="1066"/>
      <c r="J4" s="1066"/>
      <c r="K4" s="1066"/>
      <c r="L4" s="1066"/>
      <c r="M4" s="1066"/>
      <c r="N4" s="1066"/>
      <c r="O4" s="1066"/>
      <c r="P4" s="1066"/>
      <c r="Q4" s="1066"/>
      <c r="R4" s="1066"/>
      <c r="S4" s="1066"/>
      <c r="T4" s="1066"/>
      <c r="U4" s="1066"/>
      <c r="V4" s="1066"/>
      <c r="W4" s="1066"/>
      <c r="X4" s="1066"/>
      <c r="Y4" s="1224"/>
      <c r="Z4" s="1069"/>
      <c r="AA4" s="1072"/>
      <c r="AB4" s="1069"/>
      <c r="AC4" s="1069"/>
      <c r="AD4" s="1069"/>
    </row>
    <row customHeight="1" ht="9">
      <c r="A5" s="1068"/>
      <c r="B5" s="1068"/>
      <c r="C5" s="1066"/>
      <c r="D5" s="1066"/>
      <c r="E5" s="1066"/>
      <c r="F5" s="1066"/>
      <c r="G5" s="1066"/>
      <c r="H5" s="1066"/>
      <c r="I5" s="1066"/>
      <c r="J5" s="1066"/>
      <c r="K5" s="1066"/>
      <c r="L5" s="1066"/>
      <c r="M5" s="1066"/>
      <c r="N5" s="1066"/>
      <c r="O5" s="1066"/>
      <c r="P5" s="1066"/>
      <c r="Q5" s="1066"/>
      <c r="R5" s="1066"/>
      <c r="S5" s="1066"/>
      <c r="T5" s="1066"/>
      <c r="U5" s="1066"/>
      <c r="V5" s="1066"/>
      <c r="W5" s="1066"/>
      <c r="X5" s="1066"/>
      <c r="Y5" s="1224"/>
      <c r="Z5" s="1069"/>
      <c r="AA5" s="1072"/>
      <c r="AB5" s="1069"/>
      <c r="AC5" s="1069"/>
      <c r="AD5" s="1069"/>
    </row>
    <row customHeight="1" ht="9">
      <c r="A6" s="1068"/>
      <c r="B6" s="1068"/>
      <c r="C6" s="1066"/>
      <c r="D6" s="1066"/>
      <c r="E6" s="1066"/>
      <c r="F6" s="1066"/>
      <c r="G6" s="1066"/>
      <c r="H6" s="1066"/>
      <c r="I6" s="1066"/>
      <c r="J6" s="1066"/>
      <c r="K6" s="1066"/>
      <c r="L6" s="1066"/>
      <c r="M6" s="1066"/>
      <c r="N6" s="1066"/>
      <c r="O6" s="1066"/>
      <c r="P6" s="1066"/>
      <c r="Q6" s="1066"/>
      <c r="R6" s="1066"/>
      <c r="S6" s="1066"/>
      <c r="T6" s="1066"/>
      <c r="U6" s="1066"/>
      <c r="V6" s="1066"/>
      <c r="W6" s="1066"/>
      <c r="X6" s="1066"/>
      <c r="Y6" s="1224"/>
      <c r="Z6" s="1069"/>
      <c r="AA6" s="1072"/>
      <c r="AB6" s="1069"/>
      <c r="AC6" s="1069"/>
      <c r="AD6" s="1069"/>
    </row>
    <row customHeight="1" ht="9">
      <c r="A7" s="1068"/>
      <c r="B7" s="1068"/>
      <c r="C7" s="1066"/>
      <c r="D7" s="1066"/>
      <c r="E7" s="1066"/>
      <c r="F7" s="1066"/>
      <c r="G7" s="1066"/>
      <c r="H7" s="1066"/>
      <c r="I7" s="1066"/>
      <c r="J7" s="1066"/>
      <c r="K7" s="1066"/>
      <c r="L7" s="1066"/>
      <c r="M7" s="1066"/>
      <c r="N7" s="1066"/>
      <c r="O7" s="1066"/>
      <c r="P7" s="1066"/>
      <c r="Q7" s="1066"/>
      <c r="R7" s="1066"/>
      <c r="S7" s="1066"/>
      <c r="T7" s="1066"/>
      <c r="U7" s="1066"/>
      <c r="V7" s="1066"/>
      <c r="W7" s="1066"/>
      <c r="X7" s="1066"/>
      <c r="Y7" s="1224"/>
      <c r="Z7" s="1069"/>
      <c r="AA7" s="1072"/>
      <c r="AB7" s="1069"/>
      <c r="AC7" s="1069"/>
      <c r="AD7" s="1069"/>
    </row>
    <row customHeight="1" ht="9">
      <c r="A8" s="1068"/>
      <c r="B8" s="1068"/>
      <c r="C8" s="1066"/>
      <c r="D8" s="1066"/>
      <c r="E8" s="1066"/>
      <c r="F8" s="1066"/>
      <c r="G8" s="1066"/>
      <c r="H8" s="1066"/>
      <c r="I8" s="1066"/>
      <c r="J8" s="1066"/>
      <c r="K8" s="1066"/>
      <c r="L8" s="1066"/>
      <c r="M8" s="1066"/>
      <c r="N8" s="1066"/>
      <c r="O8" s="1066"/>
      <c r="P8" s="1066"/>
      <c r="Q8" s="1066"/>
      <c r="R8" s="1066"/>
      <c r="S8" s="1066"/>
      <c r="T8" s="1066"/>
      <c r="U8" s="1066"/>
      <c r="V8" s="1066"/>
      <c r="W8" s="1066"/>
      <c r="X8" s="1066"/>
      <c r="Y8" s="1224"/>
      <c r="Z8" s="1069"/>
      <c r="AA8" s="1072"/>
      <c r="AB8" s="1069"/>
      <c r="AC8" s="1069"/>
      <c r="AD8" s="1069"/>
    </row>
    <row customHeight="1" ht="9">
      <c r="A9" s="1068"/>
      <c r="B9" s="1068"/>
      <c r="C9" s="1066"/>
      <c r="D9" s="1066"/>
      <c r="E9" s="1066"/>
      <c r="F9" s="1066"/>
      <c r="G9" s="1066"/>
      <c r="H9" s="1066"/>
      <c r="I9" s="1066"/>
      <c r="J9" s="1066"/>
      <c r="K9" s="1066"/>
      <c r="L9" s="1066"/>
      <c r="M9" s="1066"/>
      <c r="N9" s="1066"/>
      <c r="O9" s="1066"/>
      <c r="P9" s="1066"/>
      <c r="Q9" s="1066"/>
      <c r="R9" s="1066"/>
      <c r="S9" s="1066"/>
      <c r="T9" s="1066"/>
      <c r="U9" s="1066"/>
      <c r="V9" s="1066"/>
      <c r="W9" s="1066"/>
      <c r="X9" s="1066"/>
      <c r="Y9" s="1224"/>
      <c r="Z9" s="1069"/>
      <c r="AA9" s="1072"/>
      <c r="AB9" s="1069"/>
      <c r="AC9" s="1069"/>
      <c r="AD9" s="1069"/>
    </row>
    <row customHeight="1" ht="9">
      <c r="A10" s="1122"/>
      <c r="B10" s="1122"/>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row>
    <row customHeight="1" ht="45">
      <c r="A11" s="2711" t="s">
        <v>29</v>
      </c>
      <c r="B11" s="1122">
        <v>1</v>
      </c>
      <c r="C11" s="2717" t="s">
        <v>1475</v>
      </c>
      <c r="D11" s="2717" t="s">
        <v>1471</v>
      </c>
      <c r="E11" s="2717" t="s">
        <v>1569</v>
      </c>
      <c r="F11" s="2717" t="s">
        <v>1939</v>
      </c>
      <c r="G11" s="2717"/>
      <c r="H11" s="1121" t="s">
        <v>1940</v>
      </c>
      <c r="I11" s="1121"/>
      <c r="J11" s="1121"/>
      <c r="K11" s="1121"/>
      <c r="L11" s="1121"/>
      <c r="M11" s="1067" t="str">
        <f>IF(TEMPLATE_SPHERE="HEAT",T11,U11)</f>
        <v>Количество поданных заявлений </v>
      </c>
      <c r="N11" s="106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66"/>
      <c r="P11" s="1066"/>
      <c r="Q11" s="1066"/>
      <c r="R11" s="1066"/>
      <c r="S11" s="1066"/>
      <c r="T11" s="1066" t="s">
        <v>1941</v>
      </c>
      <c r="U11" s="1066" t="s">
        <v>1942</v>
      </c>
      <c r="V11" s="1066"/>
      <c r="W11" s="1066"/>
      <c r="X11" s="1066"/>
      <c r="Y11" s="1224"/>
      <c r="Z11" s="1069" t="s">
        <v>1943</v>
      </c>
      <c r="AA11" s="107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69"/>
      <c r="AC11" s="1069"/>
      <c r="AD11" s="1069"/>
    </row>
    <row customHeight="1" ht="45">
      <c r="A12" s="2711"/>
      <c r="B12" s="1122">
        <v>2</v>
      </c>
      <c r="C12" s="2718"/>
      <c r="D12" s="2718"/>
      <c r="E12" s="2718"/>
      <c r="F12" s="2718"/>
      <c r="G12" s="2718"/>
      <c r="H12" s="1121" t="s">
        <v>1944</v>
      </c>
      <c r="I12" s="1121"/>
      <c r="J12" s="1121"/>
      <c r="K12" s="1121"/>
      <c r="L12" s="1121"/>
      <c r="M12" s="1067" t="str">
        <f>IF(TEMPLATE_SPHERE="HEAT",T12,U12)</f>
        <v>Количество исполненных заявлений </v>
      </c>
      <c r="N12" s="106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66"/>
      <c r="P12" s="1066"/>
      <c r="Q12" s="1066"/>
      <c r="R12" s="1066"/>
      <c r="S12" s="1066"/>
      <c r="T12" s="1066" t="s">
        <v>1945</v>
      </c>
      <c r="U12" s="1066" t="s">
        <v>1946</v>
      </c>
      <c r="V12" s="1066"/>
      <c r="W12" s="1066"/>
      <c r="X12" s="1066"/>
      <c r="Y12" s="1224"/>
      <c r="Z12" s="1069" t="s">
        <v>1947</v>
      </c>
      <c r="AA12" s="107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69"/>
      <c r="AC12" s="1069"/>
      <c r="AD12" s="1069"/>
    </row>
    <row customHeight="1" ht="72">
      <c r="A13" s="2711"/>
      <c r="B13" s="1122">
        <v>3</v>
      </c>
      <c r="C13" s="2718"/>
      <c r="D13" s="2718"/>
      <c r="E13" s="2718"/>
      <c r="F13" s="2718"/>
      <c r="G13" s="2718"/>
      <c r="H13" s="2710" t="s">
        <v>1948</v>
      </c>
      <c r="I13" s="1121"/>
      <c r="J13" s="1121"/>
      <c r="K13" s="1121"/>
      <c r="L13" s="1121"/>
      <c r="M13" s="106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6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66"/>
      <c r="P13" s="1067"/>
      <c r="Q13" s="1067"/>
      <c r="R13" s="1067"/>
      <c r="S13" s="1066"/>
      <c r="T13" s="1066" t="s">
        <v>1949</v>
      </c>
      <c r="U13" s="1067" t="s">
        <v>1950</v>
      </c>
      <c r="V13" s="1067"/>
      <c r="W13" s="1067"/>
      <c r="X13" s="1066"/>
      <c r="Y13" s="1224"/>
      <c r="Z13" s="1069" t="s">
        <v>1951</v>
      </c>
      <c r="AA13" s="107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69"/>
      <c r="AC13" s="1069"/>
      <c r="AD13" s="1069"/>
    </row>
    <row customHeight="1" ht="45">
      <c r="A14" s="2711"/>
      <c r="B14" s="1122">
        <v>4</v>
      </c>
      <c r="C14" s="2718"/>
      <c r="D14" s="2718"/>
      <c r="E14" s="2718"/>
      <c r="F14" s="2718"/>
      <c r="G14" s="2718"/>
      <c r="H14" s="2710"/>
      <c r="I14" s="1124"/>
      <c r="J14" s="1124"/>
      <c r="K14" s="1124"/>
      <c r="L14" s="1124"/>
      <c r="M14" s="107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6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66"/>
      <c r="P14" s="1067"/>
      <c r="Q14" s="1067"/>
      <c r="R14" s="1067"/>
      <c r="S14" s="1066"/>
      <c r="T14" s="1066" t="s">
        <v>1952</v>
      </c>
      <c r="U14" s="106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67"/>
      <c r="W14" s="1067"/>
      <c r="X14" s="1066"/>
      <c r="Y14" s="1224"/>
      <c r="Z14" s="1069" t="s">
        <v>1953</v>
      </c>
      <c r="AA14" s="1072" t="s">
        <v>1953</v>
      </c>
      <c r="AB14" s="1069"/>
      <c r="AC14" s="1069"/>
      <c r="AD14" s="1069"/>
    </row>
    <row customHeight="1" ht="108">
      <c r="A15" s="2711"/>
      <c r="B15" s="1122">
        <v>5</v>
      </c>
      <c r="C15" s="2718"/>
      <c r="D15" s="2718"/>
      <c r="E15" s="2718"/>
      <c r="F15" s="2718"/>
      <c r="G15" s="2718"/>
      <c r="H15" s="2712" t="s">
        <v>1954</v>
      </c>
      <c r="I15" s="1123"/>
      <c r="J15" s="1123"/>
      <c r="K15" s="1123"/>
      <c r="L15" s="1123"/>
      <c r="M15" s="107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7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66"/>
      <c r="P15" s="1067"/>
      <c r="Q15" s="1067"/>
      <c r="R15" s="1067"/>
      <c r="S15" s="1066"/>
      <c r="T15" s="1066" t="s">
        <v>1955</v>
      </c>
      <c r="U15" s="106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67"/>
      <c r="W15" s="1067"/>
      <c r="X15" s="1066"/>
      <c r="Y15" s="1224"/>
      <c r="Z15" s="1069" t="s">
        <v>1956</v>
      </c>
      <c r="AA15" s="107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69"/>
      <c r="AC15" s="1069"/>
      <c r="AD15" s="1069"/>
    </row>
    <row customHeight="1" ht="108">
      <c r="A16" s="1122"/>
      <c r="B16" s="1122">
        <v>6</v>
      </c>
      <c r="C16" s="2719"/>
      <c r="D16" s="2719"/>
      <c r="E16" s="2719"/>
      <c r="F16" s="2719"/>
      <c r="G16" s="2719"/>
      <c r="H16" s="2713"/>
      <c r="I16" s="1186"/>
      <c r="J16" s="1186"/>
      <c r="K16" s="1186"/>
      <c r="L16" s="1186"/>
      <c r="M16" s="1115"/>
      <c r="N16" s="107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66"/>
      <c r="P16" s="1067"/>
      <c r="Q16" s="1067"/>
      <c r="R16" s="1067"/>
      <c r="S16" s="1066"/>
      <c r="T16" s="1066"/>
      <c r="U16" s="1067"/>
      <c r="V16" s="1067"/>
      <c r="W16" s="1067"/>
      <c r="X16" s="1066"/>
      <c r="Y16" s="1224"/>
      <c r="Z16" s="1069" t="s">
        <v>1956</v>
      </c>
      <c r="AA16" s="107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69"/>
      <c r="AC16" s="1069"/>
      <c r="AD16" s="1069"/>
    </row>
    <row customHeight="1" ht="9">
      <c r="A17" s="1122"/>
      <c r="B17" s="1122"/>
      <c r="C17" s="1122">
        <v>22</v>
      </c>
      <c r="D17" s="1122">
        <v>21</v>
      </c>
      <c r="E17" s="1122">
        <v>42</v>
      </c>
      <c r="F17" s="1122">
        <v>63</v>
      </c>
      <c r="G17" s="1122"/>
      <c r="H17" s="1122"/>
      <c r="I17" s="1122"/>
      <c r="J17" s="1122"/>
      <c r="K17" s="1122"/>
      <c r="L17" s="1122"/>
      <c r="M17" s="1122"/>
      <c r="N17" s="1122"/>
      <c r="O17" s="1122"/>
      <c r="P17" s="1122"/>
      <c r="Q17" s="1122"/>
      <c r="R17" s="1122"/>
      <c r="S17" s="1122"/>
      <c r="T17" s="1122"/>
      <c r="U17" s="1122"/>
      <c r="V17" s="1122"/>
      <c r="W17" s="1122"/>
      <c r="X17" s="1122"/>
      <c r="Y17" s="1122"/>
      <c r="Z17" s="1122"/>
      <c r="AA17" s="1122"/>
      <c r="AB17" s="1122"/>
      <c r="AC17" s="1122"/>
      <c r="AD17" s="1122"/>
    </row>
    <row customHeight="1" ht="27">
      <c r="A18" s="1068" t="s">
        <v>1572</v>
      </c>
      <c r="B18" s="1122">
        <v>1</v>
      </c>
      <c r="C18" s="1066" t="s">
        <v>1940</v>
      </c>
      <c r="D18" s="1191" t="s">
        <v>1940</v>
      </c>
      <c r="E18" s="1066" t="s">
        <v>1940</v>
      </c>
      <c r="F18" s="1066" t="s">
        <v>1940</v>
      </c>
      <c r="G18" s="1066"/>
      <c r="H18" s="1226"/>
      <c r="I18" s="1229">
        <f>INDEX(TEMPLATE_NUMBER_POINT_FHD,B18,MATCH(TEMPLATE_SPHERE,TEMPLATE_SPHERE_LIST_FOR_NOTE,0))</f>
        <v>1</v>
      </c>
      <c r="J18" s="1229" t="str">
        <f>INDEX(TEMPLATE_DATA_POINT_FHD,B18,MATCH(TEMPLATE_SPHERE,TEMPLATE_SPHERE_LIST_FOR_NOTE,0))</f>
        <v>Выручка от регулируемых видов деятельности в сфере горячего водоснабжения</v>
      </c>
      <c r="K18" s="1229" t="str">
        <f>INDEX(TEMPLATE_NOTE_POINT_FHD,B18,MATCH(TEMPLATE_SPHERE,TEMPLATE_SPHERE_LIST_FOR_NOTE,0))</f>
        <v>Указывается выручка с распределением по видам деятельности.</v>
      </c>
      <c r="L18" s="1067">
        <f>IF(I18=0,"",I18)</f>
        <v>1</v>
      </c>
      <c r="M18" s="1067" t="str">
        <f>IF(J18=0,"",J18)</f>
        <v>Выручка от регулируемых видов деятельности в сфере горячего водоснабжения</v>
      </c>
      <c r="N18" s="1067" t="str">
        <f>IF(K18=0,"",K18)</f>
        <v>Указывается выручка с распределением по видам деятельности.</v>
      </c>
      <c r="O18" s="1181">
        <v>1</v>
      </c>
      <c r="P18" s="1181">
        <v>1</v>
      </c>
      <c r="Q18" s="1181">
        <v>1</v>
      </c>
      <c r="R18" s="1181">
        <v>1</v>
      </c>
      <c r="S18" s="1181"/>
      <c r="T18" s="1188" t="s">
        <v>1957</v>
      </c>
      <c r="U18" s="1069" t="s">
        <v>1958</v>
      </c>
      <c r="V18" s="1069" t="s">
        <v>1959</v>
      </c>
      <c r="W18" s="1069" t="s">
        <v>1960</v>
      </c>
      <c r="X18" s="1066"/>
      <c r="Y18" s="1224"/>
      <c r="Z18" s="1069" t="s">
        <v>1961</v>
      </c>
      <c r="AA18" s="1072" t="s">
        <v>1962</v>
      </c>
      <c r="AB18" s="1072" t="s">
        <v>1962</v>
      </c>
      <c r="AC18" s="1072" t="s">
        <v>1962</v>
      </c>
      <c r="AD18" s="1069"/>
    </row>
    <row customHeight="1" ht="36">
      <c r="A19" s="1068"/>
      <c r="B19" s="1122">
        <v>2</v>
      </c>
      <c r="C19" s="1066" t="s">
        <v>1944</v>
      </c>
      <c r="D19" s="1191" t="s">
        <v>1944</v>
      </c>
      <c r="E19" s="1066" t="s">
        <v>1944</v>
      </c>
      <c r="F19" s="1066" t="s">
        <v>1944</v>
      </c>
      <c r="G19" s="1066"/>
      <c r="H19" s="1226"/>
      <c r="I19" s="1229">
        <f>INDEX(TEMPLATE_NUMBER_POINT_FHD,B19,MATCH(TEMPLATE_SPHERE,TEMPLATE_SPHERE_LIST_FOR_NOTE,0))</f>
        <v>2</v>
      </c>
      <c r="J19" s="122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29" t="str">
        <f>INDEX(TEMPLATE_NOTE_POINT_FHD,B19,MATCH(TEMPLATE_SPHERE,TEMPLATE_SPHERE_LIST_FOR_NOTE,0))</f>
        <v>Указывается суммарная себестоимость производимых товаров.</v>
      </c>
      <c r="L19" s="1067">
        <f>IF(I19=0,"",I19)</f>
        <v>2</v>
      </c>
      <c r="M19" s="1067" t="str">
        <f>IF(J19=0,"",J19)</f>
        <v>Себестоимость производимых товаров (оказываемых услуг) по регулируемым видам деятельности в сфере горячего водоснабжения, включая:</v>
      </c>
      <c r="N19" s="1067" t="str">
        <f>IF(K19=0,"",K19)</f>
        <v>Указывается суммарная себестоимость производимых товаров.</v>
      </c>
      <c r="O19" s="1181">
        <v>2</v>
      </c>
      <c r="P19" s="1181">
        <v>2</v>
      </c>
      <c r="Q19" s="1181">
        <v>2</v>
      </c>
      <c r="R19" s="1181">
        <v>2</v>
      </c>
      <c r="S19" s="1181"/>
      <c r="T19" s="1188" t="s">
        <v>1963</v>
      </c>
      <c r="U19" s="1069" t="s">
        <v>1964</v>
      </c>
      <c r="V19" s="1069" t="s">
        <v>1965</v>
      </c>
      <c r="W19" s="1069" t="s">
        <v>1966</v>
      </c>
      <c r="X19" s="1066"/>
      <c r="Y19" s="1224"/>
      <c r="Z19" s="1069" t="s">
        <v>1967</v>
      </c>
      <c r="AA19" s="1072" t="s">
        <v>1967</v>
      </c>
      <c r="AB19" s="1072" t="s">
        <v>1967</v>
      </c>
      <c r="AC19" s="1072" t="s">
        <v>1967</v>
      </c>
      <c r="AD19" s="1069"/>
    </row>
    <row customHeight="1" ht="27">
      <c r="A20" s="1068"/>
      <c r="B20" s="1122">
        <v>3</v>
      </c>
      <c r="C20" s="1066">
        <v>1</v>
      </c>
      <c r="D20" s="1191"/>
      <c r="E20" s="1066"/>
      <c r="F20" s="1066"/>
      <c r="G20" s="1066"/>
      <c r="H20" s="1226"/>
      <c r="I20" s="1229" t="str">
        <f>INDEX(TEMPLATE_NUMBER_POINT_FHD,B20,MATCH(TEMPLATE_SPHERE,TEMPLATE_SPHERE_LIST_FOR_NOTE,0))</f>
        <v>2.1</v>
      </c>
      <c r="J20" s="1229" t="str">
        <f>INDEX(TEMPLATE_DATA_POINT_FHD,B20,MATCH(TEMPLATE_SPHERE,TEMPLATE_SPHERE_LIST_FOR_NOTE,0))</f>
        <v>Расходы на приобретаемую тепловую энергию (мощность), используемую для горячего водоснабжения</v>
      </c>
      <c r="K20" s="1229">
        <f>INDEX(TEMPLATE_NOTE_POINT_FHD,B20,MATCH(TEMPLATE_SPHERE,TEMPLATE_SPHERE_LIST_FOR_NOTE,0))</f>
        <v>0</v>
      </c>
      <c r="L20" s="1067" t="str">
        <f>IF(I20=0,"",I20)</f>
        <v>2.1</v>
      </c>
      <c r="M20" s="1067" t="str">
        <f>IF(J20=0,"",J20)</f>
        <v>Расходы на приобретаемую тепловую энергию (мощность), используемую для горячего водоснабжения</v>
      </c>
      <c r="N20" s="1067" t="str">
        <f>IF(K20=0,"",K20)</f>
        <v/>
      </c>
      <c r="O20" s="1181" t="s">
        <v>625</v>
      </c>
      <c r="P20" s="1181" t="s">
        <v>625</v>
      </c>
      <c r="Q20" s="1181" t="s">
        <v>625</v>
      </c>
      <c r="R20" s="1181" t="s">
        <v>625</v>
      </c>
      <c r="S20" s="1181"/>
      <c r="T20" s="1188" t="s">
        <v>1968</v>
      </c>
      <c r="U20" s="1069" t="s">
        <v>1969</v>
      </c>
      <c r="V20" s="1069" t="s">
        <v>1970</v>
      </c>
      <c r="W20" s="1069" t="s">
        <v>1971</v>
      </c>
      <c r="X20" s="1066"/>
      <c r="Y20" s="1224"/>
      <c r="Z20" s="1069"/>
      <c r="AA20" s="1072"/>
      <c r="AB20" s="1069"/>
      <c r="AC20" s="1069"/>
      <c r="AD20" s="1069"/>
    </row>
    <row customHeight="1" ht="36">
      <c r="A21" s="1068"/>
      <c r="B21" s="1122">
        <v>4</v>
      </c>
      <c r="C21" s="1066">
        <v>2</v>
      </c>
      <c r="D21" s="1191"/>
      <c r="E21" s="1066"/>
      <c r="F21" s="1066"/>
      <c r="G21" s="1066"/>
      <c r="H21" s="1226"/>
      <c r="I21" s="1229">
        <f>INDEX(TEMPLATE_NUMBER_POINT_FHD,B21,MATCH(TEMPLATE_SPHERE,TEMPLATE_SPHERE_LIST_FOR_NOTE,0))</f>
        <v>0</v>
      </c>
      <c r="J21" s="1229">
        <f>INDEX(TEMPLATE_DATA_POINT_FHD,B21,MATCH(TEMPLATE_SPHERE,TEMPLATE_SPHERE_LIST_FOR_NOTE,0))</f>
        <v>0</v>
      </c>
      <c r="K21" s="1229">
        <f>INDEX(TEMPLATE_NOTE_POINT_FHD,B21,MATCH(TEMPLATE_SPHERE,TEMPLATE_SPHERE_LIST_FOR_NOTE,0))</f>
        <v>0</v>
      </c>
      <c r="L21" s="1067" t="str">
        <f>IF(I21=0,"",I21)</f>
        <v/>
      </c>
      <c r="M21" s="1067" t="str">
        <f>IF(J21=0,"",J21)</f>
        <v/>
      </c>
      <c r="N21" s="1067" t="str">
        <f>IF(K21=0,"",K21)</f>
        <v/>
      </c>
      <c r="O21" s="1181" t="s">
        <v>308</v>
      </c>
      <c r="P21" s="1181"/>
      <c r="Q21" s="1181"/>
      <c r="R21" s="1181"/>
      <c r="S21" s="1181"/>
      <c r="T21" s="1188" t="s">
        <v>1972</v>
      </c>
      <c r="U21" s="1069"/>
      <c r="V21" s="1069"/>
      <c r="W21" s="1069"/>
      <c r="X21" s="1066"/>
      <c r="Y21" s="1224"/>
      <c r="Z21" s="1069" t="s">
        <v>1973</v>
      </c>
      <c r="AA21" s="1072"/>
      <c r="AB21" s="1069"/>
      <c r="AC21" s="1069"/>
      <c r="AD21" s="1069"/>
    </row>
    <row customHeight="1" ht="36">
      <c r="A22" s="1068"/>
      <c r="B22" s="1122">
        <v>5</v>
      </c>
      <c r="C22" s="1066">
        <v>3</v>
      </c>
      <c r="D22" s="1191"/>
      <c r="E22" s="1066"/>
      <c r="F22" s="1066"/>
      <c r="G22" s="1114"/>
      <c r="H22" s="1182"/>
      <c r="I22" s="1229" t="str">
        <f>INDEX(TEMPLATE_NUMBER_POINT_FHD,B22,MATCH(TEMPLATE_SPHERE,TEMPLATE_SPHERE_LIST_FOR_NOTE,0))</f>
        <v>2.2</v>
      </c>
      <c r="J22" s="122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29">
        <f>INDEX(TEMPLATE_NOTE_POINT_FHD,B22,MATCH(TEMPLATE_SPHERE,TEMPLATE_SPHERE_LIST_FOR_NOTE,0))</f>
        <v>0</v>
      </c>
      <c r="L22" s="1067" t="str">
        <f>IF(I22=0,"",I22)</f>
        <v>2.2</v>
      </c>
      <c r="M22" s="1067" t="str">
        <f>IF(J22=0,"",J22)</f>
        <v>Расходы на тепловую энергию, производимую с применением собственных источников и используемую для горячего водоснабжения</v>
      </c>
      <c r="N22" s="1067" t="str">
        <f>IF(K22=0,"",K22)</f>
        <v/>
      </c>
      <c r="O22" s="1181"/>
      <c r="P22" s="1181"/>
      <c r="Q22" s="1181" t="s">
        <v>308</v>
      </c>
      <c r="R22" s="1181"/>
      <c r="S22" s="1181"/>
      <c r="T22" s="1188"/>
      <c r="U22" s="1069"/>
      <c r="V22" s="1069" t="s">
        <v>1974</v>
      </c>
      <c r="W22" s="1069"/>
      <c r="X22" s="1066"/>
      <c r="Y22" s="1224"/>
      <c r="Z22" s="1069"/>
      <c r="AA22" s="1072"/>
      <c r="AB22" s="1069"/>
      <c r="AC22" s="1069"/>
      <c r="AD22" s="1069"/>
    </row>
    <row customHeight="1" ht="27">
      <c r="A23" s="1068"/>
      <c r="B23" s="1122">
        <v>6</v>
      </c>
      <c r="C23" s="1066">
        <v>4</v>
      </c>
      <c r="D23" s="1191"/>
      <c r="E23" s="1066"/>
      <c r="F23" s="1066"/>
      <c r="G23" s="1114"/>
      <c r="H23" s="1182"/>
      <c r="I23" s="1229" t="str">
        <f>INDEX(TEMPLATE_NUMBER_POINT_FHD,B23,MATCH(TEMPLATE_SPHERE,TEMPLATE_SPHERE_LIST_FOR_NOTE,0))</f>
        <v>2.3</v>
      </c>
      <c r="J23" s="1229" t="str">
        <f>INDEX(TEMPLATE_DATA_POINT_FHD,B23,MATCH(TEMPLATE_SPHERE,TEMPLATE_SPHERE_LIST_FOR_NOTE,0))</f>
        <v>Расходы на приобретаемую холодную воду, используемую для горячего водоснабжения</v>
      </c>
      <c r="K23" s="1229">
        <f>INDEX(TEMPLATE_NOTE_POINT_FHD,B23,MATCH(TEMPLATE_SPHERE,TEMPLATE_SPHERE_LIST_FOR_NOTE,0))</f>
        <v>0</v>
      </c>
      <c r="L23" s="1067" t="str">
        <f>IF(I23=0,"",I23)</f>
        <v>2.3</v>
      </c>
      <c r="M23" s="1067" t="str">
        <f>IF(J23=0,"",J23)</f>
        <v>Расходы на приобретаемую холодную воду, используемую для горячего водоснабжения</v>
      </c>
      <c r="N23" s="1067" t="str">
        <f>IF(K23=0,"",K23)</f>
        <v/>
      </c>
      <c r="O23" s="1181"/>
      <c r="P23" s="1181"/>
      <c r="Q23" s="1181" t="s">
        <v>311</v>
      </c>
      <c r="R23" s="1181"/>
      <c r="S23" s="1181"/>
      <c r="T23" s="1188"/>
      <c r="U23" s="1069"/>
      <c r="V23" s="1069" t="s">
        <v>1975</v>
      </c>
      <c r="W23" s="1069"/>
      <c r="X23" s="1066"/>
      <c r="Y23" s="1224"/>
      <c r="Z23" s="1069"/>
      <c r="AA23" s="1072"/>
      <c r="AB23" s="1069"/>
      <c r="AC23" s="1069"/>
      <c r="AD23" s="1069"/>
    </row>
    <row customHeight="1" ht="36">
      <c r="A24" s="1068"/>
      <c r="B24" s="1122">
        <v>7</v>
      </c>
      <c r="C24" s="1066">
        <v>5</v>
      </c>
      <c r="D24" s="1191"/>
      <c r="E24" s="1066"/>
      <c r="F24" s="1066"/>
      <c r="G24" s="1114"/>
      <c r="H24" s="1182"/>
      <c r="I24" s="1229" t="str">
        <f>INDEX(TEMPLATE_NUMBER_POINT_FHD,B24,MATCH(TEMPLATE_SPHERE,TEMPLATE_SPHERE_LIST_FOR_NOTE,0))</f>
        <v>2.4</v>
      </c>
      <c r="J24" s="122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29">
        <f>INDEX(TEMPLATE_NOTE_POINT_FHD,B24,MATCH(TEMPLATE_SPHERE,TEMPLATE_SPHERE_LIST_FOR_NOTE,0))</f>
        <v>0</v>
      </c>
      <c r="L24" s="1067" t="str">
        <f>IF(I24=0,"",I24)</f>
        <v>2.4</v>
      </c>
      <c r="M24" s="106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67" t="str">
        <f>IF(K24=0,"",K24)</f>
        <v/>
      </c>
      <c r="O24" s="1181"/>
      <c r="P24" s="1181"/>
      <c r="Q24" s="1181" t="s">
        <v>645</v>
      </c>
      <c r="R24" s="1181"/>
      <c r="S24" s="1181"/>
      <c r="T24" s="1188"/>
      <c r="U24" s="1069"/>
      <c r="V24" s="1069" t="s">
        <v>1976</v>
      </c>
      <c r="W24" s="1069"/>
      <c r="X24" s="1066"/>
      <c r="Y24" s="1224"/>
      <c r="Z24" s="1069"/>
      <c r="AA24" s="1072"/>
      <c r="AB24" s="1069"/>
      <c r="AC24" s="1069"/>
      <c r="AD24" s="1069"/>
    </row>
    <row customHeight="1" ht="36">
      <c r="A25" s="1068"/>
      <c r="B25" s="1122">
        <v>8</v>
      </c>
      <c r="C25" s="1066">
        <v>6</v>
      </c>
      <c r="D25" s="1191"/>
      <c r="E25" s="1066"/>
      <c r="F25" s="1066"/>
      <c r="G25" s="1114"/>
      <c r="H25" s="1182"/>
      <c r="I25" s="1229" t="str">
        <f>INDEX(TEMPLATE_NUMBER_POINT_FHD,B25,MATCH(TEMPLATE_SPHERE,TEMPLATE_SPHERE_LIST_FOR_NOTE,0))</f>
        <v>2.5</v>
      </c>
      <c r="J25" s="122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29">
        <f>INDEX(TEMPLATE_NOTE_POINT_FHD,B25,MATCH(TEMPLATE_SPHERE,TEMPLATE_SPHERE_LIST_FOR_NOTE,0))</f>
        <v>0</v>
      </c>
      <c r="L25" s="1067" t="str">
        <f>IF(I25=0,"",I25)</f>
        <v>2.5</v>
      </c>
      <c r="M25" s="1067" t="str">
        <f>IF(J25=0,"",J25)</f>
        <v>Расходы на приобретаемую электрическую энергию (мощность), используемую в технологическом процессе</v>
      </c>
      <c r="N25" s="1067" t="str">
        <f>IF(K25=0,"",K25)</f>
        <v/>
      </c>
      <c r="O25" s="1181" t="s">
        <v>311</v>
      </c>
      <c r="P25" s="1181" t="s">
        <v>308</v>
      </c>
      <c r="Q25" s="1181" t="s">
        <v>652</v>
      </c>
      <c r="R25" s="1181" t="s">
        <v>308</v>
      </c>
      <c r="S25" s="1181"/>
      <c r="T25" s="1188" t="s">
        <v>1977</v>
      </c>
      <c r="U25" s="1069" t="s">
        <v>1977</v>
      </c>
      <c r="V25" s="1069" t="s">
        <v>1977</v>
      </c>
      <c r="W25" s="1069" t="s">
        <v>1977</v>
      </c>
      <c r="X25" s="1066"/>
      <c r="Y25" s="1224"/>
      <c r="Z25" s="1069"/>
      <c r="AA25" s="1072"/>
      <c r="AB25" s="1069"/>
      <c r="AC25" s="1069"/>
      <c r="AD25" s="1069"/>
    </row>
    <row customHeight="1" ht="18">
      <c r="A26" s="1068"/>
      <c r="B26" s="1122">
        <v>9</v>
      </c>
      <c r="C26" s="1066" t="s">
        <v>824</v>
      </c>
      <c r="D26" s="1191"/>
      <c r="E26" s="1066"/>
      <c r="F26" s="1066"/>
      <c r="G26" s="1114"/>
      <c r="H26" s="1182"/>
      <c r="I26" s="1229" t="str">
        <f>INDEX(TEMPLATE_NUMBER_POINT_FHD,B26,MATCH(TEMPLATE_SPHERE,TEMPLATE_SPHERE_LIST_FOR_NOTE,0))</f>
        <v>2.5.1</v>
      </c>
      <c r="J26" s="1229" t="str">
        <f>INDEX(TEMPLATE_DATA_POINT_FHD,B26,MATCH(TEMPLATE_SPHERE,TEMPLATE_SPHERE_LIST_FOR_NOTE,0))</f>
        <v>Средневзвешенная стоимость 1 кВт.ч (с учетом мощности)</v>
      </c>
      <c r="K26" s="1229">
        <f>INDEX(TEMPLATE_NOTE_POINT_FHD,B26,MATCH(TEMPLATE_SPHERE,TEMPLATE_SPHERE_LIST_FOR_NOTE,0))</f>
        <v>0</v>
      </c>
      <c r="L26" s="1067" t="str">
        <f>IF(I26=0,"",I26)</f>
        <v>2.5.1</v>
      </c>
      <c r="M26" s="1067" t="str">
        <f>IF(J26=0,"",J26)</f>
        <v>Средневзвешенная стоимость 1 кВт.ч (с учетом мощности)</v>
      </c>
      <c r="N26" s="1067" t="str">
        <f>IF(K26=0,"",K26)</f>
        <v/>
      </c>
      <c r="O26" s="1181" t="s">
        <v>641</v>
      </c>
      <c r="P26" s="1181" t="s">
        <v>635</v>
      </c>
      <c r="Q26" s="1181" t="s">
        <v>1978</v>
      </c>
      <c r="R26" s="1181" t="s">
        <v>635</v>
      </c>
      <c r="S26" s="1181"/>
      <c r="T26" s="1188" t="s">
        <v>1979</v>
      </c>
      <c r="U26" s="1188" t="s">
        <v>1979</v>
      </c>
      <c r="V26" s="1188" t="s">
        <v>1979</v>
      </c>
      <c r="W26" s="1188" t="s">
        <v>1979</v>
      </c>
      <c r="X26" s="1066"/>
      <c r="Y26" s="1224"/>
      <c r="Z26" s="1069"/>
      <c r="AA26" s="1072"/>
      <c r="AB26" s="1069"/>
      <c r="AC26" s="1069"/>
      <c r="AD26" s="1069"/>
    </row>
    <row customHeight="1" ht="18">
      <c r="A27" s="1068"/>
      <c r="B27" s="1122">
        <v>10</v>
      </c>
      <c r="C27" s="1066" t="s">
        <v>1980</v>
      </c>
      <c r="D27" s="1191"/>
      <c r="E27" s="1066"/>
      <c r="F27" s="1066"/>
      <c r="G27" s="1114"/>
      <c r="H27" s="1182"/>
      <c r="I27" s="1229" t="str">
        <f>INDEX(TEMPLATE_NUMBER_POINT_FHD,B27,MATCH(TEMPLATE_SPHERE,TEMPLATE_SPHERE_LIST_FOR_NOTE,0))</f>
        <v>2.5.2</v>
      </c>
      <c r="J27" s="1229" t="str">
        <f>INDEX(TEMPLATE_DATA_POINT_FHD,B27,MATCH(TEMPLATE_SPHERE,TEMPLATE_SPHERE_LIST_FOR_NOTE,0))</f>
        <v>Объём приобретения электрической энергии</v>
      </c>
      <c r="K27" s="1229">
        <f>INDEX(TEMPLATE_NOTE_POINT_FHD,B27,MATCH(TEMPLATE_SPHERE,TEMPLATE_SPHERE_LIST_FOR_NOTE,0))</f>
        <v>0</v>
      </c>
      <c r="L27" s="1067" t="str">
        <f>IF(I27=0,"",I27)</f>
        <v>2.5.2</v>
      </c>
      <c r="M27" s="1067" t="str">
        <f>IF(J27=0,"",J27)</f>
        <v>Объём приобретения электрической энергии</v>
      </c>
      <c r="N27" s="1067" t="str">
        <f>IF(K27=0,"",K27)</f>
        <v/>
      </c>
      <c r="O27" s="1181" t="s">
        <v>643</v>
      </c>
      <c r="P27" s="1181" t="s">
        <v>637</v>
      </c>
      <c r="Q27" s="1181" t="s">
        <v>1981</v>
      </c>
      <c r="R27" s="1181" t="s">
        <v>637</v>
      </c>
      <c r="S27" s="1181"/>
      <c r="T27" s="1188" t="s">
        <v>1982</v>
      </c>
      <c r="U27" s="1188" t="s">
        <v>1982</v>
      </c>
      <c r="V27" s="1188" t="s">
        <v>1982</v>
      </c>
      <c r="W27" s="1188" t="s">
        <v>1982</v>
      </c>
      <c r="X27" s="1066"/>
      <c r="Y27" s="1224"/>
      <c r="Z27" s="1069"/>
      <c r="AA27" s="1072"/>
      <c r="AB27" s="1069"/>
      <c r="AC27" s="1069"/>
      <c r="AD27" s="1069"/>
    </row>
    <row customHeight="1" ht="27">
      <c r="A28" s="1068"/>
      <c r="B28" s="1122">
        <v>11</v>
      </c>
      <c r="C28" s="1066">
        <v>7</v>
      </c>
      <c r="D28" s="1191"/>
      <c r="E28" s="1066"/>
      <c r="F28" s="1066"/>
      <c r="G28" s="1114"/>
      <c r="H28" s="1182"/>
      <c r="I28" s="1229">
        <f>INDEX(TEMPLATE_NUMBER_POINT_FHD,B28,MATCH(TEMPLATE_SPHERE,TEMPLATE_SPHERE_LIST_FOR_NOTE,0))</f>
        <v>0</v>
      </c>
      <c r="J28" s="1229">
        <f>INDEX(TEMPLATE_DATA_POINT_FHD,B28,MATCH(TEMPLATE_SPHERE,TEMPLATE_SPHERE_LIST_FOR_NOTE,0))</f>
        <v>0</v>
      </c>
      <c r="K28" s="1229">
        <f>INDEX(TEMPLATE_NOTE_POINT_FHD,B28,MATCH(TEMPLATE_SPHERE,TEMPLATE_SPHERE_LIST_FOR_NOTE,0))</f>
        <v>0</v>
      </c>
      <c r="L28" s="1067" t="str">
        <f>IF(I28=0,"",I28)</f>
        <v/>
      </c>
      <c r="M28" s="1067" t="str">
        <f>IF(J28=0,"",J28)</f>
        <v/>
      </c>
      <c r="N28" s="1067" t="str">
        <f>IF(K28=0,"",K28)</f>
        <v/>
      </c>
      <c r="O28" s="1181" t="s">
        <v>645</v>
      </c>
      <c r="P28" s="1181"/>
      <c r="Q28" s="1181"/>
      <c r="R28" s="1181"/>
      <c r="S28" s="1181"/>
      <c r="T28" s="1188" t="s">
        <v>1983</v>
      </c>
      <c r="U28" s="1069"/>
      <c r="V28" s="1069"/>
      <c r="W28" s="1069"/>
      <c r="X28" s="1066"/>
      <c r="Y28" s="1224"/>
      <c r="Z28" s="1069"/>
      <c r="AA28" s="1072"/>
      <c r="AB28" s="1069"/>
      <c r="AC28" s="1069"/>
      <c r="AD28" s="1069"/>
    </row>
    <row customHeight="1" ht="27">
      <c r="A29" s="1068"/>
      <c r="B29" s="1122">
        <v>12</v>
      </c>
      <c r="C29" s="1066">
        <v>8</v>
      </c>
      <c r="D29" s="1191"/>
      <c r="E29" s="1066"/>
      <c r="F29" s="1066"/>
      <c r="G29" s="1114"/>
      <c r="H29" s="1182"/>
      <c r="I29" s="1229">
        <f>INDEX(TEMPLATE_NUMBER_POINT_FHD,B29,MATCH(TEMPLATE_SPHERE,TEMPLATE_SPHERE_LIST_FOR_NOTE,0))</f>
        <v>0</v>
      </c>
      <c r="J29" s="1229">
        <f>INDEX(TEMPLATE_DATA_POINT_FHD,B29,MATCH(TEMPLATE_SPHERE,TEMPLATE_SPHERE_LIST_FOR_NOTE,0))</f>
        <v>0</v>
      </c>
      <c r="K29" s="1229">
        <f>INDEX(TEMPLATE_NOTE_POINT_FHD,B29,MATCH(TEMPLATE_SPHERE,TEMPLATE_SPHERE_LIST_FOR_NOTE,0))</f>
        <v>0</v>
      </c>
      <c r="L29" s="1067" t="str">
        <f>IF(I29=0,"",I29)</f>
        <v/>
      </c>
      <c r="M29" s="1067" t="str">
        <f>IF(J29=0,"",J29)</f>
        <v/>
      </c>
      <c r="N29" s="1067" t="str">
        <f>IF(K29=0,"",K29)</f>
        <v/>
      </c>
      <c r="O29" s="1181" t="s">
        <v>652</v>
      </c>
      <c r="P29" s="1181" t="s">
        <v>311</v>
      </c>
      <c r="Q29" s="1181"/>
      <c r="R29" s="1181" t="s">
        <v>311</v>
      </c>
      <c r="S29" s="1181"/>
      <c r="T29" s="1188" t="s">
        <v>1984</v>
      </c>
      <c r="U29" s="1069" t="s">
        <v>1984</v>
      </c>
      <c r="V29" s="1069"/>
      <c r="W29" s="1069" t="s">
        <v>1984</v>
      </c>
      <c r="X29" s="1066"/>
      <c r="Y29" s="1224"/>
      <c r="Z29" s="1069"/>
      <c r="AA29" s="1072"/>
      <c r="AB29" s="1069"/>
      <c r="AC29" s="1069"/>
      <c r="AD29" s="1069"/>
    </row>
    <row customHeight="1" ht="54">
      <c r="A30" s="1068"/>
      <c r="B30" s="1122">
        <v>13</v>
      </c>
      <c r="C30" s="1066">
        <v>9</v>
      </c>
      <c r="D30" s="1191"/>
      <c r="E30" s="1066"/>
      <c r="F30" s="1066"/>
      <c r="G30" s="1114"/>
      <c r="H30" s="1182"/>
      <c r="I30" s="1229" t="str">
        <f>INDEX(TEMPLATE_NUMBER_POINT_FHD,B30,MATCH(TEMPLATE_SPHERE,TEMPLATE_SPHERE_LIST_FOR_NOTE,0))</f>
        <v>2.6</v>
      </c>
      <c r="J30" s="122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2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67" t="str">
        <f>IF(I30=0,"",I30)</f>
        <v>2.6</v>
      </c>
      <c r="M30" s="106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67" t="str">
        <f>IF(K30=0,"",K30)</f>
        <v>Указывается общая сумма расходов на оплату труда и отчислений на социальные нужды основного производственного персонала.</v>
      </c>
      <c r="O30" s="1181" t="s">
        <v>654</v>
      </c>
      <c r="P30" s="1181" t="s">
        <v>645</v>
      </c>
      <c r="Q30" s="1181" t="s">
        <v>654</v>
      </c>
      <c r="R30" s="1181" t="s">
        <v>645</v>
      </c>
      <c r="S30" s="1181"/>
      <c r="T30" s="1188" t="s">
        <v>1985</v>
      </c>
      <c r="U30" s="1069" t="s">
        <v>1985</v>
      </c>
      <c r="V30" s="1069" t="s">
        <v>1985</v>
      </c>
      <c r="W30" s="1069" t="s">
        <v>1985</v>
      </c>
      <c r="X30" s="1066"/>
      <c r="Y30" s="1224"/>
      <c r="Z30" s="1069"/>
      <c r="AA30" s="1072" t="s">
        <v>1986</v>
      </c>
      <c r="AB30" s="1072" t="s">
        <v>1986</v>
      </c>
      <c r="AC30" s="1072" t="s">
        <v>1986</v>
      </c>
      <c r="AD30" s="1069"/>
    </row>
    <row customHeight="1" ht="18">
      <c r="A31" s="1068"/>
      <c r="B31" s="1122">
        <v>14</v>
      </c>
      <c r="C31" s="1066" t="s">
        <v>1987</v>
      </c>
      <c r="D31" s="1191"/>
      <c r="E31" s="1066"/>
      <c r="F31" s="1066"/>
      <c r="G31" s="1114"/>
      <c r="H31" s="1182"/>
      <c r="I31" s="1229" t="str">
        <f>INDEX(TEMPLATE_NUMBER_POINT_FHD,B31,MATCH(TEMPLATE_SPHERE,TEMPLATE_SPHERE_LIST_FOR_NOTE,0))</f>
        <v>2.6.1</v>
      </c>
      <c r="J31" s="1229" t="str">
        <f>INDEX(TEMPLATE_DATA_POINT_FHD,B31,MATCH(TEMPLATE_SPHERE,TEMPLATE_SPHERE_LIST_FOR_NOTE,0))</f>
        <v>Расходы на оплату труда основного производственного персонала</v>
      </c>
      <c r="K31" s="1229">
        <f>INDEX(TEMPLATE_NOTE_POINT_FHD,B31,MATCH(TEMPLATE_SPHERE,TEMPLATE_SPHERE_LIST_FOR_NOTE,0))</f>
        <v>0</v>
      </c>
      <c r="L31" s="1067" t="str">
        <f>IF(I31=0,"",I31)</f>
        <v>2.6.1</v>
      </c>
      <c r="M31" s="1067" t="str">
        <f>IF(J31=0,"",J31)</f>
        <v>Расходы на оплату труда основного производственного персонала</v>
      </c>
      <c r="N31" s="1067" t="str">
        <f>IF(K31=0,"",K31)</f>
        <v/>
      </c>
      <c r="O31" s="1181" t="s">
        <v>1988</v>
      </c>
      <c r="P31" s="1181" t="s">
        <v>648</v>
      </c>
      <c r="Q31" s="1181" t="s">
        <v>1988</v>
      </c>
      <c r="R31" s="1181" t="s">
        <v>648</v>
      </c>
      <c r="S31" s="1181"/>
      <c r="T31" s="1189" t="s">
        <v>1989</v>
      </c>
      <c r="U31" s="1069" t="s">
        <v>1989</v>
      </c>
      <c r="V31" s="1069" t="s">
        <v>1989</v>
      </c>
      <c r="W31" s="1069" t="s">
        <v>1989</v>
      </c>
      <c r="X31" s="1066"/>
      <c r="Y31" s="1224"/>
      <c r="Z31" s="1069"/>
      <c r="AA31" s="1072"/>
      <c r="AB31" s="1072"/>
      <c r="AC31" s="1072"/>
      <c r="AD31" s="1069"/>
    </row>
    <row customHeight="1" ht="36">
      <c r="A32" s="1068"/>
      <c r="B32" s="1122">
        <v>15</v>
      </c>
      <c r="C32" s="1066" t="s">
        <v>1990</v>
      </c>
      <c r="D32" s="1191"/>
      <c r="E32" s="1066"/>
      <c r="F32" s="1066"/>
      <c r="G32" s="1114"/>
      <c r="H32" s="1182"/>
      <c r="I32" s="1229" t="str">
        <f>INDEX(TEMPLATE_NUMBER_POINT_FHD,B32,MATCH(TEMPLATE_SPHERE,TEMPLATE_SPHERE_LIST_FOR_NOTE,0))</f>
        <v>2.6.2</v>
      </c>
      <c r="J32" s="122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29">
        <f>INDEX(TEMPLATE_NOTE_POINT_FHD,B32,MATCH(TEMPLATE_SPHERE,TEMPLATE_SPHERE_LIST_FOR_NOTE,0))</f>
        <v>0</v>
      </c>
      <c r="L32" s="1067" t="str">
        <f>IF(I32=0,"",I32)</f>
        <v>2.6.2</v>
      </c>
      <c r="M32" s="1067" t="str">
        <f>IF(J32=0,"",J32)</f>
        <v>Страховые взносы на обязательное социальное страхование, выплачиваемые из фонда оплаты труда основного производственного персонала</v>
      </c>
      <c r="N32" s="1067" t="str">
        <f>IF(K32=0,"",K32)</f>
        <v/>
      </c>
      <c r="O32" s="1181" t="s">
        <v>1991</v>
      </c>
      <c r="P32" s="1181" t="s">
        <v>650</v>
      </c>
      <c r="Q32" s="1181" t="s">
        <v>1991</v>
      </c>
      <c r="R32" s="1181" t="s">
        <v>650</v>
      </c>
      <c r="S32" s="1181"/>
      <c r="T32" s="1190" t="s">
        <v>1992</v>
      </c>
      <c r="U32" s="1069" t="s">
        <v>1992</v>
      </c>
      <c r="V32" s="1069" t="s">
        <v>1992</v>
      </c>
      <c r="W32" s="1069" t="s">
        <v>1992</v>
      </c>
      <c r="X32" s="1066"/>
      <c r="Y32" s="1224"/>
      <c r="Z32" s="1069"/>
      <c r="AA32" s="1072"/>
      <c r="AB32" s="1072"/>
      <c r="AC32" s="1072"/>
      <c r="AD32" s="1069"/>
    </row>
    <row customHeight="1" ht="45">
      <c r="A33" s="1068"/>
      <c r="B33" s="1122">
        <v>16</v>
      </c>
      <c r="C33" s="1066">
        <v>10</v>
      </c>
      <c r="D33" s="1191"/>
      <c r="E33" s="1066"/>
      <c r="F33" s="1066"/>
      <c r="G33" s="1114"/>
      <c r="H33" s="1182"/>
      <c r="I33" s="1229" t="str">
        <f>INDEX(TEMPLATE_NUMBER_POINT_FHD,B33,MATCH(TEMPLATE_SPHERE,TEMPLATE_SPHERE_LIST_FOR_NOTE,0))</f>
        <v>2.7</v>
      </c>
      <c r="J33" s="122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2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67" t="str">
        <f>IF(I33=0,"",I33)</f>
        <v>2.7</v>
      </c>
      <c r="M33" s="106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67" t="str">
        <f>IF(K33=0,"",K33)</f>
        <v>Указывается общая сумма расходов на оплату труда и отчислений на социальные нужды административно-управленческого персонала.</v>
      </c>
      <c r="O33" s="1181" t="s">
        <v>656</v>
      </c>
      <c r="P33" s="1181" t="s">
        <v>652</v>
      </c>
      <c r="Q33" s="1181" t="s">
        <v>656</v>
      </c>
      <c r="R33" s="1181" t="s">
        <v>652</v>
      </c>
      <c r="S33" s="1181"/>
      <c r="T33" s="1189" t="s">
        <v>1993</v>
      </c>
      <c r="U33" s="1069" t="s">
        <v>1993</v>
      </c>
      <c r="V33" s="1069" t="s">
        <v>1993</v>
      </c>
      <c r="W33" s="1069" t="s">
        <v>1994</v>
      </c>
      <c r="X33" s="1066"/>
      <c r="Y33" s="1224"/>
      <c r="Z33" s="1069"/>
      <c r="AA33" s="1072" t="s">
        <v>1995</v>
      </c>
      <c r="AB33" s="1072" t="s">
        <v>1995</v>
      </c>
      <c r="AC33" s="1072" t="s">
        <v>1995</v>
      </c>
      <c r="AD33" s="1069"/>
    </row>
    <row customHeight="1" ht="27">
      <c r="A34" s="1068"/>
      <c r="B34" s="1122">
        <v>17</v>
      </c>
      <c r="C34" s="1066" t="s">
        <v>1996</v>
      </c>
      <c r="D34" s="1191"/>
      <c r="E34" s="1066"/>
      <c r="F34" s="1066"/>
      <c r="G34" s="1114"/>
      <c r="H34" s="1182"/>
      <c r="I34" s="1229" t="str">
        <f>INDEX(TEMPLATE_NUMBER_POINT_FHD,B34,MATCH(TEMPLATE_SPHERE,TEMPLATE_SPHERE_LIST_FOR_NOTE,0))</f>
        <v>2.7.1</v>
      </c>
      <c r="J34" s="1229" t="str">
        <f>INDEX(TEMPLATE_DATA_POINT_FHD,B34,MATCH(TEMPLATE_SPHERE,TEMPLATE_SPHERE_LIST_FOR_NOTE,0))</f>
        <v>Расходы на оплату труда административно-управленческого персонала</v>
      </c>
      <c r="K34" s="1229">
        <f>INDEX(TEMPLATE_NOTE_POINT_FHD,B34,MATCH(TEMPLATE_SPHERE,TEMPLATE_SPHERE_LIST_FOR_NOTE,0))</f>
        <v>0</v>
      </c>
      <c r="L34" s="1067" t="str">
        <f>IF(I34=0,"",I34)</f>
        <v>2.7.1</v>
      </c>
      <c r="M34" s="1067" t="str">
        <f>IF(J34=0,"",J34)</f>
        <v>Расходы на оплату труда административно-управленческого персонала</v>
      </c>
      <c r="N34" s="1067" t="str">
        <f>IF(K34=0,"",K34)</f>
        <v/>
      </c>
      <c r="O34" s="1181" t="s">
        <v>1997</v>
      </c>
      <c r="P34" s="1181" t="s">
        <v>1978</v>
      </c>
      <c r="Q34" s="1181" t="s">
        <v>1997</v>
      </c>
      <c r="R34" s="1181" t="s">
        <v>1978</v>
      </c>
      <c r="S34" s="1181"/>
      <c r="T34" s="1190" t="s">
        <v>1998</v>
      </c>
      <c r="U34" s="1069" t="s">
        <v>1998</v>
      </c>
      <c r="V34" s="1069" t="s">
        <v>1998</v>
      </c>
      <c r="W34" s="1069" t="s">
        <v>1999</v>
      </c>
      <c r="X34" s="1066"/>
      <c r="Y34" s="1224"/>
      <c r="Z34" s="1069"/>
      <c r="AA34" s="1072"/>
      <c r="AB34" s="1069"/>
      <c r="AC34" s="1069"/>
      <c r="AD34" s="1069"/>
    </row>
    <row customHeight="1" ht="45">
      <c r="A35" s="1068"/>
      <c r="B35" s="1122">
        <v>18</v>
      </c>
      <c r="C35" s="1066" t="s">
        <v>2000</v>
      </c>
      <c r="D35" s="1191"/>
      <c r="E35" s="1066"/>
      <c r="F35" s="1066"/>
      <c r="G35" s="1114"/>
      <c r="H35" s="1182"/>
      <c r="I35" s="1229" t="str">
        <f>INDEX(TEMPLATE_NUMBER_POINT_FHD,B35,MATCH(TEMPLATE_SPHERE,TEMPLATE_SPHERE_LIST_FOR_NOTE,0))</f>
        <v>2.7.2</v>
      </c>
      <c r="J35" s="122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29">
        <f>INDEX(TEMPLATE_NOTE_POINT_FHD,B35,MATCH(TEMPLATE_SPHERE,TEMPLATE_SPHERE_LIST_FOR_NOTE,0))</f>
        <v>0</v>
      </c>
      <c r="L35" s="1067" t="str">
        <f>IF(I35=0,"",I35)</f>
        <v>2.7.2</v>
      </c>
      <c r="M35" s="106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67" t="str">
        <f>IF(K35=0,"",K35)</f>
        <v/>
      </c>
      <c r="O35" s="1181" t="s">
        <v>2001</v>
      </c>
      <c r="P35" s="1181" t="s">
        <v>1981</v>
      </c>
      <c r="Q35" s="1181" t="s">
        <v>2001</v>
      </c>
      <c r="R35" s="1181" t="s">
        <v>1981</v>
      </c>
      <c r="S35" s="1181"/>
      <c r="T35" s="1188" t="s">
        <v>2002</v>
      </c>
      <c r="U35" s="1069" t="s">
        <v>2002</v>
      </c>
      <c r="V35" s="1069" t="s">
        <v>2002</v>
      </c>
      <c r="W35" s="1069" t="s">
        <v>2002</v>
      </c>
      <c r="X35" s="1066"/>
      <c r="Y35" s="1224"/>
      <c r="Z35" s="1069"/>
      <c r="AA35" s="1072"/>
      <c r="AB35" s="1069"/>
      <c r="AC35" s="1069"/>
      <c r="AD35" s="1069"/>
    </row>
    <row customHeight="1" ht="18">
      <c r="A36" s="1068"/>
      <c r="B36" s="1122">
        <v>19</v>
      </c>
      <c r="C36" s="1066">
        <v>11</v>
      </c>
      <c r="D36" s="1191"/>
      <c r="E36" s="1066"/>
      <c r="F36" s="1066"/>
      <c r="G36" s="1114"/>
      <c r="H36" s="1182"/>
      <c r="I36" s="1229" t="str">
        <f>INDEX(TEMPLATE_NUMBER_POINT_FHD,B36,MATCH(TEMPLATE_SPHERE,TEMPLATE_SPHERE_LIST_FOR_NOTE,0))</f>
        <v>2.8</v>
      </c>
      <c r="J36" s="1229" t="str">
        <f>INDEX(TEMPLATE_DATA_POINT_FHD,B36,MATCH(TEMPLATE_SPHERE,TEMPLATE_SPHERE_LIST_FOR_NOTE,0))</f>
        <v>Расходы на амортизацию основных средств и нематериальных активов</v>
      </c>
      <c r="K36" s="1229">
        <f>INDEX(TEMPLATE_NOTE_POINT_FHD,B36,MATCH(TEMPLATE_SPHERE,TEMPLATE_SPHERE_LIST_FOR_NOTE,0))</f>
        <v>0</v>
      </c>
      <c r="L36" s="1067" t="str">
        <f>IF(I36=0,"",I36)</f>
        <v>2.8</v>
      </c>
      <c r="M36" s="1067" t="str">
        <f>IF(J36=0,"",J36)</f>
        <v>Расходы на амортизацию основных средств и нематериальных активов</v>
      </c>
      <c r="N36" s="1067" t="str">
        <f>IF(K36=0,"",K36)</f>
        <v/>
      </c>
      <c r="O36" s="1181" t="s">
        <v>658</v>
      </c>
      <c r="P36" s="1181" t="s">
        <v>654</v>
      </c>
      <c r="Q36" s="1181" t="s">
        <v>658</v>
      </c>
      <c r="R36" s="1181" t="s">
        <v>654</v>
      </c>
      <c r="S36" s="1181"/>
      <c r="T36" s="1188" t="s">
        <v>2003</v>
      </c>
      <c r="U36" s="1069" t="s">
        <v>2003</v>
      </c>
      <c r="V36" s="1069" t="s">
        <v>2003</v>
      </c>
      <c r="W36" s="1069" t="s">
        <v>2003</v>
      </c>
      <c r="X36" s="1066"/>
      <c r="Y36" s="1224"/>
      <c r="Z36" s="1069"/>
      <c r="AA36" s="1072"/>
      <c r="AB36" s="1069"/>
      <c r="AC36" s="1069"/>
      <c r="AD36" s="1069"/>
    </row>
    <row customHeight="1" ht="18">
      <c r="A37" s="1068"/>
      <c r="B37" s="1122">
        <v>20</v>
      </c>
      <c r="C37" s="1066" t="s">
        <v>2004</v>
      </c>
      <c r="D37" s="1191"/>
      <c r="E37" s="1066"/>
      <c r="F37" s="1066"/>
      <c r="G37" s="1114"/>
      <c r="H37" s="1182"/>
      <c r="I37" s="1229" t="str">
        <f>INDEX(TEMPLATE_NUMBER_POINT_FHD,B37,MATCH(TEMPLATE_SPHERE,TEMPLATE_SPHERE_LIST_FOR_NOTE,0))</f>
        <v>2.8.1</v>
      </c>
      <c r="J37" s="1229" t="str">
        <f>INDEX(TEMPLATE_DATA_POINT_FHD,B37,MATCH(TEMPLATE_SPHERE,TEMPLATE_SPHERE_LIST_FOR_NOTE,0))</f>
        <v>Расходы на амортизацию основных средств</v>
      </c>
      <c r="K37" s="1229">
        <f>INDEX(TEMPLATE_NOTE_POINT_FHD,B37,MATCH(TEMPLATE_SPHERE,TEMPLATE_SPHERE_LIST_FOR_NOTE,0))</f>
        <v>0</v>
      </c>
      <c r="L37" s="1067" t="str">
        <f>IF(I37=0,"",I37)</f>
        <v>2.8.1</v>
      </c>
      <c r="M37" s="1067" t="str">
        <f>IF(J37=0,"",J37)</f>
        <v>Расходы на амортизацию основных средств</v>
      </c>
      <c r="N37" s="1067" t="str">
        <f>IF(K37=0,"",K37)</f>
        <v/>
      </c>
      <c r="O37" s="1181" t="s">
        <v>2005</v>
      </c>
      <c r="P37" s="1181" t="s">
        <v>1988</v>
      </c>
      <c r="Q37" s="1181" t="s">
        <v>2005</v>
      </c>
      <c r="R37" s="1181" t="s">
        <v>1988</v>
      </c>
      <c r="S37" s="1181"/>
      <c r="T37" s="1188" t="s">
        <v>2006</v>
      </c>
      <c r="U37" s="1069" t="s">
        <v>2006</v>
      </c>
      <c r="V37" s="1069" t="s">
        <v>2006</v>
      </c>
      <c r="W37" s="1069" t="s">
        <v>2006</v>
      </c>
      <c r="X37" s="1066"/>
      <c r="Y37" s="1224"/>
      <c r="Z37" s="1069"/>
      <c r="AA37" s="1072"/>
      <c r="AB37" s="1069"/>
      <c r="AC37" s="1069"/>
      <c r="AD37" s="1069"/>
    </row>
    <row customHeight="1" ht="18">
      <c r="A38" s="1068"/>
      <c r="B38" s="1122">
        <v>21</v>
      </c>
      <c r="C38" s="1066" t="s">
        <v>2007</v>
      </c>
      <c r="D38" s="1191"/>
      <c r="E38" s="1066"/>
      <c r="F38" s="1066"/>
      <c r="G38" s="1114"/>
      <c r="H38" s="1182"/>
      <c r="I38" s="1229" t="str">
        <f>INDEX(TEMPLATE_NUMBER_POINT_FHD,B38,MATCH(TEMPLATE_SPHERE,TEMPLATE_SPHERE_LIST_FOR_NOTE,0))</f>
        <v>2.8.2</v>
      </c>
      <c r="J38" s="1229" t="str">
        <f>INDEX(TEMPLATE_DATA_POINT_FHD,B38,MATCH(TEMPLATE_SPHERE,TEMPLATE_SPHERE_LIST_FOR_NOTE,0))</f>
        <v>Расходы на амортизацию нематериальных активов</v>
      </c>
      <c r="K38" s="1229">
        <f>INDEX(TEMPLATE_NOTE_POINT_FHD,B38,MATCH(TEMPLATE_SPHERE,TEMPLATE_SPHERE_LIST_FOR_NOTE,0))</f>
        <v>0</v>
      </c>
      <c r="L38" s="1067" t="str">
        <f>IF(I38=0,"",I38)</f>
        <v>2.8.2</v>
      </c>
      <c r="M38" s="1067" t="str">
        <f>IF(J38=0,"",J38)</f>
        <v>Расходы на амортизацию нематериальных активов</v>
      </c>
      <c r="N38" s="1067" t="str">
        <f>IF(K38=0,"",K38)</f>
        <v/>
      </c>
      <c r="O38" s="1181" t="s">
        <v>2008</v>
      </c>
      <c r="P38" s="1181" t="s">
        <v>1991</v>
      </c>
      <c r="Q38" s="1181" t="s">
        <v>2008</v>
      </c>
      <c r="R38" s="1181" t="s">
        <v>1991</v>
      </c>
      <c r="S38" s="1181"/>
      <c r="T38" s="1188" t="s">
        <v>2009</v>
      </c>
      <c r="U38" s="1069" t="s">
        <v>2009</v>
      </c>
      <c r="V38" s="1069" t="s">
        <v>2009</v>
      </c>
      <c r="W38" s="1069" t="s">
        <v>2009</v>
      </c>
      <c r="X38" s="1066"/>
      <c r="Y38" s="1224"/>
      <c r="Z38" s="1069"/>
      <c r="AA38" s="1072"/>
      <c r="AB38" s="1069"/>
      <c r="AC38" s="1069"/>
      <c r="AD38" s="1069"/>
    </row>
    <row customHeight="1" ht="36">
      <c r="A39" s="1068"/>
      <c r="B39" s="1122">
        <v>22</v>
      </c>
      <c r="C39" s="1066">
        <v>12</v>
      </c>
      <c r="D39" s="1191"/>
      <c r="E39" s="1066"/>
      <c r="F39" s="1066"/>
      <c r="G39" s="1114"/>
      <c r="H39" s="1182"/>
      <c r="I39" s="1229" t="str">
        <f>INDEX(TEMPLATE_NUMBER_POINT_FHD,B39,MATCH(TEMPLATE_SPHERE,TEMPLATE_SPHERE_LIST_FOR_NOTE,0))</f>
        <v>2.9</v>
      </c>
      <c r="J39" s="122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29">
        <f>INDEX(TEMPLATE_NOTE_POINT_FHD,B39,MATCH(TEMPLATE_SPHERE,TEMPLATE_SPHERE_LIST_FOR_NOTE,0))</f>
        <v>0</v>
      </c>
      <c r="L39" s="1067" t="str">
        <f>IF(I39=0,"",I39)</f>
        <v>2.9</v>
      </c>
      <c r="M39" s="1067" t="str">
        <f>IF(J39=0,"",J39)</f>
        <v>Расходы на аренду имущества, используемого для осуществления регулируемых видов деятельности в сфере горячего водоснабжения</v>
      </c>
      <c r="N39" s="1067" t="str">
        <f>IF(K39=0,"",K39)</f>
        <v/>
      </c>
      <c r="O39" s="1181" t="s">
        <v>662</v>
      </c>
      <c r="P39" s="1181" t="s">
        <v>656</v>
      </c>
      <c r="Q39" s="1181" t="s">
        <v>662</v>
      </c>
      <c r="R39" s="1181" t="s">
        <v>656</v>
      </c>
      <c r="S39" s="1181"/>
      <c r="T39" s="1188" t="s">
        <v>2010</v>
      </c>
      <c r="U39" s="1069" t="s">
        <v>2011</v>
      </c>
      <c r="V39" s="1069" t="s">
        <v>2012</v>
      </c>
      <c r="W39" s="1069" t="s">
        <v>2013</v>
      </c>
      <c r="X39" s="1066"/>
      <c r="Y39" s="1224"/>
      <c r="Z39" s="1069"/>
      <c r="AA39" s="1072"/>
      <c r="AB39" s="1069"/>
      <c r="AC39" s="1069"/>
      <c r="AD39" s="1069"/>
    </row>
    <row customHeight="1" ht="18">
      <c r="A40" s="1068"/>
      <c r="B40" s="1122">
        <v>23</v>
      </c>
      <c r="C40" s="1066">
        <v>13</v>
      </c>
      <c r="D40" s="1191"/>
      <c r="E40" s="1066"/>
      <c r="F40" s="1066"/>
      <c r="G40" s="1066"/>
      <c r="H40" s="1117"/>
      <c r="I40" s="1229" t="str">
        <f>INDEX(TEMPLATE_NUMBER_POINT_FHD,B40,MATCH(TEMPLATE_SPHERE,TEMPLATE_SPHERE_LIST_FOR_NOTE,0))</f>
        <v>2.10</v>
      </c>
      <c r="J40" s="1229" t="str">
        <f>INDEX(TEMPLATE_DATA_POINT_FHD,B40,MATCH(TEMPLATE_SPHERE,TEMPLATE_SPHERE_LIST_FOR_NOTE,0))</f>
        <v>Общепроизводственные расходы, в том числе:</v>
      </c>
      <c r="K40" s="1229" t="str">
        <f>INDEX(TEMPLATE_NOTE_POINT_FHD,B40,MATCH(TEMPLATE_SPHERE,TEMPLATE_SPHERE_LIST_FOR_NOTE,0))</f>
        <v>Указывается общая сумма общепроизводственных расходов.</v>
      </c>
      <c r="L40" s="1067" t="str">
        <f>IF(I40=0,"",I40)</f>
        <v>2.10</v>
      </c>
      <c r="M40" s="1067" t="str">
        <f>IF(J40=0,"",J40)</f>
        <v>Общепроизводственные расходы, в том числе:</v>
      </c>
      <c r="N40" s="1067" t="str">
        <f>IF(K40=0,"",K40)</f>
        <v>Указывается общая сумма общепроизводственных расходов.</v>
      </c>
      <c r="O40" s="1181" t="s">
        <v>2014</v>
      </c>
      <c r="P40" s="1181" t="s">
        <v>658</v>
      </c>
      <c r="Q40" s="1181" t="s">
        <v>2014</v>
      </c>
      <c r="R40" s="1181" t="s">
        <v>658</v>
      </c>
      <c r="S40" s="1181"/>
      <c r="T40" s="1066" t="s">
        <v>2015</v>
      </c>
      <c r="U40" s="1066" t="s">
        <v>2015</v>
      </c>
      <c r="V40" s="1066" t="s">
        <v>2015</v>
      </c>
      <c r="W40" s="1066" t="s">
        <v>2015</v>
      </c>
      <c r="X40" s="1066"/>
      <c r="Y40" s="1224"/>
      <c r="Z40" s="1069" t="s">
        <v>2016</v>
      </c>
      <c r="AA40" s="1072" t="s">
        <v>2016</v>
      </c>
      <c r="AB40" s="1072" t="s">
        <v>2016</v>
      </c>
      <c r="AC40" s="1072" t="s">
        <v>2016</v>
      </c>
      <c r="AD40" s="1069"/>
    </row>
    <row customHeight="1" ht="27">
      <c r="A41" s="1068"/>
      <c r="B41" s="1122">
        <v>24</v>
      </c>
      <c r="C41" s="1066" t="s">
        <v>2017</v>
      </c>
      <c r="D41" s="1191"/>
      <c r="E41" s="1066"/>
      <c r="F41" s="1066"/>
      <c r="G41" s="1066"/>
      <c r="H41" s="1114"/>
      <c r="I41" s="1229" t="str">
        <f>INDEX(TEMPLATE_NUMBER_POINT_FHD,B41,MATCH(TEMPLATE_SPHERE,TEMPLATE_SPHERE_LIST_FOR_NOTE,0))</f>
        <v>2.10.1</v>
      </c>
      <c r="J41" s="1229" t="str">
        <f>INDEX(TEMPLATE_DATA_POINT_FHD,B41,MATCH(TEMPLATE_SPHERE,TEMPLATE_SPHERE_LIST_FOR_NOTE,0))</f>
        <v>Расходы на текущий ремонт</v>
      </c>
      <c r="K41" s="1229" t="str">
        <f>INDEX(TEMPLATE_NOTE_POINT_FHD,B41,MATCH(TEMPLATE_SPHERE,TEMPLATE_SPHERE_LIST_FOR_NOTE,0))</f>
        <v>Указываются расходы на текущий ремонт, отнесенные к общепроизводственным расходам.</v>
      </c>
      <c r="L41" s="1067" t="str">
        <f>IF(I41=0,"",I41)</f>
        <v>2.10.1</v>
      </c>
      <c r="M41" s="1067" t="str">
        <f>IF(J41=0,"",J41)</f>
        <v>Расходы на текущий ремонт</v>
      </c>
      <c r="N41" s="1067" t="str">
        <f>IF(K41=0,"",K41)</f>
        <v>Указываются расходы на текущий ремонт, отнесенные к общепроизводственным расходам.</v>
      </c>
      <c r="O41" s="1181" t="s">
        <v>2018</v>
      </c>
      <c r="P41" s="1181" t="s">
        <v>2005</v>
      </c>
      <c r="Q41" s="1181" t="s">
        <v>2018</v>
      </c>
      <c r="R41" s="1181" t="s">
        <v>2005</v>
      </c>
      <c r="S41" s="1181"/>
      <c r="T41" s="1066" t="s">
        <v>2019</v>
      </c>
      <c r="U41" s="1066" t="s">
        <v>2019</v>
      </c>
      <c r="V41" s="1066" t="s">
        <v>2019</v>
      </c>
      <c r="W41" s="1066" t="s">
        <v>2019</v>
      </c>
      <c r="X41" s="1066"/>
      <c r="Y41" s="1224"/>
      <c r="Z41" s="1069" t="s">
        <v>2020</v>
      </c>
      <c r="AA41" s="1069" t="s">
        <v>2020</v>
      </c>
      <c r="AB41" s="1069" t="s">
        <v>2020</v>
      </c>
      <c r="AC41" s="1069" t="s">
        <v>2020</v>
      </c>
      <c r="AD41" s="1069"/>
    </row>
    <row customHeight="1" ht="27">
      <c r="A42" s="1068"/>
      <c r="B42" s="1122">
        <v>25</v>
      </c>
      <c r="C42" s="1066" t="s">
        <v>2021</v>
      </c>
      <c r="D42" s="1191"/>
      <c r="E42" s="1066"/>
      <c r="F42" s="1066"/>
      <c r="G42" s="1066"/>
      <c r="H42" s="1114"/>
      <c r="I42" s="1229" t="str">
        <f>INDEX(TEMPLATE_NUMBER_POINT_FHD,B42,MATCH(TEMPLATE_SPHERE,TEMPLATE_SPHERE_LIST_FOR_NOTE,0))</f>
        <v>2.10.2</v>
      </c>
      <c r="J42" s="1229" t="str">
        <f>INDEX(TEMPLATE_DATA_POINT_FHD,B42,MATCH(TEMPLATE_SPHERE,TEMPLATE_SPHERE_LIST_FOR_NOTE,0))</f>
        <v>Расходы на капитальный ремонт</v>
      </c>
      <c r="K42" s="1229" t="str">
        <f>INDEX(TEMPLATE_NOTE_POINT_FHD,B42,MATCH(TEMPLATE_SPHERE,TEMPLATE_SPHERE_LIST_FOR_NOTE,0))</f>
        <v>Указываются расходы на капитальный ремонт, отнесенные к общепроизводственным расходам.</v>
      </c>
      <c r="L42" s="1067" t="str">
        <f>IF(I42=0,"",I42)</f>
        <v>2.10.2</v>
      </c>
      <c r="M42" s="1067" t="str">
        <f>IF(J42=0,"",J42)</f>
        <v>Расходы на капитальный ремонт</v>
      </c>
      <c r="N42" s="1067" t="str">
        <f>IF(K42=0,"",K42)</f>
        <v>Указываются расходы на капитальный ремонт, отнесенные к общепроизводственным расходам.</v>
      </c>
      <c r="O42" s="1181" t="s">
        <v>2022</v>
      </c>
      <c r="P42" s="1181" t="s">
        <v>2008</v>
      </c>
      <c r="Q42" s="1181" t="s">
        <v>2022</v>
      </c>
      <c r="R42" s="1181" t="s">
        <v>2008</v>
      </c>
      <c r="S42" s="1181"/>
      <c r="T42" s="1066" t="s">
        <v>2023</v>
      </c>
      <c r="U42" s="1066" t="s">
        <v>2023</v>
      </c>
      <c r="V42" s="1066" t="s">
        <v>2023</v>
      </c>
      <c r="W42" s="1066" t="s">
        <v>2023</v>
      </c>
      <c r="X42" s="1066"/>
      <c r="Y42" s="1224"/>
      <c r="Z42" s="1069" t="s">
        <v>2024</v>
      </c>
      <c r="AA42" s="1069" t="s">
        <v>2024</v>
      </c>
      <c r="AB42" s="1069" t="s">
        <v>2024</v>
      </c>
      <c r="AC42" s="1069" t="s">
        <v>2024</v>
      </c>
      <c r="AD42" s="1069"/>
    </row>
    <row customHeight="1" ht="18">
      <c r="A43" s="1068"/>
      <c r="B43" s="1122">
        <v>26</v>
      </c>
      <c r="C43" s="1066">
        <v>14</v>
      </c>
      <c r="D43" s="1191"/>
      <c r="E43" s="1066"/>
      <c r="F43" s="1066"/>
      <c r="G43" s="1066"/>
      <c r="H43" s="1114"/>
      <c r="I43" s="1229" t="str">
        <f>INDEX(TEMPLATE_NUMBER_POINT_FHD,B43,MATCH(TEMPLATE_SPHERE,TEMPLATE_SPHERE_LIST_FOR_NOTE,0))</f>
        <v>2.11</v>
      </c>
      <c r="J43" s="1229" t="str">
        <f>INDEX(TEMPLATE_DATA_POINT_FHD,B43,MATCH(TEMPLATE_SPHERE,TEMPLATE_SPHERE_LIST_FOR_NOTE,0))</f>
        <v>Общехозяйственные расходы, в том числе:</v>
      </c>
      <c r="K43" s="1229" t="str">
        <f>INDEX(TEMPLATE_NOTE_POINT_FHD,B43,MATCH(TEMPLATE_SPHERE,TEMPLATE_SPHERE_LIST_FOR_NOTE,0))</f>
        <v>Указывается общая сумма общехозяйственных расходов.</v>
      </c>
      <c r="L43" s="1067" t="str">
        <f>IF(I43=0,"",I43)</f>
        <v>2.11</v>
      </c>
      <c r="M43" s="1067" t="str">
        <f>IF(J43=0,"",J43)</f>
        <v>Общехозяйственные расходы, в том числе:</v>
      </c>
      <c r="N43" s="1067" t="str">
        <f>IF(K43=0,"",K43)</f>
        <v>Указывается общая сумма общехозяйственных расходов.</v>
      </c>
      <c r="O43" s="1181" t="s">
        <v>2025</v>
      </c>
      <c r="P43" s="1181" t="s">
        <v>662</v>
      </c>
      <c r="Q43" s="1181" t="s">
        <v>2025</v>
      </c>
      <c r="R43" s="1181" t="s">
        <v>662</v>
      </c>
      <c r="S43" s="1181"/>
      <c r="T43" s="1066" t="s">
        <v>2026</v>
      </c>
      <c r="U43" s="1066" t="s">
        <v>2026</v>
      </c>
      <c r="V43" s="1066" t="s">
        <v>2026</v>
      </c>
      <c r="W43" s="1066" t="s">
        <v>2026</v>
      </c>
      <c r="X43" s="1066"/>
      <c r="Y43" s="1224"/>
      <c r="Z43" s="1069" t="s">
        <v>2027</v>
      </c>
      <c r="AA43" s="1069" t="s">
        <v>2027</v>
      </c>
      <c r="AB43" s="1069" t="s">
        <v>2027</v>
      </c>
      <c r="AC43" s="1069" t="s">
        <v>2027</v>
      </c>
      <c r="AD43" s="1069"/>
    </row>
    <row customHeight="1" ht="27">
      <c r="A44" s="1068"/>
      <c r="B44" s="1122">
        <v>27</v>
      </c>
      <c r="C44" s="1066" t="s">
        <v>2028</v>
      </c>
      <c r="D44" s="1191"/>
      <c r="E44" s="1066"/>
      <c r="F44" s="1066"/>
      <c r="G44" s="1066"/>
      <c r="H44" s="1114"/>
      <c r="I44" s="1229" t="str">
        <f>INDEX(TEMPLATE_NUMBER_POINT_FHD,B44,MATCH(TEMPLATE_SPHERE,TEMPLATE_SPHERE_LIST_FOR_NOTE,0))</f>
        <v>2.11.1</v>
      </c>
      <c r="J44" s="1229" t="str">
        <f>INDEX(TEMPLATE_DATA_POINT_FHD,B44,MATCH(TEMPLATE_SPHERE,TEMPLATE_SPHERE_LIST_FOR_NOTE,0))</f>
        <v>Расходы на текущий ремонт</v>
      </c>
      <c r="K44" s="1229" t="str">
        <f>INDEX(TEMPLATE_NOTE_POINT_FHD,B44,MATCH(TEMPLATE_SPHERE,TEMPLATE_SPHERE_LIST_FOR_NOTE,0))</f>
        <v>Указываются расходы на текущий ремонт, отнесенные к общехозяйственным расходам.</v>
      </c>
      <c r="L44" s="1067" t="str">
        <f>IF(I44=0,"",I44)</f>
        <v>2.11.1</v>
      </c>
      <c r="M44" s="1067" t="str">
        <f>IF(J44=0,"",J44)</f>
        <v>Расходы на текущий ремонт</v>
      </c>
      <c r="N44" s="1067" t="str">
        <f>IF(K44=0,"",K44)</f>
        <v>Указываются расходы на текущий ремонт, отнесенные к общехозяйственным расходам.</v>
      </c>
      <c r="O44" s="1181" t="s">
        <v>2029</v>
      </c>
      <c r="P44" s="1181" t="s">
        <v>2030</v>
      </c>
      <c r="Q44" s="1181" t="s">
        <v>2029</v>
      </c>
      <c r="R44" s="1181" t="s">
        <v>2030</v>
      </c>
      <c r="S44" s="1181"/>
      <c r="T44" s="1066" t="s">
        <v>2019</v>
      </c>
      <c r="U44" s="1066" t="s">
        <v>2019</v>
      </c>
      <c r="V44" s="1066" t="s">
        <v>2019</v>
      </c>
      <c r="W44" s="1066" t="s">
        <v>2019</v>
      </c>
      <c r="X44" s="1066"/>
      <c r="Y44" s="1224"/>
      <c r="Z44" s="1069" t="s">
        <v>2031</v>
      </c>
      <c r="AA44" s="1069" t="s">
        <v>2031</v>
      </c>
      <c r="AB44" s="1069" t="s">
        <v>2031</v>
      </c>
      <c r="AC44" s="1069" t="s">
        <v>2031</v>
      </c>
      <c r="AD44" s="1069"/>
    </row>
    <row customHeight="1" ht="27">
      <c r="A45" s="1068"/>
      <c r="B45" s="1122">
        <v>28</v>
      </c>
      <c r="C45" s="1066" t="s">
        <v>2032</v>
      </c>
      <c r="D45" s="1191"/>
      <c r="E45" s="1066"/>
      <c r="F45" s="1066"/>
      <c r="G45" s="1066"/>
      <c r="H45" s="1114"/>
      <c r="I45" s="1229" t="str">
        <f>INDEX(TEMPLATE_NUMBER_POINT_FHD,B45,MATCH(TEMPLATE_SPHERE,TEMPLATE_SPHERE_LIST_FOR_NOTE,0))</f>
        <v>2.11.2</v>
      </c>
      <c r="J45" s="1229" t="str">
        <f>INDEX(TEMPLATE_DATA_POINT_FHD,B45,MATCH(TEMPLATE_SPHERE,TEMPLATE_SPHERE_LIST_FOR_NOTE,0))</f>
        <v>Расходы на капитальный ремонт</v>
      </c>
      <c r="K45" s="1229" t="str">
        <f>INDEX(TEMPLATE_NOTE_POINT_FHD,B45,MATCH(TEMPLATE_SPHERE,TEMPLATE_SPHERE_LIST_FOR_NOTE,0))</f>
        <v>Указываются расходы на капитальный ремонт, отнесенные к общехозяйственным расходам.</v>
      </c>
      <c r="L45" s="1067" t="str">
        <f>IF(I45=0,"",I45)</f>
        <v>2.11.2</v>
      </c>
      <c r="M45" s="1067" t="str">
        <f>IF(J45=0,"",J45)</f>
        <v>Расходы на капитальный ремонт</v>
      </c>
      <c r="N45" s="1067" t="str">
        <f>IF(K45=0,"",K45)</f>
        <v>Указываются расходы на капитальный ремонт, отнесенные к общехозяйственным расходам.</v>
      </c>
      <c r="O45" s="1181" t="s">
        <v>2033</v>
      </c>
      <c r="P45" s="1181" t="s">
        <v>2034</v>
      </c>
      <c r="Q45" s="1181" t="s">
        <v>2033</v>
      </c>
      <c r="R45" s="1181" t="s">
        <v>2034</v>
      </c>
      <c r="S45" s="1181"/>
      <c r="T45" s="1066" t="s">
        <v>2023</v>
      </c>
      <c r="U45" s="1066" t="s">
        <v>2023</v>
      </c>
      <c r="V45" s="1066" t="s">
        <v>2023</v>
      </c>
      <c r="W45" s="1066" t="s">
        <v>2023</v>
      </c>
      <c r="X45" s="1066"/>
      <c r="Y45" s="1224"/>
      <c r="Z45" s="1069" t="s">
        <v>2035</v>
      </c>
      <c r="AA45" s="1069" t="s">
        <v>2035</v>
      </c>
      <c r="AB45" s="1069" t="s">
        <v>2035</v>
      </c>
      <c r="AC45" s="1069" t="s">
        <v>2035</v>
      </c>
      <c r="AD45" s="1069"/>
    </row>
    <row customHeight="1" ht="54">
      <c r="A46" s="1068"/>
      <c r="B46" s="1122">
        <v>29</v>
      </c>
      <c r="C46" s="1066">
        <v>15</v>
      </c>
      <c r="D46" s="1191"/>
      <c r="E46" s="1066"/>
      <c r="F46" s="1066"/>
      <c r="G46" s="1066"/>
      <c r="H46" s="1114"/>
      <c r="I46" s="1229" t="str">
        <f>INDEX(TEMPLATE_NUMBER_POINT_FHD,B46,MATCH(TEMPLATE_SPHERE,TEMPLATE_SPHERE_LIST_FOR_NOTE,0))</f>
        <v>2.12</v>
      </c>
      <c r="J46" s="1229" t="str">
        <f>INDEX(TEMPLATE_DATA_POINT_FHD,B46,MATCH(TEMPLATE_SPHERE,TEMPLATE_SPHERE_LIST_FOR_NOTE,0))</f>
        <v>Расходы на капитальный и текущий ремонт основных средств</v>
      </c>
      <c r="K46" s="122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67" t="str">
        <f>IF(I46=0,"",I46)</f>
        <v>2.12</v>
      </c>
      <c r="M46" s="1067" t="str">
        <f>IF(J46=0,"",J46)</f>
        <v>Расходы на капитальный и текущий ремонт основных средств</v>
      </c>
      <c r="N46" s="106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1" t="s">
        <v>2036</v>
      </c>
      <c r="P46" s="1181" t="s">
        <v>2014</v>
      </c>
      <c r="Q46" s="1181" t="s">
        <v>2036</v>
      </c>
      <c r="R46" s="1181" t="s">
        <v>2014</v>
      </c>
      <c r="S46" s="1181"/>
      <c r="T46" s="1066" t="s">
        <v>2037</v>
      </c>
      <c r="U46" s="1066" t="s">
        <v>2037</v>
      </c>
      <c r="V46" s="1066" t="s">
        <v>2037</v>
      </c>
      <c r="W46" s="1066" t="s">
        <v>2037</v>
      </c>
      <c r="X46" s="1066"/>
      <c r="Y46" s="1224"/>
      <c r="Z46" s="1069" t="s">
        <v>2038</v>
      </c>
      <c r="AA46" s="1069" t="s">
        <v>2039</v>
      </c>
      <c r="AB46" s="1069" t="s">
        <v>2039</v>
      </c>
      <c r="AC46" s="1069" t="s">
        <v>2039</v>
      </c>
      <c r="AD46" s="1069"/>
    </row>
    <row customHeight="1" ht="54">
      <c r="A47" s="1068"/>
      <c r="B47" s="1122">
        <v>30</v>
      </c>
      <c r="C47" s="1066" t="s">
        <v>2040</v>
      </c>
      <c r="D47" s="1191"/>
      <c r="E47" s="1066"/>
      <c r="F47" s="1066"/>
      <c r="G47" s="1066"/>
      <c r="H47" s="1114"/>
      <c r="I47" s="1229" t="str">
        <f>INDEX(TEMPLATE_NUMBER_POINT_FHD,B47,MATCH(TEMPLATE_SPHERE,TEMPLATE_SPHERE_LIST_FOR_NOTE,0))</f>
        <v>2.12.1</v>
      </c>
      <c r="J47" s="122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29">
        <f>INDEX(TEMPLATE_NOTE_POINT_FHD,B47,MATCH(TEMPLATE_SPHERE,TEMPLATE_SPHERE_LIST_FOR_NOTE,0))</f>
        <v>0</v>
      </c>
      <c r="L47" s="1067" t="str">
        <f>IF(I47=0,"",I47)</f>
        <v>2.12.1</v>
      </c>
      <c r="M47" s="106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67" t="str">
        <f>IF(K47=0,"",K47)</f>
        <v/>
      </c>
      <c r="O47" s="1181" t="s">
        <v>2041</v>
      </c>
      <c r="P47" s="1181" t="s">
        <v>2018</v>
      </c>
      <c r="Q47" s="1181" t="s">
        <v>2041</v>
      </c>
      <c r="R47" s="1181" t="s">
        <v>2018</v>
      </c>
      <c r="S47" s="1181"/>
      <c r="T47" s="1066" t="s">
        <v>2042</v>
      </c>
      <c r="U47" s="1066" t="s">
        <v>2042</v>
      </c>
      <c r="V47" s="1066" t="s">
        <v>2042</v>
      </c>
      <c r="W47" s="1066" t="s">
        <v>2042</v>
      </c>
      <c r="X47" s="1066"/>
      <c r="Y47" s="1224"/>
      <c r="Z47" s="1069"/>
      <c r="AA47" s="1072"/>
      <c r="AB47" s="1072"/>
      <c r="AC47" s="1072"/>
      <c r="AD47" s="1069"/>
    </row>
    <row customHeight="1" ht="54">
      <c r="A48" s="1068"/>
      <c r="B48" s="1122">
        <v>31</v>
      </c>
      <c r="C48" s="1066">
        <v>16</v>
      </c>
      <c r="D48" s="1191"/>
      <c r="E48" s="1066"/>
      <c r="F48" s="1066"/>
      <c r="G48" s="1066"/>
      <c r="H48" s="1114"/>
      <c r="I48" s="1229" t="str">
        <f>INDEX(TEMPLATE_NUMBER_POINT_FHD,B48,MATCH(TEMPLATE_SPHERE,TEMPLATE_SPHERE_LIST_FOR_NOTE,0))</f>
        <v>2.13</v>
      </c>
      <c r="J48" s="122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2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67" t="str">
        <f>IF(I48=0,"",I48)</f>
        <v>2.13</v>
      </c>
      <c r="M48" s="106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6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1"/>
      <c r="P48" s="1181" t="s">
        <v>2025</v>
      </c>
      <c r="Q48" s="1181" t="s">
        <v>2043</v>
      </c>
      <c r="R48" s="1181" t="s">
        <v>2025</v>
      </c>
      <c r="S48" s="1181"/>
      <c r="T48" s="1066"/>
      <c r="U48" s="1066" t="s">
        <v>2044</v>
      </c>
      <c r="V48" s="1066" t="s">
        <v>2045</v>
      </c>
      <c r="W48" s="1066" t="s">
        <v>2045</v>
      </c>
      <c r="X48" s="1066"/>
      <c r="Y48" s="1224"/>
      <c r="Z48" s="1069"/>
      <c r="AA48" s="1072" t="s">
        <v>2039</v>
      </c>
      <c r="AB48" s="1072" t="s">
        <v>2039</v>
      </c>
      <c r="AC48" s="1072" t="s">
        <v>2039</v>
      </c>
      <c r="AD48" s="1069"/>
    </row>
    <row customHeight="1" ht="54">
      <c r="A49" s="1068"/>
      <c r="B49" s="1122">
        <v>32</v>
      </c>
      <c r="C49" s="1066" t="s">
        <v>2046</v>
      </c>
      <c r="D49" s="1191"/>
      <c r="E49" s="1066"/>
      <c r="F49" s="1066"/>
      <c r="G49" s="1066"/>
      <c r="H49" s="1114"/>
      <c r="I49" s="1229" t="str">
        <f>INDEX(TEMPLATE_NUMBER_POINT_FHD,B49,MATCH(TEMPLATE_SPHERE,TEMPLATE_SPHERE_LIST_FOR_NOTE,0))</f>
        <v>2.13.1</v>
      </c>
      <c r="J49" s="122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29">
        <f>INDEX(TEMPLATE_NOTE_POINT_FHD,B49,MATCH(TEMPLATE_SPHERE,TEMPLATE_SPHERE_LIST_FOR_NOTE,0))</f>
        <v>0</v>
      </c>
      <c r="L49" s="1067" t="str">
        <f>IF(I49=0,"",I49)</f>
        <v>2.13.1</v>
      </c>
      <c r="M49" s="106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67" t="str">
        <f>IF(K49=0,"",K49)</f>
        <v/>
      </c>
      <c r="O49" s="1181"/>
      <c r="P49" s="1181" t="s">
        <v>2029</v>
      </c>
      <c r="Q49" s="1181" t="s">
        <v>2047</v>
      </c>
      <c r="R49" s="1181" t="s">
        <v>2029</v>
      </c>
      <c r="S49" s="1181"/>
      <c r="T49" s="1066"/>
      <c r="U49" s="1066" t="s">
        <v>2042</v>
      </c>
      <c r="V49" s="1066" t="s">
        <v>2042</v>
      </c>
      <c r="W49" s="1066" t="s">
        <v>2042</v>
      </c>
      <c r="X49" s="1066"/>
      <c r="Y49" s="1224"/>
      <c r="Z49" s="1069"/>
      <c r="AA49" s="1072"/>
      <c r="AB49" s="1072"/>
      <c r="AC49" s="1072"/>
      <c r="AD49" s="1069"/>
    </row>
    <row customHeight="1" ht="126">
      <c r="A50" s="1068"/>
      <c r="B50" s="1122">
        <v>33</v>
      </c>
      <c r="C50" s="1066">
        <v>17</v>
      </c>
      <c r="D50" s="1191"/>
      <c r="E50" s="1066"/>
      <c r="F50" s="1066"/>
      <c r="G50" s="1066"/>
      <c r="H50" s="1114"/>
      <c r="I50" s="1229" t="str">
        <f>INDEX(TEMPLATE_NUMBER_POINT_FHD,B50,MATCH(TEMPLATE_SPHERE,TEMPLATE_SPHERE_LIST_FOR_NOTE,0))</f>
        <v>2.14</v>
      </c>
      <c r="J50" s="122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2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67" t="str">
        <f>IF(I50=0,"",I50)</f>
        <v>2.14</v>
      </c>
      <c r="M50" s="106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6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1" t="s">
        <v>2043</v>
      </c>
      <c r="P50" s="1181" t="s">
        <v>2036</v>
      </c>
      <c r="Q50" s="1181" t="s">
        <v>2048</v>
      </c>
      <c r="R50" s="1181" t="s">
        <v>2036</v>
      </c>
      <c r="S50" s="1181"/>
      <c r="T50" s="1066" t="s">
        <v>2049</v>
      </c>
      <c r="U50" s="1066" t="s">
        <v>2050</v>
      </c>
      <c r="V50" s="1066" t="s">
        <v>2051</v>
      </c>
      <c r="W50" s="1066" t="s">
        <v>2052</v>
      </c>
      <c r="X50" s="1066"/>
      <c r="Y50" s="1224"/>
      <c r="Z50" s="1069" t="s">
        <v>2053</v>
      </c>
      <c r="AA50" s="1072" t="s">
        <v>2054</v>
      </c>
      <c r="AB50" s="1072" t="s">
        <v>2054</v>
      </c>
      <c r="AC50" s="1072" t="s">
        <v>2054</v>
      </c>
      <c r="AD50" s="1069"/>
    </row>
    <row customHeight="1" ht="27">
      <c r="A51" s="1068"/>
      <c r="B51" s="1122">
        <v>34</v>
      </c>
      <c r="C51" s="1066" t="s">
        <v>2055</v>
      </c>
      <c r="D51" s="1191"/>
      <c r="E51" s="1066"/>
      <c r="F51" s="1066"/>
      <c r="G51" s="1066"/>
      <c r="H51" s="1114"/>
      <c r="I51" s="1229">
        <f>INDEX(TEMPLATE_NUMBER_POINT_FHD,B51,MATCH(TEMPLATE_SPHERE,TEMPLATE_SPHERE_LIST_FOR_NOTE,0))</f>
        <v>0</v>
      </c>
      <c r="J51" s="1229">
        <f>INDEX(TEMPLATE_DATA_POINT_FHD,B51,MATCH(TEMPLATE_SPHERE,TEMPLATE_SPHERE_LIST_FOR_NOTE,0))</f>
        <v>0</v>
      </c>
      <c r="K51" s="1229">
        <f>INDEX(TEMPLATE_NOTE_POINT_FHD,B51,MATCH(TEMPLATE_SPHERE,TEMPLATE_SPHERE_LIST_FOR_NOTE,0))</f>
        <v>0</v>
      </c>
      <c r="L51" s="1067" t="str">
        <f>IF(I51=0,"",I51)</f>
        <v/>
      </c>
      <c r="M51" s="1067" t="str">
        <f>IF(J51=0,"",J51)</f>
        <v/>
      </c>
      <c r="N51" s="1067" t="str">
        <f>IF(K51=0,"",K51)</f>
        <v/>
      </c>
      <c r="O51" s="1181" t="s">
        <v>89</v>
      </c>
      <c r="P51" s="1181"/>
      <c r="Q51" s="1181"/>
      <c r="R51" s="1181"/>
      <c r="S51" s="1181"/>
      <c r="T51" s="1066" t="s">
        <v>2056</v>
      </c>
      <c r="U51" s="1066"/>
      <c r="V51" s="1066"/>
      <c r="W51" s="1066"/>
      <c r="X51" s="1066"/>
      <c r="Y51" s="1224"/>
      <c r="Z51" s="1069"/>
      <c r="AA51" s="1072"/>
      <c r="AB51" s="1072"/>
      <c r="AC51" s="1072"/>
      <c r="AD51" s="1069"/>
    </row>
    <row customHeight="1" ht="36">
      <c r="A52" s="1068"/>
      <c r="B52" s="1122">
        <v>35</v>
      </c>
      <c r="C52" s="1066" t="s">
        <v>1948</v>
      </c>
      <c r="D52" s="1191" t="s">
        <v>1948</v>
      </c>
      <c r="E52" s="1066" t="s">
        <v>1948</v>
      </c>
      <c r="F52" s="1066" t="s">
        <v>1948</v>
      </c>
      <c r="G52" s="1066"/>
      <c r="H52" s="1114"/>
      <c r="I52" s="1229" t="str">
        <f>INDEX(TEMPLATE_NUMBER_POINT_FHD,B52,MATCH(TEMPLATE_SPHERE,TEMPLATE_SPHERE_LIST_FOR_NOTE,0))</f>
        <v>3</v>
      </c>
      <c r="J52" s="122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29" t="str">
        <f>INDEX(TEMPLATE_NOTE_POINT_FHD,B52,MATCH(TEMPLATE_SPHERE,TEMPLATE_SPHERE_LIST_FOR_NOTE,0))</f>
        <v>Указывается общая сумма чистой прибыли, полученной от регулируемого вида деятельности.</v>
      </c>
      <c r="L52" s="1067" t="str">
        <f>IF(I52=0,"",I52)</f>
        <v>3</v>
      </c>
      <c r="M52" s="1067" t="str">
        <f>IF(J52=0,"",J52)</f>
        <v>Чистая прибыль, полученная от регулируемого вида деятельности в сфере горячего водоснабжения, в том числе:</v>
      </c>
      <c r="N52" s="1067" t="str">
        <f>IF(K52=0,"",K52)</f>
        <v>Указывается общая сумма чистой прибыли, полученной от регулируемого вида деятельности.</v>
      </c>
      <c r="O52" s="1181" t="s">
        <v>90</v>
      </c>
      <c r="P52" s="1181" t="s">
        <v>89</v>
      </c>
      <c r="Q52" s="1181" t="s">
        <v>89</v>
      </c>
      <c r="R52" s="1181" t="s">
        <v>89</v>
      </c>
      <c r="S52" s="1181"/>
      <c r="T52" s="1066" t="s">
        <v>2057</v>
      </c>
      <c r="U52" s="1066" t="s">
        <v>2058</v>
      </c>
      <c r="V52" s="1066" t="s">
        <v>2059</v>
      </c>
      <c r="W52" s="1066" t="s">
        <v>2060</v>
      </c>
      <c r="X52" s="1066"/>
      <c r="Y52" s="1224"/>
      <c r="Z52" s="1069" t="s">
        <v>666</v>
      </c>
      <c r="AA52" s="1072" t="s">
        <v>666</v>
      </c>
      <c r="AB52" s="1072" t="s">
        <v>666</v>
      </c>
      <c r="AC52" s="1072" t="s">
        <v>666</v>
      </c>
      <c r="AD52" s="1069"/>
    </row>
    <row customHeight="1" ht="36">
      <c r="A53" s="1068"/>
      <c r="B53" s="1122">
        <v>36</v>
      </c>
      <c r="C53" s="1066">
        <v>1</v>
      </c>
      <c r="D53" s="1191"/>
      <c r="E53" s="1066"/>
      <c r="F53" s="1066"/>
      <c r="G53" s="1066"/>
      <c r="H53" s="1114"/>
      <c r="I53" s="1229" t="str">
        <f>INDEX(TEMPLATE_NUMBER_POINT_FHD,B53,MATCH(TEMPLATE_SPHERE,TEMPLATE_SPHERE_LIST_FOR_NOTE,0))</f>
        <v>3.1</v>
      </c>
      <c r="J53" s="122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29">
        <f>INDEX(TEMPLATE_NOTE_POINT_FHD,B53,MATCH(TEMPLATE_SPHERE,TEMPLATE_SPHERE_LIST_FOR_NOTE,0))</f>
        <v>0</v>
      </c>
      <c r="L53" s="1067" t="str">
        <f>IF(I53=0,"",I53)</f>
        <v>3.1</v>
      </c>
      <c r="M53" s="106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67" t="str">
        <f>IF(K53=0,"",K53)</f>
        <v/>
      </c>
      <c r="O53" s="1181" t="s">
        <v>670</v>
      </c>
      <c r="P53" s="1181" t="s">
        <v>325</v>
      </c>
      <c r="Q53" s="1181" t="s">
        <v>325</v>
      </c>
      <c r="R53" s="1181" t="s">
        <v>325</v>
      </c>
      <c r="S53" s="1181"/>
      <c r="T53" s="1066" t="s">
        <v>2061</v>
      </c>
      <c r="U53" s="1066" t="s">
        <v>2061</v>
      </c>
      <c r="V53" s="1066" t="s">
        <v>2061</v>
      </c>
      <c r="W53" s="1066" t="s">
        <v>2061</v>
      </c>
      <c r="X53" s="1066"/>
      <c r="Y53" s="1224"/>
      <c r="Z53" s="1069"/>
      <c r="AA53" s="1072"/>
      <c r="AB53" s="1069"/>
      <c r="AC53" s="1069"/>
      <c r="AD53" s="1069"/>
    </row>
    <row customHeight="1" ht="18">
      <c r="A54" s="1068"/>
      <c r="B54" s="1122">
        <v>37</v>
      </c>
      <c r="C54" s="1066" t="s">
        <v>1954</v>
      </c>
      <c r="D54" s="1191" t="s">
        <v>1954</v>
      </c>
      <c r="E54" s="1066" t="s">
        <v>1954</v>
      </c>
      <c r="F54" s="1066" t="s">
        <v>1954</v>
      </c>
      <c r="G54" s="1066"/>
      <c r="H54" s="1114"/>
      <c r="I54" s="1229" t="str">
        <f>INDEX(TEMPLATE_NUMBER_POINT_FHD,B54,MATCH(TEMPLATE_SPHERE,TEMPLATE_SPHERE_LIST_FOR_NOTE,0))</f>
        <v>4</v>
      </c>
      <c r="J54" s="1229" t="str">
        <f>INDEX(TEMPLATE_DATA_POINT_FHD,B54,MATCH(TEMPLATE_SPHERE,TEMPLATE_SPHERE_LIST_FOR_NOTE,0))</f>
        <v>Изменение стоимости основных фондов, в том числе:</v>
      </c>
      <c r="K54" s="1229" t="str">
        <f>INDEX(TEMPLATE_NOTE_POINT_FHD,B54,MATCH(TEMPLATE_SPHERE,TEMPLATE_SPHERE_LIST_FOR_NOTE,0))</f>
        <v>Указывается общее изменение стоимости основных фондов.</v>
      </c>
      <c r="L54" s="1067" t="str">
        <f>IF(I54=0,"",I54)</f>
        <v>4</v>
      </c>
      <c r="M54" s="1067" t="str">
        <f>IF(J54=0,"",J54)</f>
        <v>Изменение стоимости основных фондов, в том числе:</v>
      </c>
      <c r="N54" s="1067" t="str">
        <f>IF(K54=0,"",K54)</f>
        <v>Указывается общее изменение стоимости основных фондов.</v>
      </c>
      <c r="O54" s="1181" t="s">
        <v>110</v>
      </c>
      <c r="P54" s="1181" t="s">
        <v>90</v>
      </c>
      <c r="Q54" s="1181" t="s">
        <v>90</v>
      </c>
      <c r="R54" s="1181" t="s">
        <v>90</v>
      </c>
      <c r="S54" s="1181"/>
      <c r="T54" s="1066" t="s">
        <v>668</v>
      </c>
      <c r="U54" s="1066" t="s">
        <v>668</v>
      </c>
      <c r="V54" s="1066" t="s">
        <v>668</v>
      </c>
      <c r="W54" s="1066" t="s">
        <v>668</v>
      </c>
      <c r="X54" s="1066"/>
      <c r="Y54" s="1224"/>
      <c r="Z54" s="1069" t="s">
        <v>669</v>
      </c>
      <c r="AA54" s="1069" t="s">
        <v>669</v>
      </c>
      <c r="AB54" s="1069" t="s">
        <v>669</v>
      </c>
      <c r="AC54" s="1069" t="s">
        <v>669</v>
      </c>
      <c r="AD54" s="1069"/>
    </row>
    <row customHeight="1" ht="36">
      <c r="A55" s="1068"/>
      <c r="B55" s="1122">
        <v>38</v>
      </c>
      <c r="C55" s="1066">
        <v>1</v>
      </c>
      <c r="D55" s="1191"/>
      <c r="E55" s="1066"/>
      <c r="F55" s="1066"/>
      <c r="G55" s="1066"/>
      <c r="H55" s="1114"/>
      <c r="I55" s="1229" t="str">
        <f>INDEX(TEMPLATE_NUMBER_POINT_FHD,B55,MATCH(TEMPLATE_SPHERE,TEMPLATE_SPHERE_LIST_FOR_NOTE,0))</f>
        <v>4.1</v>
      </c>
      <c r="J55" s="1229" t="str">
        <f>INDEX(TEMPLATE_DATA_POINT_FHD,B55,MATCH(TEMPLATE_SPHERE,TEMPLATE_SPHERE_LIST_FOR_NOTE,0))</f>
        <v>Изменение стоимости основных фондов за счет их ввода в эксплуатацию (вывода из эксплуатации)</v>
      </c>
      <c r="K55" s="122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67" t="str">
        <f>IF(I55=0,"",I55)</f>
        <v>4.1</v>
      </c>
      <c r="M55" s="1067" t="str">
        <f>IF(J55=0,"",J55)</f>
        <v>Изменение стоимости основных фондов за счет их ввода в эксплуатацию (вывода из эксплуатации)</v>
      </c>
      <c r="N55" s="1067" t="str">
        <f>IF(K55=0,"",K55)</f>
        <v>Указываются общее изменение стоимости основных фондов за счет их ввода в эксплуатацию и вывода из эксплуатации.</v>
      </c>
      <c r="O55" s="1181" t="s">
        <v>314</v>
      </c>
      <c r="P55" s="1181" t="s">
        <v>670</v>
      </c>
      <c r="Q55" s="1181" t="s">
        <v>670</v>
      </c>
      <c r="R55" s="1181" t="s">
        <v>670</v>
      </c>
      <c r="S55" s="1181"/>
      <c r="T55" s="1066" t="s">
        <v>2062</v>
      </c>
      <c r="U55" s="1066" t="s">
        <v>2063</v>
      </c>
      <c r="V55" s="1066" t="s">
        <v>2063</v>
      </c>
      <c r="W55" s="1066" t="s">
        <v>2063</v>
      </c>
      <c r="X55" s="1066"/>
      <c r="Y55" s="1224"/>
      <c r="Z55" s="1069" t="s">
        <v>2064</v>
      </c>
      <c r="AA55" s="1069" t="s">
        <v>2064</v>
      </c>
      <c r="AB55" s="1069" t="s">
        <v>2064</v>
      </c>
      <c r="AC55" s="1069" t="s">
        <v>2064</v>
      </c>
      <c r="AD55" s="1069"/>
    </row>
    <row customHeight="1" ht="27">
      <c r="A56" s="1068"/>
      <c r="B56" s="1122">
        <v>39</v>
      </c>
      <c r="C56" s="1066" t="s">
        <v>942</v>
      </c>
      <c r="D56" s="1191"/>
      <c r="E56" s="1066"/>
      <c r="F56" s="1066"/>
      <c r="G56" s="1066"/>
      <c r="H56" s="1114"/>
      <c r="I56" s="1229" t="str">
        <f>INDEX(TEMPLATE_NUMBER_POINT_FHD,B56,MATCH(TEMPLATE_SPHERE,TEMPLATE_SPHERE_LIST_FOR_NOTE,0))</f>
        <v>4.1.1</v>
      </c>
      <c r="J56" s="1229" t="str">
        <f>INDEX(TEMPLATE_DATA_POINT_FHD,B56,MATCH(TEMPLATE_SPHERE,TEMPLATE_SPHERE_LIST_FOR_NOTE,0))</f>
        <v>Изменение стоимости основных фондов за счет их ввода в эксплуатацию</v>
      </c>
      <c r="K56" s="1229" t="str">
        <f>INDEX(TEMPLATE_NOTE_POINT_FHD,B56,MATCH(TEMPLATE_SPHERE,TEMPLATE_SPHERE_LIST_FOR_NOTE,0))</f>
        <v>Указываются изменение стоимости основных фондов за счет их ввода в эксплуатацию.</v>
      </c>
      <c r="L56" s="1067" t="str">
        <f>IF(I56=0,"",I56)</f>
        <v>4.1.1</v>
      </c>
      <c r="M56" s="1067" t="str">
        <f>IF(J56=0,"",J56)</f>
        <v>Изменение стоимости основных фондов за счет их ввода в эксплуатацию</v>
      </c>
      <c r="N56" s="1067" t="str">
        <f>IF(K56=0,"",K56)</f>
        <v>Указываются изменение стоимости основных фондов за счет их ввода в эксплуатацию.</v>
      </c>
      <c r="O56" s="1181" t="s">
        <v>1059</v>
      </c>
      <c r="P56" s="1181" t="s">
        <v>673</v>
      </c>
      <c r="Q56" s="1181" t="s">
        <v>673</v>
      </c>
      <c r="R56" s="1181" t="s">
        <v>673</v>
      </c>
      <c r="S56" s="1181"/>
      <c r="T56" s="1066" t="s">
        <v>2065</v>
      </c>
      <c r="U56" s="1066" t="s">
        <v>2066</v>
      </c>
      <c r="V56" s="1066" t="s">
        <v>2066</v>
      </c>
      <c r="W56" s="1066" t="s">
        <v>2066</v>
      </c>
      <c r="X56" s="1066"/>
      <c r="Y56" s="1224"/>
      <c r="Z56" s="1069" t="s">
        <v>675</v>
      </c>
      <c r="AA56" s="1069" t="s">
        <v>675</v>
      </c>
      <c r="AB56" s="1069" t="s">
        <v>675</v>
      </c>
      <c r="AC56" s="1069" t="s">
        <v>675</v>
      </c>
      <c r="AD56" s="1069"/>
    </row>
    <row customHeight="1" ht="27">
      <c r="A57" s="1068"/>
      <c r="B57" s="1122">
        <v>40</v>
      </c>
      <c r="C57" s="1066" t="s">
        <v>944</v>
      </c>
      <c r="D57" s="1191"/>
      <c r="E57" s="1066"/>
      <c r="F57" s="1066"/>
      <c r="G57" s="1066"/>
      <c r="H57" s="1114"/>
      <c r="I57" s="1229" t="str">
        <f>INDEX(TEMPLATE_NUMBER_POINT_FHD,B57,MATCH(TEMPLATE_SPHERE,TEMPLATE_SPHERE_LIST_FOR_NOTE,0))</f>
        <v>4.1.2</v>
      </c>
      <c r="J57" s="1229" t="str">
        <f>INDEX(TEMPLATE_DATA_POINT_FHD,B57,MATCH(TEMPLATE_SPHERE,TEMPLATE_SPHERE_LIST_FOR_NOTE,0))</f>
        <v>Изменение стоимости основных фондов за счет их вывода в эксплуатацию</v>
      </c>
      <c r="K57" s="1229" t="str">
        <f>INDEX(TEMPLATE_NOTE_POINT_FHD,B57,MATCH(TEMPLATE_SPHERE,TEMPLATE_SPHERE_LIST_FOR_NOTE,0))</f>
        <v>Указываются изменение стоимости основных фондов за счет их вывода из эксплуатации.</v>
      </c>
      <c r="L57" s="1067" t="str">
        <f>IF(I57=0,"",I57)</f>
        <v>4.1.2</v>
      </c>
      <c r="M57" s="1067" t="str">
        <f>IF(J57=0,"",J57)</f>
        <v>Изменение стоимости основных фондов за счет их вывода в эксплуатацию</v>
      </c>
      <c r="N57" s="1067" t="str">
        <f>IF(K57=0,"",K57)</f>
        <v>Указываются изменение стоимости основных фондов за счет их вывода из эксплуатации.</v>
      </c>
      <c r="O57" s="1181" t="s">
        <v>2067</v>
      </c>
      <c r="P57" s="1181" t="s">
        <v>676</v>
      </c>
      <c r="Q57" s="1181" t="s">
        <v>676</v>
      </c>
      <c r="R57" s="1181" t="s">
        <v>676</v>
      </c>
      <c r="S57" s="1181"/>
      <c r="T57" s="1066" t="s">
        <v>2068</v>
      </c>
      <c r="U57" s="1066" t="s">
        <v>2069</v>
      </c>
      <c r="V57" s="1066" t="s">
        <v>2069</v>
      </c>
      <c r="W57" s="1066" t="s">
        <v>2069</v>
      </c>
      <c r="X57" s="1066"/>
      <c r="Y57" s="1224"/>
      <c r="Z57" s="1069" t="s">
        <v>678</v>
      </c>
      <c r="AA57" s="1069" t="s">
        <v>678</v>
      </c>
      <c r="AB57" s="1069" t="s">
        <v>678</v>
      </c>
      <c r="AC57" s="1069" t="s">
        <v>678</v>
      </c>
      <c r="AD57" s="1069"/>
    </row>
    <row customHeight="1" ht="18">
      <c r="A58" s="1068"/>
      <c r="B58" s="1122">
        <v>41</v>
      </c>
      <c r="C58" s="1066">
        <v>2</v>
      </c>
      <c r="D58" s="1191"/>
      <c r="E58" s="1066"/>
      <c r="F58" s="1066"/>
      <c r="G58" s="1066"/>
      <c r="H58" s="1114"/>
      <c r="I58" s="1229" t="str">
        <f>INDEX(TEMPLATE_NUMBER_POINT_FHD,B58,MATCH(TEMPLATE_SPHERE,TEMPLATE_SPHERE_LIST_FOR_NOTE,0))</f>
        <v>4.2</v>
      </c>
      <c r="J58" s="1229" t="str">
        <f>INDEX(TEMPLATE_DATA_POINT_FHD,B58,MATCH(TEMPLATE_SPHERE,TEMPLATE_SPHERE_LIST_FOR_NOTE,0))</f>
        <v>Изменение стоимости основных фондов за счет их переоценки</v>
      </c>
      <c r="K58" s="1229">
        <f>INDEX(TEMPLATE_NOTE_POINT_FHD,B58,MATCH(TEMPLATE_SPHERE,TEMPLATE_SPHERE_LIST_FOR_NOTE,0))</f>
        <v>0</v>
      </c>
      <c r="L58" s="1067" t="str">
        <f>IF(I58=0,"",I58)</f>
        <v>4.2</v>
      </c>
      <c r="M58" s="1067" t="str">
        <f>IF(J58=0,"",J58)</f>
        <v>Изменение стоимости основных фондов за счет их переоценки</v>
      </c>
      <c r="N58" s="1067" t="str">
        <f>IF(K58=0,"",K58)</f>
        <v/>
      </c>
      <c r="O58" s="1181" t="s">
        <v>799</v>
      </c>
      <c r="P58" s="1181" t="s">
        <v>713</v>
      </c>
      <c r="Q58" s="1181" t="s">
        <v>713</v>
      </c>
      <c r="R58" s="1181" t="s">
        <v>713</v>
      </c>
      <c r="S58" s="1181"/>
      <c r="T58" s="1066" t="s">
        <v>2070</v>
      </c>
      <c r="U58" s="1066" t="s">
        <v>2070</v>
      </c>
      <c r="V58" s="1066" t="s">
        <v>2070</v>
      </c>
      <c r="W58" s="1066" t="s">
        <v>2070</v>
      </c>
      <c r="X58" s="1066"/>
      <c r="Y58" s="1224"/>
      <c r="Z58" s="1069"/>
      <c r="AA58" s="1072"/>
      <c r="AB58" s="1069"/>
      <c r="AC58" s="1069"/>
      <c r="AD58" s="1069"/>
    </row>
    <row customHeight="1" ht="36">
      <c r="A59" s="1068"/>
      <c r="B59" s="1122">
        <v>42</v>
      </c>
      <c r="C59" s="1066">
        <v>3</v>
      </c>
      <c r="D59" s="1191" t="s">
        <v>2055</v>
      </c>
      <c r="E59" s="1066" t="s">
        <v>2055</v>
      </c>
      <c r="F59" s="1066" t="s">
        <v>2055</v>
      </c>
      <c r="G59" s="1066"/>
      <c r="H59" s="1114"/>
      <c r="I59" s="1229" t="str">
        <f>INDEX(TEMPLATE_NUMBER_POINT_FHD,B59,MATCH(TEMPLATE_SPHERE,TEMPLATE_SPHERE_LIST_FOR_NOTE,0))</f>
        <v>5</v>
      </c>
      <c r="J59" s="122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29">
        <f>INDEX(TEMPLATE_NOTE_POINT_FHD,B59,MATCH(TEMPLATE_SPHERE,TEMPLATE_SPHERE_LIST_FOR_NOTE,0))</f>
        <v>0</v>
      </c>
      <c r="L59" s="1067" t="str">
        <f>IF(I59=0,"",I59)</f>
        <v>5</v>
      </c>
      <c r="M59" s="1067" t="str">
        <f>IF(J59=0,"",J59)</f>
        <v>Валовая прибыль (убытки) от продажи товаров и услуг по регулируемым видам деятельности в сфере горячего водоснабжения</v>
      </c>
      <c r="N59" s="1067" t="str">
        <f>IF(K59=0,"",K59)</f>
        <v/>
      </c>
      <c r="O59" s="1181"/>
      <c r="P59" s="1181" t="s">
        <v>110</v>
      </c>
      <c r="Q59" s="1181" t="s">
        <v>110</v>
      </c>
      <c r="R59" s="1181" t="s">
        <v>110</v>
      </c>
      <c r="S59" s="1181"/>
      <c r="T59" s="1066"/>
      <c r="U59" s="1066" t="s">
        <v>2071</v>
      </c>
      <c r="V59" s="1066" t="s">
        <v>2072</v>
      </c>
      <c r="W59" s="1066" t="s">
        <v>2073</v>
      </c>
      <c r="X59" s="1066"/>
      <c r="Y59" s="1224"/>
      <c r="Z59" s="1069"/>
      <c r="AA59" s="1072"/>
      <c r="AB59" s="1069"/>
      <c r="AC59" s="1069"/>
      <c r="AD59" s="1069"/>
    </row>
    <row customHeight="1" ht="81">
      <c r="A60" s="1068"/>
      <c r="B60" s="1122">
        <v>43</v>
      </c>
      <c r="C60" s="1066" t="s">
        <v>2074</v>
      </c>
      <c r="D60" s="1191" t="s">
        <v>2074</v>
      </c>
      <c r="E60" s="1066" t="s">
        <v>2074</v>
      </c>
      <c r="F60" s="1066" t="s">
        <v>2074</v>
      </c>
      <c r="G60" s="1066"/>
      <c r="H60" s="1114"/>
      <c r="I60" s="1229" t="str">
        <f>INDEX(TEMPLATE_NUMBER_POINT_FHD,B60,MATCH(TEMPLATE_SPHERE,TEMPLATE_SPHERE_LIST_FOR_NOTE,0))</f>
        <v>6</v>
      </c>
      <c r="J60" s="122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2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67" t="str">
        <f>IF(I60=0,"",I60)</f>
        <v>6</v>
      </c>
      <c r="M60" s="1067" t="str">
        <f>IF(J60=0,"",J60)</f>
        <v>Годовая бухгалтерская (финансовая) отчетность, включая бухгалтерский баланс и приложения к нему</v>
      </c>
      <c r="N60" s="106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81" t="s">
        <v>91</v>
      </c>
      <c r="P60" s="1181" t="s">
        <v>91</v>
      </c>
      <c r="Q60" s="1181" t="s">
        <v>91</v>
      </c>
      <c r="R60" s="1181" t="s">
        <v>91</v>
      </c>
      <c r="S60" s="1181"/>
      <c r="T60" s="1066" t="s">
        <v>682</v>
      </c>
      <c r="U60" s="1066" t="s">
        <v>682</v>
      </c>
      <c r="V60" s="1066" t="s">
        <v>682</v>
      </c>
      <c r="W60" s="1066" t="s">
        <v>682</v>
      </c>
      <c r="X60" s="1066"/>
      <c r="Y60" s="1224"/>
      <c r="Z60" s="1069" t="s">
        <v>2075</v>
      </c>
      <c r="AA60" s="1072" t="s">
        <v>2076</v>
      </c>
      <c r="AB60" s="1069" t="s">
        <v>2077</v>
      </c>
      <c r="AC60" s="1069" t="s">
        <v>2076</v>
      </c>
      <c r="AD60" s="1069"/>
    </row>
    <row customHeight="1" ht="9">
      <c r="A61" s="1068"/>
      <c r="B61" s="1122">
        <v>44</v>
      </c>
      <c r="C61" s="1066"/>
      <c r="D61" s="1191" t="s">
        <v>2078</v>
      </c>
      <c r="E61" s="1066"/>
      <c r="F61" s="1066"/>
      <c r="G61" s="1066"/>
      <c r="H61" s="1114"/>
      <c r="I61" s="1229">
        <f>INDEX(TEMPLATE_NUMBER_POINT_FHD,B61,MATCH(TEMPLATE_SPHERE,TEMPLATE_SPHERE_LIST_FOR_NOTE,0))</f>
        <v>0</v>
      </c>
      <c r="J61" s="1229">
        <f>INDEX(TEMPLATE_DATA_POINT_FHD,B61,MATCH(TEMPLATE_SPHERE,TEMPLATE_SPHERE_LIST_FOR_NOTE,0))</f>
        <v>0</v>
      </c>
      <c r="K61" s="1229">
        <f>INDEX(TEMPLATE_NOTE_POINT_FHD,B61,MATCH(TEMPLATE_SPHERE,TEMPLATE_SPHERE_LIST_FOR_NOTE,0))</f>
        <v>0</v>
      </c>
      <c r="L61" s="1067" t="str">
        <f>IF(I61=0,"",I61)</f>
        <v/>
      </c>
      <c r="M61" s="1067" t="str">
        <f>IF(J61=0,"",J61)</f>
        <v/>
      </c>
      <c r="N61" s="1067" t="str">
        <f>IF(K61=0,"",K61)</f>
        <v/>
      </c>
      <c r="O61" s="1181"/>
      <c r="P61" s="1181" t="s">
        <v>92</v>
      </c>
      <c r="Q61" s="1181"/>
      <c r="R61" s="1181"/>
      <c r="S61" s="1181"/>
      <c r="T61" s="1066"/>
      <c r="U61" s="1066" t="s">
        <v>2079</v>
      </c>
      <c r="V61" s="1066"/>
      <c r="W61" s="1066"/>
      <c r="X61" s="1066"/>
      <c r="Y61" s="1224"/>
      <c r="Z61" s="1069"/>
      <c r="AA61" s="1072"/>
      <c r="AB61" s="1069"/>
      <c r="AC61" s="1069"/>
      <c r="AD61" s="1069"/>
    </row>
    <row customHeight="1" ht="9">
      <c r="A62" s="1068"/>
      <c r="B62" s="1122">
        <v>45</v>
      </c>
      <c r="C62" s="1066"/>
      <c r="D62" s="1191" t="s">
        <v>2080</v>
      </c>
      <c r="E62" s="1066"/>
      <c r="F62" s="1066"/>
      <c r="G62" s="1066"/>
      <c r="H62" s="1114"/>
      <c r="I62" s="1229">
        <f>INDEX(TEMPLATE_NUMBER_POINT_FHD,B62,MATCH(TEMPLATE_SPHERE,TEMPLATE_SPHERE_LIST_FOR_NOTE,0))</f>
        <v>0</v>
      </c>
      <c r="J62" s="1229">
        <f>INDEX(TEMPLATE_DATA_POINT_FHD,B62,MATCH(TEMPLATE_SPHERE,TEMPLATE_SPHERE_LIST_FOR_NOTE,0))</f>
        <v>0</v>
      </c>
      <c r="K62" s="1229">
        <f>INDEX(TEMPLATE_NOTE_POINT_FHD,B62,MATCH(TEMPLATE_SPHERE,TEMPLATE_SPHERE_LIST_FOR_NOTE,0))</f>
        <v>0</v>
      </c>
      <c r="L62" s="1067" t="str">
        <f>IF(I62=0,"",I62)</f>
        <v/>
      </c>
      <c r="M62" s="1067" t="str">
        <f>IF(J62=0,"",J62)</f>
        <v/>
      </c>
      <c r="N62" s="1067" t="str">
        <f>IF(K62=0,"",K62)</f>
        <v/>
      </c>
      <c r="O62" s="1181"/>
      <c r="P62" s="1181" t="s">
        <v>111</v>
      </c>
      <c r="Q62" s="1181"/>
      <c r="R62" s="1181"/>
      <c r="S62" s="1181"/>
      <c r="T62" s="1066"/>
      <c r="U62" s="1066" t="s">
        <v>2081</v>
      </c>
      <c r="V62" s="1066"/>
      <c r="W62" s="1066"/>
      <c r="X62" s="1066"/>
      <c r="Y62" s="1224"/>
      <c r="Z62" s="1069"/>
      <c r="AA62" s="1072"/>
      <c r="AB62" s="1069"/>
      <c r="AC62" s="1069"/>
      <c r="AD62" s="1069"/>
    </row>
    <row customHeight="1" ht="18">
      <c r="A63" s="1068"/>
      <c r="B63" s="1122">
        <v>46</v>
      </c>
      <c r="C63" s="1066"/>
      <c r="D63" s="1191" t="s">
        <v>2082</v>
      </c>
      <c r="E63" s="1066"/>
      <c r="F63" s="1066"/>
      <c r="G63" s="1066"/>
      <c r="H63" s="1114"/>
      <c r="I63" s="1229">
        <f>INDEX(TEMPLATE_NUMBER_POINT_FHD,B63,MATCH(TEMPLATE_SPHERE,TEMPLATE_SPHERE_LIST_FOR_NOTE,0))</f>
        <v>0</v>
      </c>
      <c r="J63" s="1229">
        <f>INDEX(TEMPLATE_DATA_POINT_FHD,B63,MATCH(TEMPLATE_SPHERE,TEMPLATE_SPHERE_LIST_FOR_NOTE,0))</f>
        <v>0</v>
      </c>
      <c r="K63" s="1229">
        <f>INDEX(TEMPLATE_NOTE_POINT_FHD,B63,MATCH(TEMPLATE_SPHERE,TEMPLATE_SPHERE_LIST_FOR_NOTE,0))</f>
        <v>0</v>
      </c>
      <c r="L63" s="1067" t="str">
        <f>IF(I63=0,"",I63)</f>
        <v/>
      </c>
      <c r="M63" s="1067" t="str">
        <f>IF(J63=0,"",J63)</f>
        <v/>
      </c>
      <c r="N63" s="1067" t="str">
        <f>IF(K63=0,"",K63)</f>
        <v/>
      </c>
      <c r="O63" s="1181"/>
      <c r="P63" s="1181" t="s">
        <v>147</v>
      </c>
      <c r="Q63" s="1181"/>
      <c r="R63" s="1181"/>
      <c r="S63" s="1181"/>
      <c r="T63" s="1066"/>
      <c r="U63" s="1066" t="s">
        <v>2083</v>
      </c>
      <c r="V63" s="1066"/>
      <c r="W63" s="1066"/>
      <c r="X63" s="1066"/>
      <c r="Y63" s="1224"/>
      <c r="Z63" s="1069"/>
      <c r="AA63" s="1072"/>
      <c r="AB63" s="1069"/>
      <c r="AC63" s="1069"/>
      <c r="AD63" s="1069"/>
    </row>
    <row customHeight="1" ht="18">
      <c r="A64" s="1068"/>
      <c r="B64" s="1122">
        <v>47</v>
      </c>
      <c r="C64" s="1066"/>
      <c r="D64" s="1191" t="s">
        <v>2084</v>
      </c>
      <c r="E64" s="1066"/>
      <c r="F64" s="1066"/>
      <c r="G64" s="1066"/>
      <c r="H64" s="1114"/>
      <c r="I64" s="1229">
        <f>INDEX(TEMPLATE_NUMBER_POINT_FHD,B64,MATCH(TEMPLATE_SPHERE,TEMPLATE_SPHERE_LIST_FOR_NOTE,0))</f>
        <v>0</v>
      </c>
      <c r="J64" s="1229">
        <f>INDEX(TEMPLATE_DATA_POINT_FHD,B64,MATCH(TEMPLATE_SPHERE,TEMPLATE_SPHERE_LIST_FOR_NOTE,0))</f>
        <v>0</v>
      </c>
      <c r="K64" s="1229">
        <f>INDEX(TEMPLATE_NOTE_POINT_FHD,B64,MATCH(TEMPLATE_SPHERE,TEMPLATE_SPHERE_LIST_FOR_NOTE,0))</f>
        <v>0</v>
      </c>
      <c r="L64" s="1067" t="str">
        <f>IF(I64=0,"",I64)</f>
        <v/>
      </c>
      <c r="M64" s="1067" t="str">
        <f>IF(J64=0,"",J64)</f>
        <v/>
      </c>
      <c r="N64" s="1067" t="str">
        <f>IF(K64=0,"",K64)</f>
        <v/>
      </c>
      <c r="O64" s="1181"/>
      <c r="P64" s="1181" t="s">
        <v>148</v>
      </c>
      <c r="Q64" s="1181"/>
      <c r="R64" s="1181"/>
      <c r="S64" s="1181"/>
      <c r="T64" s="1066"/>
      <c r="U64" s="1066" t="s">
        <v>2085</v>
      </c>
      <c r="V64" s="1066"/>
      <c r="W64" s="1066"/>
      <c r="X64" s="1066"/>
      <c r="Y64" s="1224"/>
      <c r="Z64" s="1069"/>
      <c r="AA64" s="1072" t="s">
        <v>2086</v>
      </c>
      <c r="AB64" s="1069"/>
      <c r="AC64" s="1069"/>
      <c r="AD64" s="1069"/>
    </row>
    <row customHeight="1" ht="18">
      <c r="A65" s="1068"/>
      <c r="B65" s="1122">
        <v>48</v>
      </c>
      <c r="C65" s="1066"/>
      <c r="D65" s="1191"/>
      <c r="E65" s="1066"/>
      <c r="F65" s="1066"/>
      <c r="G65" s="1066"/>
      <c r="H65" s="1114"/>
      <c r="I65" s="1229">
        <f>INDEX(TEMPLATE_NUMBER_POINT_FHD,B65,MATCH(TEMPLATE_SPHERE,TEMPLATE_SPHERE_LIST_FOR_NOTE,0))</f>
        <v>0</v>
      </c>
      <c r="J65" s="1229">
        <f>INDEX(TEMPLATE_DATA_POINT_FHD,B65,MATCH(TEMPLATE_SPHERE,TEMPLATE_SPHERE_LIST_FOR_NOTE,0))</f>
        <v>0</v>
      </c>
      <c r="K65" s="1229">
        <f>INDEX(TEMPLATE_NOTE_POINT_FHD,B65,MATCH(TEMPLATE_SPHERE,TEMPLATE_SPHERE_LIST_FOR_NOTE,0))</f>
        <v>0</v>
      </c>
      <c r="L65" s="1067" t="str">
        <f>IF(I65=0,"",I65)</f>
        <v/>
      </c>
      <c r="M65" s="1067" t="str">
        <f>IF(J65=0,"",J65)</f>
        <v/>
      </c>
      <c r="N65" s="1067" t="str">
        <f>IF(K65=0,"",K65)</f>
        <v/>
      </c>
      <c r="O65" s="1181"/>
      <c r="P65" s="1181" t="s">
        <v>1996</v>
      </c>
      <c r="Q65" s="1181"/>
      <c r="R65" s="1181"/>
      <c r="S65" s="1181"/>
      <c r="T65" s="1066"/>
      <c r="U65" s="1066" t="s">
        <v>2087</v>
      </c>
      <c r="V65" s="1066"/>
      <c r="W65" s="1066"/>
      <c r="X65" s="1066"/>
      <c r="Y65" s="1224"/>
      <c r="Z65" s="1069"/>
      <c r="AA65" s="1072"/>
      <c r="AB65" s="1069"/>
      <c r="AC65" s="1069"/>
      <c r="AD65" s="1069"/>
    </row>
    <row customHeight="1" ht="18">
      <c r="A66" s="1068"/>
      <c r="B66" s="1122">
        <v>49</v>
      </c>
      <c r="C66" s="1066"/>
      <c r="D66" s="1191"/>
      <c r="E66" s="1066"/>
      <c r="F66" s="1066"/>
      <c r="G66" s="1066"/>
      <c r="H66" s="1114"/>
      <c r="I66" s="1229">
        <f>INDEX(TEMPLATE_NUMBER_POINT_FHD,B66,MATCH(TEMPLATE_SPHERE,TEMPLATE_SPHERE_LIST_FOR_NOTE,0))</f>
        <v>0</v>
      </c>
      <c r="J66" s="1229">
        <f>INDEX(TEMPLATE_DATA_POINT_FHD,B66,MATCH(TEMPLATE_SPHERE,TEMPLATE_SPHERE_LIST_FOR_NOTE,0))</f>
        <v>0</v>
      </c>
      <c r="K66" s="1229">
        <f>INDEX(TEMPLATE_NOTE_POINT_FHD,B66,MATCH(TEMPLATE_SPHERE,TEMPLATE_SPHERE_LIST_FOR_NOTE,0))</f>
        <v>0</v>
      </c>
      <c r="L66" s="1067" t="str">
        <f>IF(I66=0,"",I66)</f>
        <v/>
      </c>
      <c r="M66" s="1067" t="str">
        <f>IF(J66=0,"",J66)</f>
        <v/>
      </c>
      <c r="N66" s="1067" t="str">
        <f>IF(K66=0,"",K66)</f>
        <v/>
      </c>
      <c r="O66" s="1181"/>
      <c r="P66" s="1181" t="s">
        <v>2000</v>
      </c>
      <c r="Q66" s="1181"/>
      <c r="R66" s="1181"/>
      <c r="S66" s="1181"/>
      <c r="T66" s="1066"/>
      <c r="U66" s="1066" t="s">
        <v>2088</v>
      </c>
      <c r="V66" s="1066"/>
      <c r="W66" s="1066"/>
      <c r="X66" s="1066"/>
      <c r="Y66" s="1224"/>
      <c r="Z66" s="1069"/>
      <c r="AA66" s="1072"/>
      <c r="AB66" s="1069"/>
      <c r="AC66" s="1069"/>
      <c r="AD66" s="1069"/>
    </row>
    <row customHeight="1" ht="27">
      <c r="A67" s="1068"/>
      <c r="B67" s="1122">
        <v>50</v>
      </c>
      <c r="C67" s="1066"/>
      <c r="D67" s="1191"/>
      <c r="E67" s="1066"/>
      <c r="F67" s="1066"/>
      <c r="G67" s="1066"/>
      <c r="H67" s="1114"/>
      <c r="I67" s="1229">
        <f>INDEX(TEMPLATE_NUMBER_POINT_FHD,B67,MATCH(TEMPLATE_SPHERE,TEMPLATE_SPHERE_LIST_FOR_NOTE,0))</f>
        <v>0</v>
      </c>
      <c r="J67" s="1229">
        <f>INDEX(TEMPLATE_DATA_POINT_FHD,B67,MATCH(TEMPLATE_SPHERE,TEMPLATE_SPHERE_LIST_FOR_NOTE,0))</f>
        <v>0</v>
      </c>
      <c r="K67" s="1229">
        <f>INDEX(TEMPLATE_NOTE_POINT_FHD,B67,MATCH(TEMPLATE_SPHERE,TEMPLATE_SPHERE_LIST_FOR_NOTE,0))</f>
        <v>0</v>
      </c>
      <c r="L67" s="1067" t="str">
        <f>IF(I67=0,"",I67)</f>
        <v/>
      </c>
      <c r="M67" s="1067" t="str">
        <f>IF(J67=0,"",J67)</f>
        <v/>
      </c>
      <c r="N67" s="1067" t="str">
        <f>IF(K67=0,"",K67)</f>
        <v/>
      </c>
      <c r="O67" s="1181"/>
      <c r="P67" s="1181" t="s">
        <v>2089</v>
      </c>
      <c r="Q67" s="1181"/>
      <c r="R67" s="1181"/>
      <c r="S67" s="1181"/>
      <c r="T67" s="1066"/>
      <c r="U67" s="1066" t="s">
        <v>2090</v>
      </c>
      <c r="V67" s="1066"/>
      <c r="W67" s="1066"/>
      <c r="X67" s="1066"/>
      <c r="Y67" s="1224"/>
      <c r="Z67" s="1069"/>
      <c r="AA67" s="1072"/>
      <c r="AB67" s="1069"/>
      <c r="AC67" s="1069"/>
      <c r="AD67" s="1069"/>
    </row>
    <row customHeight="1" ht="27">
      <c r="A68" s="1068"/>
      <c r="B68" s="1122">
        <v>51</v>
      </c>
      <c r="C68" s="1066"/>
      <c r="D68" s="1191"/>
      <c r="E68" s="1066"/>
      <c r="F68" s="1066"/>
      <c r="G68" s="1066"/>
      <c r="H68" s="1114"/>
      <c r="I68" s="1229">
        <f>INDEX(TEMPLATE_NUMBER_POINT_FHD,B68,MATCH(TEMPLATE_SPHERE,TEMPLATE_SPHERE_LIST_FOR_NOTE,0))</f>
        <v>0</v>
      </c>
      <c r="J68" s="1229">
        <f>INDEX(TEMPLATE_DATA_POINT_FHD,B68,MATCH(TEMPLATE_SPHERE,TEMPLATE_SPHERE_LIST_FOR_NOTE,0))</f>
        <v>0</v>
      </c>
      <c r="K68" s="1229">
        <f>INDEX(TEMPLATE_NOTE_POINT_FHD,B68,MATCH(TEMPLATE_SPHERE,TEMPLATE_SPHERE_LIST_FOR_NOTE,0))</f>
        <v>0</v>
      </c>
      <c r="L68" s="1067" t="str">
        <f>IF(I68=0,"",I68)</f>
        <v/>
      </c>
      <c r="M68" s="1067" t="str">
        <f>IF(J68=0,"",J68)</f>
        <v/>
      </c>
      <c r="N68" s="1067" t="str">
        <f>IF(K68=0,"",K68)</f>
        <v/>
      </c>
      <c r="O68" s="1181"/>
      <c r="P68" s="1181" t="s">
        <v>2091</v>
      </c>
      <c r="Q68" s="1181"/>
      <c r="R68" s="1181"/>
      <c r="S68" s="1181"/>
      <c r="T68" s="1066"/>
      <c r="U68" s="1066" t="s">
        <v>2092</v>
      </c>
      <c r="V68" s="1066"/>
      <c r="W68" s="1066"/>
      <c r="X68" s="1066"/>
      <c r="Y68" s="1224"/>
      <c r="Z68" s="1069"/>
      <c r="AA68" s="1072"/>
      <c r="AB68" s="1069"/>
      <c r="AC68" s="1069"/>
      <c r="AD68" s="1069"/>
    </row>
    <row customHeight="1" ht="9">
      <c r="A69" s="1068"/>
      <c r="B69" s="1122">
        <v>52</v>
      </c>
      <c r="C69" s="1066"/>
      <c r="D69" s="1191" t="s">
        <v>2093</v>
      </c>
      <c r="E69" s="1066"/>
      <c r="F69" s="1066"/>
      <c r="G69" s="1066"/>
      <c r="H69" s="1114"/>
      <c r="I69" s="1229">
        <f>INDEX(TEMPLATE_NUMBER_POINT_FHD,B69,MATCH(TEMPLATE_SPHERE,TEMPLATE_SPHERE_LIST_FOR_NOTE,0))</f>
        <v>0</v>
      </c>
      <c r="J69" s="1229">
        <f>INDEX(TEMPLATE_DATA_POINT_FHD,B69,MATCH(TEMPLATE_SPHERE,TEMPLATE_SPHERE_LIST_FOR_NOTE,0))</f>
        <v>0</v>
      </c>
      <c r="K69" s="1229">
        <f>INDEX(TEMPLATE_NOTE_POINT_FHD,B69,MATCH(TEMPLATE_SPHERE,TEMPLATE_SPHERE_LIST_FOR_NOTE,0))</f>
        <v>0</v>
      </c>
      <c r="L69" s="1067" t="str">
        <f>IF(I69=0,"",I69)</f>
        <v/>
      </c>
      <c r="M69" s="1067" t="str">
        <f>IF(J69=0,"",J69)</f>
        <v/>
      </c>
      <c r="N69" s="1067" t="str">
        <f>IF(K69=0,"",K69)</f>
        <v/>
      </c>
      <c r="O69" s="1181"/>
      <c r="P69" s="1181" t="s">
        <v>149</v>
      </c>
      <c r="Q69" s="1181"/>
      <c r="R69" s="1181"/>
      <c r="S69" s="1181"/>
      <c r="T69" s="1066"/>
      <c r="U69" s="1066" t="s">
        <v>2094</v>
      </c>
      <c r="V69" s="1066"/>
      <c r="W69" s="1066"/>
      <c r="X69" s="1066"/>
      <c r="Y69" s="1224"/>
      <c r="Z69" s="1069"/>
      <c r="AA69" s="1072"/>
      <c r="AB69" s="1069"/>
      <c r="AC69" s="1069"/>
      <c r="AD69" s="1069"/>
    </row>
    <row customHeight="1" ht="27">
      <c r="A70" s="1068"/>
      <c r="B70" s="1122">
        <v>53</v>
      </c>
      <c r="C70" s="1066"/>
      <c r="D70" s="1191"/>
      <c r="E70" s="1066" t="s">
        <v>2078</v>
      </c>
      <c r="F70" s="1066"/>
      <c r="G70" s="1066"/>
      <c r="H70" s="1114"/>
      <c r="I70" s="1229" t="str">
        <f>INDEX(TEMPLATE_NUMBER_POINT_FHD,B70,MATCH(TEMPLATE_SPHERE,TEMPLATE_SPHERE_LIST_FOR_NOTE,0))</f>
        <v>7</v>
      </c>
      <c r="J70" s="1229" t="str">
        <f>INDEX(TEMPLATE_DATA_POINT_FHD,B70,MATCH(TEMPLATE_SPHERE,TEMPLATE_SPHERE_LIST_FOR_NOTE,0))</f>
        <v>Объём приобретаемой холодной воды, используемой для горячего водоснабжения</v>
      </c>
      <c r="K70" s="1229">
        <f>INDEX(TEMPLATE_NOTE_POINT_FHD,B70,MATCH(TEMPLATE_SPHERE,TEMPLATE_SPHERE_LIST_FOR_NOTE,0))</f>
        <v>0</v>
      </c>
      <c r="L70" s="1067" t="str">
        <f>IF(I70=0,"",I70)</f>
        <v>7</v>
      </c>
      <c r="M70" s="1067" t="str">
        <f>IF(J70=0,"",J70)</f>
        <v>Объём приобретаемой холодной воды, используемой для горячего водоснабжения</v>
      </c>
      <c r="N70" s="1067" t="str">
        <f>IF(K70=0,"",K70)</f>
        <v/>
      </c>
      <c r="O70" s="1181"/>
      <c r="P70" s="1181"/>
      <c r="Q70" s="1181" t="s">
        <v>92</v>
      </c>
      <c r="R70" s="1181"/>
      <c r="S70" s="1181"/>
      <c r="T70" s="1066"/>
      <c r="U70" s="1066"/>
      <c r="V70" s="1066" t="s">
        <v>2095</v>
      </c>
      <c r="W70" s="1066"/>
      <c r="X70" s="1066"/>
      <c r="Y70" s="1224"/>
      <c r="Z70" s="1069"/>
      <c r="AA70" s="1072"/>
      <c r="AB70" s="1069"/>
      <c r="AC70" s="1069"/>
      <c r="AD70" s="1069"/>
    </row>
    <row customHeight="1" ht="36">
      <c r="A71" s="1068"/>
      <c r="B71" s="1122">
        <v>54</v>
      </c>
      <c r="C71" s="1066"/>
      <c r="D71" s="1191"/>
      <c r="E71" s="1066" t="s">
        <v>2080</v>
      </c>
      <c r="F71" s="1066"/>
      <c r="G71" s="1066"/>
      <c r="H71" s="1114"/>
      <c r="I71" s="1229" t="str">
        <f>INDEX(TEMPLATE_NUMBER_POINT_FHD,B71,MATCH(TEMPLATE_SPHERE,TEMPLATE_SPHERE_LIST_FOR_NOTE,0))</f>
        <v>8</v>
      </c>
      <c r="J71" s="122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29">
        <f>INDEX(TEMPLATE_NOTE_POINT_FHD,B71,MATCH(TEMPLATE_SPHERE,TEMPLATE_SPHERE_LIST_FOR_NOTE,0))</f>
        <v>0</v>
      </c>
      <c r="L71" s="1067" t="str">
        <f>IF(I71=0,"",I71)</f>
        <v>8</v>
      </c>
      <c r="M71" s="1067" t="str">
        <f>IF(J71=0,"",J71)</f>
        <v>Объём холодной воды, получаемой с применением собственных источников водозабора (скважин) и используемой для горячего водоснабжения</v>
      </c>
      <c r="N71" s="1067" t="str">
        <f>IF(K71=0,"",K71)</f>
        <v/>
      </c>
      <c r="O71" s="1181"/>
      <c r="P71" s="1181"/>
      <c r="Q71" s="1181" t="s">
        <v>111</v>
      </c>
      <c r="R71" s="1181"/>
      <c r="S71" s="1181"/>
      <c r="T71" s="1066"/>
      <c r="U71" s="1066"/>
      <c r="V71" s="1066" t="s">
        <v>2096</v>
      </c>
      <c r="W71" s="1066"/>
      <c r="X71" s="1066"/>
      <c r="Y71" s="1224"/>
      <c r="Z71" s="1069"/>
      <c r="AA71" s="1072"/>
      <c r="AB71" s="1069"/>
      <c r="AC71" s="1069"/>
      <c r="AD71" s="1069"/>
    </row>
    <row customHeight="1" ht="27">
      <c r="A72" s="1068"/>
      <c r="B72" s="1122">
        <v>55</v>
      </c>
      <c r="C72" s="1066"/>
      <c r="D72" s="1191"/>
      <c r="E72" s="1066" t="s">
        <v>2082</v>
      </c>
      <c r="F72" s="1066"/>
      <c r="G72" s="1066"/>
      <c r="H72" s="1114"/>
      <c r="I72" s="1229" t="str">
        <f>INDEX(TEMPLATE_NUMBER_POINT_FHD,B72,MATCH(TEMPLATE_SPHERE,TEMPLATE_SPHERE_LIST_FOR_NOTE,0))</f>
        <v>9</v>
      </c>
      <c r="J72" s="1229" t="str">
        <f>INDEX(TEMPLATE_DATA_POINT_FHD,B72,MATCH(TEMPLATE_SPHERE,TEMPLATE_SPHERE_LIST_FOR_NOTE,0))</f>
        <v>Объём приобретаемой тепловой энергии (мощности), используемой для горячего водоснабжения</v>
      </c>
      <c r="K72" s="1229">
        <f>INDEX(TEMPLATE_NOTE_POINT_FHD,B72,MATCH(TEMPLATE_SPHERE,TEMPLATE_SPHERE_LIST_FOR_NOTE,0))</f>
        <v>0</v>
      </c>
      <c r="L72" s="1067" t="str">
        <f>IF(I72=0,"",I72)</f>
        <v>9</v>
      </c>
      <c r="M72" s="1067" t="str">
        <f>IF(J72=0,"",J72)</f>
        <v>Объём приобретаемой тепловой энергии (мощности), используемой для горячего водоснабжения</v>
      </c>
      <c r="N72" s="1067" t="str">
        <f>IF(K72=0,"",K72)</f>
        <v/>
      </c>
      <c r="O72" s="1181"/>
      <c r="P72" s="1181"/>
      <c r="Q72" s="1181" t="s">
        <v>147</v>
      </c>
      <c r="R72" s="1181"/>
      <c r="S72" s="1181"/>
      <c r="T72" s="1066"/>
      <c r="U72" s="1066"/>
      <c r="V72" s="1066" t="s">
        <v>2097</v>
      </c>
      <c r="W72" s="1066"/>
      <c r="X72" s="1066"/>
      <c r="Y72" s="1224"/>
      <c r="Z72" s="1069"/>
      <c r="AA72" s="1072"/>
      <c r="AB72" s="1069"/>
      <c r="AC72" s="1069"/>
      <c r="AD72" s="1069"/>
    </row>
    <row customHeight="1" ht="36">
      <c r="A73" s="1068"/>
      <c r="B73" s="1122">
        <v>56</v>
      </c>
      <c r="C73" s="1066"/>
      <c r="D73" s="1191"/>
      <c r="E73" s="1066" t="s">
        <v>2084</v>
      </c>
      <c r="F73" s="1066"/>
      <c r="G73" s="1066"/>
      <c r="H73" s="1114"/>
      <c r="I73" s="1229" t="str">
        <f>INDEX(TEMPLATE_NUMBER_POINT_FHD,B73,MATCH(TEMPLATE_SPHERE,TEMPLATE_SPHERE_LIST_FOR_NOTE,0))</f>
        <v>10</v>
      </c>
      <c r="J73" s="122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29">
        <f>INDEX(TEMPLATE_NOTE_POINT_FHD,B73,MATCH(TEMPLATE_SPHERE,TEMPLATE_SPHERE_LIST_FOR_NOTE,0))</f>
        <v>0</v>
      </c>
      <c r="L73" s="1067" t="str">
        <f>IF(I73=0,"",I73)</f>
        <v>10</v>
      </c>
      <c r="M73" s="1067" t="str">
        <f>IF(J73=0,"",J73)</f>
        <v>Объём тепловой энергии, производимой с применением собственных источников и используемой для горячего водоснабжения</v>
      </c>
      <c r="N73" s="1067" t="str">
        <f>IF(K73=0,"",K73)</f>
        <v/>
      </c>
      <c r="O73" s="1181"/>
      <c r="P73" s="1181"/>
      <c r="Q73" s="1181" t="s">
        <v>148</v>
      </c>
      <c r="R73" s="1181"/>
      <c r="S73" s="1181"/>
      <c r="T73" s="1066"/>
      <c r="U73" s="1066"/>
      <c r="V73" s="1066" t="s">
        <v>2098</v>
      </c>
      <c r="W73" s="1066"/>
      <c r="X73" s="1066"/>
      <c r="Y73" s="1224"/>
      <c r="Z73" s="1069"/>
      <c r="AA73" s="1072"/>
      <c r="AB73" s="1069"/>
      <c r="AC73" s="1069"/>
      <c r="AD73" s="1069"/>
    </row>
    <row customHeight="1" ht="18">
      <c r="A74" s="1068"/>
      <c r="B74" s="1122">
        <v>57</v>
      </c>
      <c r="C74" s="1066"/>
      <c r="D74" s="1191"/>
      <c r="E74" s="1066" t="s">
        <v>2093</v>
      </c>
      <c r="F74" s="1066"/>
      <c r="G74" s="1066"/>
      <c r="H74" s="1114"/>
      <c r="I74" s="1229" t="str">
        <f>INDEX(TEMPLATE_NUMBER_POINT_FHD,B74,MATCH(TEMPLATE_SPHERE,TEMPLATE_SPHERE_LIST_FOR_NOTE,0))</f>
        <v>11</v>
      </c>
      <c r="J74" s="1229" t="str">
        <f>INDEX(TEMPLATE_DATA_POINT_FHD,B74,MATCH(TEMPLATE_SPHERE,TEMPLATE_SPHERE_LIST_FOR_NOTE,0))</f>
        <v>Потери горячей воды в сетях (процентов)</v>
      </c>
      <c r="K74" s="1229">
        <f>INDEX(TEMPLATE_NOTE_POINT_FHD,B74,MATCH(TEMPLATE_SPHERE,TEMPLATE_SPHERE_LIST_FOR_NOTE,0))</f>
        <v>0</v>
      </c>
      <c r="L74" s="1067" t="str">
        <f>IF(I74=0,"",I74)</f>
        <v>11</v>
      </c>
      <c r="M74" s="1067" t="str">
        <f>IF(J74=0,"",J74)</f>
        <v>Потери горячей воды в сетях (процентов)</v>
      </c>
      <c r="N74" s="1067" t="str">
        <f>IF(K74=0,"",K74)</f>
        <v/>
      </c>
      <c r="O74" s="1181"/>
      <c r="P74" s="1181"/>
      <c r="Q74" s="1181" t="s">
        <v>149</v>
      </c>
      <c r="R74" s="1181"/>
      <c r="S74" s="1181"/>
      <c r="T74" s="1066"/>
      <c r="U74" s="1066"/>
      <c r="V74" s="1066" t="s">
        <v>2099</v>
      </c>
      <c r="W74" s="1066"/>
      <c r="X74" s="1066"/>
      <c r="Y74" s="1224"/>
      <c r="Z74" s="1069"/>
      <c r="AA74" s="1072"/>
      <c r="AB74" s="1069"/>
      <c r="AC74" s="1069"/>
      <c r="AD74" s="1069"/>
    </row>
    <row customHeight="1" ht="18">
      <c r="A75" s="1068"/>
      <c r="B75" s="1122">
        <v>58</v>
      </c>
      <c r="C75" s="1066"/>
      <c r="D75" s="1191"/>
      <c r="E75" s="1066"/>
      <c r="F75" s="1066" t="s">
        <v>2078</v>
      </c>
      <c r="G75" s="1066"/>
      <c r="H75" s="1114"/>
      <c r="I75" s="1229">
        <f>INDEX(TEMPLATE_NUMBER_POINT_FHD,B75,MATCH(TEMPLATE_SPHERE,TEMPLATE_SPHERE_LIST_FOR_NOTE,0))</f>
        <v>0</v>
      </c>
      <c r="J75" s="1229">
        <f>INDEX(TEMPLATE_DATA_POINT_FHD,B75,MATCH(TEMPLATE_SPHERE,TEMPLATE_SPHERE_LIST_FOR_NOTE,0))</f>
        <v>0</v>
      </c>
      <c r="K75" s="1229">
        <f>INDEX(TEMPLATE_NOTE_POINT_FHD,B75,MATCH(TEMPLATE_SPHERE,TEMPLATE_SPHERE_LIST_FOR_NOTE,0))</f>
        <v>0</v>
      </c>
      <c r="L75" s="1067" t="str">
        <f>IF(I75=0,"",I75)</f>
        <v/>
      </c>
      <c r="M75" s="1067" t="str">
        <f>IF(J75=0,"",J75)</f>
        <v/>
      </c>
      <c r="N75" s="1067" t="str">
        <f>IF(K75=0,"",K75)</f>
        <v/>
      </c>
      <c r="O75" s="1181"/>
      <c r="P75" s="1181"/>
      <c r="Q75" s="1181"/>
      <c r="R75" s="1181" t="s">
        <v>92</v>
      </c>
      <c r="S75" s="1181"/>
      <c r="T75" s="1066"/>
      <c r="U75" s="1066"/>
      <c r="V75" s="1066"/>
      <c r="W75" s="1066" t="s">
        <v>2100</v>
      </c>
      <c r="X75" s="1066"/>
      <c r="Y75" s="1224"/>
      <c r="Z75" s="1069"/>
      <c r="AA75" s="1072"/>
      <c r="AB75" s="1069"/>
      <c r="AC75" s="1069"/>
      <c r="AD75" s="1069"/>
    </row>
    <row customHeight="1" ht="36">
      <c r="A76" s="1068"/>
      <c r="B76" s="1122">
        <v>59</v>
      </c>
      <c r="C76" s="1066"/>
      <c r="D76" s="1191"/>
      <c r="E76" s="1066"/>
      <c r="F76" s="1066" t="s">
        <v>2080</v>
      </c>
      <c r="G76" s="1066"/>
      <c r="H76" s="1114"/>
      <c r="I76" s="1229">
        <f>INDEX(TEMPLATE_NUMBER_POINT_FHD,B76,MATCH(TEMPLATE_SPHERE,TEMPLATE_SPHERE_LIST_FOR_NOTE,0))</f>
        <v>0</v>
      </c>
      <c r="J76" s="1229">
        <f>INDEX(TEMPLATE_DATA_POINT_FHD,B76,MATCH(TEMPLATE_SPHERE,TEMPLATE_SPHERE_LIST_FOR_NOTE,0))</f>
        <v>0</v>
      </c>
      <c r="K76" s="1229">
        <f>INDEX(TEMPLATE_NOTE_POINT_FHD,B76,MATCH(TEMPLATE_SPHERE,TEMPLATE_SPHERE_LIST_FOR_NOTE,0))</f>
        <v>0</v>
      </c>
      <c r="L76" s="1067" t="str">
        <f>IF(I76=0,"",I76)</f>
        <v/>
      </c>
      <c r="M76" s="1067" t="str">
        <f>IF(J76=0,"",J76)</f>
        <v/>
      </c>
      <c r="N76" s="1067" t="str">
        <f>IF(K76=0,"",K76)</f>
        <v/>
      </c>
      <c r="O76" s="1181"/>
      <c r="P76" s="1181"/>
      <c r="Q76" s="1181"/>
      <c r="R76" s="1181" t="s">
        <v>111</v>
      </c>
      <c r="S76" s="1181"/>
      <c r="T76" s="1066"/>
      <c r="U76" s="1066"/>
      <c r="V76" s="1066"/>
      <c r="W76" s="1066" t="s">
        <v>2101</v>
      </c>
      <c r="X76" s="1066"/>
      <c r="Y76" s="1224"/>
      <c r="Z76" s="1069"/>
      <c r="AA76" s="1072"/>
      <c r="AB76" s="1069"/>
      <c r="AC76" s="1069"/>
      <c r="AD76" s="1069"/>
    </row>
    <row customHeight="1" ht="18">
      <c r="A77" s="1068"/>
      <c r="B77" s="1122">
        <v>60</v>
      </c>
      <c r="C77" s="1066"/>
      <c r="D77" s="1191"/>
      <c r="E77" s="1066"/>
      <c r="F77" s="1066" t="s">
        <v>2082</v>
      </c>
      <c r="G77" s="1066"/>
      <c r="H77" s="1114"/>
      <c r="I77" s="1229">
        <f>INDEX(TEMPLATE_NUMBER_POINT_FHD,B77,MATCH(TEMPLATE_SPHERE,TEMPLATE_SPHERE_LIST_FOR_NOTE,0))</f>
        <v>0</v>
      </c>
      <c r="J77" s="1229">
        <f>INDEX(TEMPLATE_DATA_POINT_FHD,B77,MATCH(TEMPLATE_SPHERE,TEMPLATE_SPHERE_LIST_FOR_NOTE,0))</f>
        <v>0</v>
      </c>
      <c r="K77" s="1229">
        <f>INDEX(TEMPLATE_NOTE_POINT_FHD,B77,MATCH(TEMPLATE_SPHERE,TEMPLATE_SPHERE_LIST_FOR_NOTE,0))</f>
        <v>0</v>
      </c>
      <c r="L77" s="1067" t="str">
        <f>IF(I77=0,"",I77)</f>
        <v/>
      </c>
      <c r="M77" s="1067" t="str">
        <f>IF(J77=0,"",J77)</f>
        <v/>
      </c>
      <c r="N77" s="1067" t="str">
        <f>IF(K77=0,"",K77)</f>
        <v/>
      </c>
      <c r="O77" s="1181"/>
      <c r="P77" s="1181"/>
      <c r="Q77" s="1181"/>
      <c r="R77" s="1181" t="s">
        <v>147</v>
      </c>
      <c r="S77" s="1181"/>
      <c r="T77" s="1066"/>
      <c r="U77" s="1066"/>
      <c r="V77" s="1066"/>
      <c r="W77" s="1066" t="s">
        <v>2102</v>
      </c>
      <c r="X77" s="1066"/>
      <c r="Y77" s="1224"/>
      <c r="Z77" s="1069"/>
      <c r="AA77" s="1072"/>
      <c r="AB77" s="1069"/>
      <c r="AC77" s="1069"/>
      <c r="AD77" s="1069"/>
    </row>
    <row customHeight="1" ht="72">
      <c r="A78" s="1068"/>
      <c r="B78" s="1122">
        <v>61</v>
      </c>
      <c r="C78" s="1066" t="s">
        <v>2078</v>
      </c>
      <c r="D78" s="1191"/>
      <c r="E78" s="1066"/>
      <c r="F78" s="1066"/>
      <c r="G78" s="1066"/>
      <c r="H78" s="1114"/>
      <c r="I78" s="1229">
        <f>INDEX(TEMPLATE_NUMBER_POINT_FHD,B78,MATCH(TEMPLATE_SPHERE,TEMPLATE_SPHERE_LIST_FOR_NOTE,0))</f>
        <v>0</v>
      </c>
      <c r="J78" s="1229">
        <f>INDEX(TEMPLATE_DATA_POINT_FHD,B78,MATCH(TEMPLATE_SPHERE,TEMPLATE_SPHERE_LIST_FOR_NOTE,0))</f>
        <v>0</v>
      </c>
      <c r="K78" s="1229">
        <f>INDEX(TEMPLATE_NOTE_POINT_FHD,B78,MATCH(TEMPLATE_SPHERE,TEMPLATE_SPHERE_LIST_FOR_NOTE,0))</f>
        <v>0</v>
      </c>
      <c r="L78" s="1067" t="str">
        <f>IF(I78=0,"",I78)</f>
        <v/>
      </c>
      <c r="M78" s="1067" t="str">
        <f>IF(J78=0,"",J78)</f>
        <v/>
      </c>
      <c r="N78" s="1067" t="str">
        <f>IF(K78=0,"",K78)</f>
        <v/>
      </c>
      <c r="O78" s="1181" t="s">
        <v>92</v>
      </c>
      <c r="P78" s="1181"/>
      <c r="Q78" s="1181"/>
      <c r="R78" s="1181"/>
      <c r="S78" s="1181"/>
      <c r="T78" s="1066" t="s">
        <v>2103</v>
      </c>
      <c r="U78" s="1066"/>
      <c r="V78" s="1066"/>
      <c r="W78" s="1066"/>
      <c r="X78" s="1066"/>
      <c r="Y78" s="1224"/>
      <c r="Z78" s="1069" t="s">
        <v>2104</v>
      </c>
      <c r="AA78" s="1072"/>
      <c r="AB78" s="1069"/>
      <c r="AC78" s="1069"/>
      <c r="AD78" s="1069"/>
    </row>
    <row customHeight="1" ht="36">
      <c r="A79" s="1068"/>
      <c r="B79" s="1122">
        <v>62</v>
      </c>
      <c r="C79" s="1066" t="s">
        <v>2080</v>
      </c>
      <c r="D79" s="1191"/>
      <c r="E79" s="1066"/>
      <c r="F79" s="1066"/>
      <c r="G79" s="1066"/>
      <c r="H79" s="1114"/>
      <c r="I79" s="1229">
        <f>INDEX(TEMPLATE_NUMBER_POINT_FHD,B79,MATCH(TEMPLATE_SPHERE,TEMPLATE_SPHERE_LIST_FOR_NOTE,0))</f>
        <v>0</v>
      </c>
      <c r="J79" s="1229">
        <f>INDEX(TEMPLATE_DATA_POINT_FHD,B79,MATCH(TEMPLATE_SPHERE,TEMPLATE_SPHERE_LIST_FOR_NOTE,0))</f>
        <v>0</v>
      </c>
      <c r="K79" s="1229">
        <f>INDEX(TEMPLATE_NOTE_POINT_FHD,B79,MATCH(TEMPLATE_SPHERE,TEMPLATE_SPHERE_LIST_FOR_NOTE,0))</f>
        <v>0</v>
      </c>
      <c r="L79" s="1067" t="str">
        <f>IF(I79=0,"",I79)</f>
        <v/>
      </c>
      <c r="M79" s="1067" t="str">
        <f>IF(J79=0,"",J79)</f>
        <v/>
      </c>
      <c r="N79" s="1067" t="str">
        <f>IF(K79=0,"",K79)</f>
        <v/>
      </c>
      <c r="O79" s="1181" t="s">
        <v>111</v>
      </c>
      <c r="P79" s="1181"/>
      <c r="Q79" s="1181"/>
      <c r="R79" s="1181"/>
      <c r="S79" s="1181"/>
      <c r="T79" s="1066" t="s">
        <v>2105</v>
      </c>
      <c r="U79" s="1066"/>
      <c r="V79" s="1066"/>
      <c r="W79" s="1066"/>
      <c r="X79" s="1066"/>
      <c r="Y79" s="1224"/>
      <c r="Z79" s="1069" t="s">
        <v>2106</v>
      </c>
      <c r="AA79" s="1072"/>
      <c r="AB79" s="1069"/>
      <c r="AC79" s="1069"/>
      <c r="AD79" s="1069"/>
    </row>
    <row customHeight="1" ht="45">
      <c r="A80" s="1068"/>
      <c r="B80" s="1122">
        <v>63</v>
      </c>
      <c r="C80" s="1066" t="s">
        <v>2082</v>
      </c>
      <c r="D80" s="1191"/>
      <c r="E80" s="1066"/>
      <c r="F80" s="1066"/>
      <c r="G80" s="1066"/>
      <c r="H80" s="1114"/>
      <c r="I80" s="1229">
        <f>INDEX(TEMPLATE_NUMBER_POINT_FHD,B80,MATCH(TEMPLATE_SPHERE,TEMPLATE_SPHERE_LIST_FOR_NOTE,0))</f>
        <v>0</v>
      </c>
      <c r="J80" s="1229">
        <f>INDEX(TEMPLATE_DATA_POINT_FHD,B80,MATCH(TEMPLATE_SPHERE,TEMPLATE_SPHERE_LIST_FOR_NOTE,0))</f>
        <v>0</v>
      </c>
      <c r="K80" s="1229">
        <f>INDEX(TEMPLATE_NOTE_POINT_FHD,B80,MATCH(TEMPLATE_SPHERE,TEMPLATE_SPHERE_LIST_FOR_NOTE,0))</f>
        <v>0</v>
      </c>
      <c r="L80" s="1067" t="str">
        <f>IF(I80=0,"",I80)</f>
        <v/>
      </c>
      <c r="M80" s="1067" t="str">
        <f>IF(J80=0,"",J80)</f>
        <v/>
      </c>
      <c r="N80" s="1067" t="str">
        <f>IF(K80=0,"",K80)</f>
        <v/>
      </c>
      <c r="O80" s="1181" t="s">
        <v>147</v>
      </c>
      <c r="P80" s="1181"/>
      <c r="Q80" s="1181"/>
      <c r="R80" s="1181"/>
      <c r="S80" s="1181"/>
      <c r="T80" s="1066" t="s">
        <v>2107</v>
      </c>
      <c r="U80" s="1066"/>
      <c r="V80" s="1066"/>
      <c r="W80" s="1066"/>
      <c r="X80" s="1066"/>
      <c r="Y80" s="1224"/>
      <c r="Z80" s="1069" t="s">
        <v>2108</v>
      </c>
      <c r="AA80" s="1072"/>
      <c r="AB80" s="1069"/>
      <c r="AC80" s="1069"/>
      <c r="AD80" s="1069"/>
    </row>
    <row customHeight="1" ht="36">
      <c r="A81" s="1068"/>
      <c r="B81" s="1122">
        <v>64</v>
      </c>
      <c r="C81" s="1066" t="s">
        <v>2084</v>
      </c>
      <c r="D81" s="1191"/>
      <c r="E81" s="1066"/>
      <c r="F81" s="1066"/>
      <c r="G81" s="1066"/>
      <c r="H81" s="1114"/>
      <c r="I81" s="1229">
        <f>INDEX(TEMPLATE_NUMBER_POINT_FHD,B81,MATCH(TEMPLATE_SPHERE,TEMPLATE_SPHERE_LIST_FOR_NOTE,0))</f>
        <v>0</v>
      </c>
      <c r="J81" s="1229">
        <f>INDEX(TEMPLATE_DATA_POINT_FHD,B81,MATCH(TEMPLATE_SPHERE,TEMPLATE_SPHERE_LIST_FOR_NOTE,0))</f>
        <v>0</v>
      </c>
      <c r="K81" s="1229">
        <f>INDEX(TEMPLATE_NOTE_POINT_FHD,B81,MATCH(TEMPLATE_SPHERE,TEMPLATE_SPHERE_LIST_FOR_NOTE,0))</f>
        <v>0</v>
      </c>
      <c r="L81" s="1067" t="str">
        <f>IF(I81=0,"",I81)</f>
        <v/>
      </c>
      <c r="M81" s="1067" t="str">
        <f>IF(J81=0,"",J81)</f>
        <v/>
      </c>
      <c r="N81" s="1067" t="str">
        <f>IF(K81=0,"",K81)</f>
        <v/>
      </c>
      <c r="O81" s="1181" t="s">
        <v>1987</v>
      </c>
      <c r="P81" s="1181"/>
      <c r="Q81" s="1181"/>
      <c r="R81" s="1181"/>
      <c r="S81" s="1181"/>
      <c r="T81" s="1066" t="s">
        <v>2109</v>
      </c>
      <c r="U81" s="1066"/>
      <c r="V81" s="1066"/>
      <c r="W81" s="1066"/>
      <c r="X81" s="1066"/>
      <c r="Y81" s="1224"/>
      <c r="Z81" s="1069" t="s">
        <v>2110</v>
      </c>
      <c r="AA81" s="1072"/>
      <c r="AB81" s="1069"/>
      <c r="AC81" s="1069"/>
      <c r="AD81" s="1069"/>
    </row>
    <row customHeight="1" ht="90">
      <c r="A82" s="1068"/>
      <c r="B82" s="1122">
        <v>65</v>
      </c>
      <c r="C82" s="1066" t="s">
        <v>2093</v>
      </c>
      <c r="D82" s="1191"/>
      <c r="E82" s="1066"/>
      <c r="F82" s="1066"/>
      <c r="G82" s="1066"/>
      <c r="H82" s="1114"/>
      <c r="I82" s="1229">
        <f>INDEX(TEMPLATE_NUMBER_POINT_FHD,B82,MATCH(TEMPLATE_SPHERE,TEMPLATE_SPHERE_LIST_FOR_NOTE,0))</f>
        <v>0</v>
      </c>
      <c r="J82" s="1229">
        <f>INDEX(TEMPLATE_DATA_POINT_FHD,B82,MATCH(TEMPLATE_SPHERE,TEMPLATE_SPHERE_LIST_FOR_NOTE,0))</f>
        <v>0</v>
      </c>
      <c r="K82" s="1229">
        <f>INDEX(TEMPLATE_NOTE_POINT_FHD,B82,MATCH(TEMPLATE_SPHERE,TEMPLATE_SPHERE_LIST_FOR_NOTE,0))</f>
        <v>0</v>
      </c>
      <c r="L82" s="1067" t="str">
        <f>IF(I82=0,"",I82)</f>
        <v/>
      </c>
      <c r="M82" s="1067" t="str">
        <f>IF(J82=0,"",J82)</f>
        <v/>
      </c>
      <c r="N82" s="1067" t="str">
        <f>IF(K82=0,"",K82)</f>
        <v/>
      </c>
      <c r="O82" s="1181" t="s">
        <v>148</v>
      </c>
      <c r="P82" s="1181"/>
      <c r="Q82" s="1181"/>
      <c r="R82" s="1181"/>
      <c r="S82" s="1181"/>
      <c r="T82" s="1066" t="s">
        <v>2111</v>
      </c>
      <c r="U82" s="1066"/>
      <c r="V82" s="1066"/>
      <c r="W82" s="1066"/>
      <c r="X82" s="1066"/>
      <c r="Y82" s="1224"/>
      <c r="Z82" s="1069" t="s">
        <v>2112</v>
      </c>
      <c r="AA82" s="1072"/>
      <c r="AB82" s="1069"/>
      <c r="AC82" s="1069"/>
      <c r="AD82" s="1069"/>
    </row>
    <row customHeight="1" ht="9">
      <c r="A83" s="1068"/>
      <c r="B83" s="1122">
        <v>66</v>
      </c>
      <c r="C83" s="1066"/>
      <c r="D83" s="1191"/>
      <c r="E83" s="1066"/>
      <c r="F83" s="1066"/>
      <c r="G83" s="1066"/>
      <c r="H83" s="1114"/>
      <c r="I83" s="1229">
        <f>INDEX(TEMPLATE_NUMBER_POINT_FHD,B83,MATCH(TEMPLATE_SPHERE,TEMPLATE_SPHERE_LIST_FOR_NOTE,0))</f>
        <v>0</v>
      </c>
      <c r="J83" s="1229">
        <f>INDEX(TEMPLATE_DATA_POINT_FHD,B83,MATCH(TEMPLATE_SPHERE,TEMPLATE_SPHERE_LIST_FOR_NOTE,0))</f>
        <v>0</v>
      </c>
      <c r="K83" s="1229">
        <f>INDEX(TEMPLATE_NOTE_POINT_FHD,B83,MATCH(TEMPLATE_SPHERE,TEMPLATE_SPHERE_LIST_FOR_NOTE,0))</f>
        <v>0</v>
      </c>
      <c r="L83" s="1067" t="str">
        <f>IF(I83=0,"",I83)</f>
        <v/>
      </c>
      <c r="M83" s="1067" t="str">
        <f>IF(J83=0,"",J83)</f>
        <v/>
      </c>
      <c r="N83" s="1067" t="str">
        <f>IF(K83=0,"",K83)</f>
        <v/>
      </c>
      <c r="O83" s="1181" t="s">
        <v>1996</v>
      </c>
      <c r="P83" s="1181"/>
      <c r="Q83" s="1181"/>
      <c r="R83" s="1181"/>
      <c r="S83" s="1181"/>
      <c r="T83" s="1066" t="s">
        <v>2113</v>
      </c>
      <c r="U83" s="1066"/>
      <c r="V83" s="1066"/>
      <c r="W83" s="1066"/>
      <c r="X83" s="1066"/>
      <c r="Y83" s="1224"/>
      <c r="Z83" s="1069"/>
      <c r="AA83" s="1072"/>
      <c r="AB83" s="1069"/>
      <c r="AC83" s="1069"/>
      <c r="AD83" s="1069"/>
    </row>
    <row customHeight="1" ht="54">
      <c r="A84" s="1068"/>
      <c r="B84" s="1122">
        <v>67</v>
      </c>
      <c r="C84" s="1066"/>
      <c r="D84" s="1191"/>
      <c r="E84" s="1066"/>
      <c r="F84" s="1066"/>
      <c r="G84" s="1066"/>
      <c r="H84" s="1114"/>
      <c r="I84" s="1229">
        <f>INDEX(TEMPLATE_NUMBER_POINT_FHD,B84,MATCH(TEMPLATE_SPHERE,TEMPLATE_SPHERE_LIST_FOR_NOTE,0))</f>
        <v>0</v>
      </c>
      <c r="J84" s="1229">
        <f>INDEX(TEMPLATE_DATA_POINT_FHD,B84,MATCH(TEMPLATE_SPHERE,TEMPLATE_SPHERE_LIST_FOR_NOTE,0))</f>
        <v>0</v>
      </c>
      <c r="K84" s="1229">
        <f>INDEX(TEMPLATE_NOTE_POINT_FHD,B84,MATCH(TEMPLATE_SPHERE,TEMPLATE_SPHERE_LIST_FOR_NOTE,0))</f>
        <v>0</v>
      </c>
      <c r="L84" s="1067" t="str">
        <f>IF(I84=0,"",I84)</f>
        <v/>
      </c>
      <c r="M84" s="1067" t="str">
        <f>IF(J84=0,"",J84)</f>
        <v/>
      </c>
      <c r="N84" s="1067" t="str">
        <f>IF(K84=0,"",K84)</f>
        <v/>
      </c>
      <c r="O84" s="1181" t="s">
        <v>2114</v>
      </c>
      <c r="P84" s="1181"/>
      <c r="Q84" s="1181"/>
      <c r="R84" s="1181"/>
      <c r="S84" s="1181"/>
      <c r="T84" s="1066" t="s">
        <v>2115</v>
      </c>
      <c r="U84" s="1066"/>
      <c r="V84" s="1066"/>
      <c r="W84" s="1066"/>
      <c r="X84" s="1066"/>
      <c r="Y84" s="1224"/>
      <c r="Z84" s="1069"/>
      <c r="AA84" s="1072"/>
      <c r="AB84" s="1069"/>
      <c r="AC84" s="1069"/>
      <c r="AD84" s="1069"/>
    </row>
    <row customHeight="1" ht="9">
      <c r="A85" s="1068"/>
      <c r="B85" s="1122">
        <v>68</v>
      </c>
      <c r="C85" s="1066"/>
      <c r="D85" s="1191"/>
      <c r="E85" s="1066"/>
      <c r="F85" s="1066"/>
      <c r="G85" s="1066"/>
      <c r="H85" s="1114"/>
      <c r="I85" s="1229">
        <f>INDEX(TEMPLATE_NUMBER_POINT_FHD,B85,MATCH(TEMPLATE_SPHERE,TEMPLATE_SPHERE_LIST_FOR_NOTE,0))</f>
        <v>0</v>
      </c>
      <c r="J85" s="1229">
        <f>INDEX(TEMPLATE_DATA_POINT_FHD,B85,MATCH(TEMPLATE_SPHERE,TEMPLATE_SPHERE_LIST_FOR_NOTE,0))</f>
        <v>0</v>
      </c>
      <c r="K85" s="1229">
        <f>INDEX(TEMPLATE_NOTE_POINT_FHD,B85,MATCH(TEMPLATE_SPHERE,TEMPLATE_SPHERE_LIST_FOR_NOTE,0))</f>
        <v>0</v>
      </c>
      <c r="L85" s="1067" t="str">
        <f>IF(I85=0,"",I85)</f>
        <v/>
      </c>
      <c r="M85" s="1067" t="str">
        <f>IF(J85=0,"",J85)</f>
        <v/>
      </c>
      <c r="N85" s="1067" t="str">
        <f>IF(K85=0,"",K85)</f>
        <v/>
      </c>
      <c r="O85" s="1181" t="s">
        <v>2000</v>
      </c>
      <c r="P85" s="1181"/>
      <c r="Q85" s="1181"/>
      <c r="R85" s="1181"/>
      <c r="S85" s="1181"/>
      <c r="T85" s="1066" t="s">
        <v>2116</v>
      </c>
      <c r="U85" s="1066"/>
      <c r="V85" s="1066"/>
      <c r="W85" s="1066"/>
      <c r="X85" s="1066"/>
      <c r="Y85" s="1224"/>
      <c r="Z85" s="1069"/>
      <c r="AA85" s="1072"/>
      <c r="AB85" s="1069"/>
      <c r="AC85" s="1069"/>
      <c r="AD85" s="1069"/>
    </row>
    <row customHeight="1" ht="27">
      <c r="A86" s="1068"/>
      <c r="B86" s="1122">
        <v>69</v>
      </c>
      <c r="C86" s="1066"/>
      <c r="D86" s="1191"/>
      <c r="E86" s="1066"/>
      <c r="F86" s="1066"/>
      <c r="G86" s="1066"/>
      <c r="H86" s="1114"/>
      <c r="I86" s="1229">
        <f>INDEX(TEMPLATE_NUMBER_POINT_FHD,B86,MATCH(TEMPLATE_SPHERE,TEMPLATE_SPHERE_LIST_FOR_NOTE,0))</f>
        <v>0</v>
      </c>
      <c r="J86" s="1229">
        <f>INDEX(TEMPLATE_DATA_POINT_FHD,B86,MATCH(TEMPLATE_SPHERE,TEMPLATE_SPHERE_LIST_FOR_NOTE,0))</f>
        <v>0</v>
      </c>
      <c r="K86" s="1229">
        <f>INDEX(TEMPLATE_NOTE_POINT_FHD,B86,MATCH(TEMPLATE_SPHERE,TEMPLATE_SPHERE_LIST_FOR_NOTE,0))</f>
        <v>0</v>
      </c>
      <c r="L86" s="1067" t="str">
        <f>IF(I86=0,"",I86)</f>
        <v/>
      </c>
      <c r="M86" s="1067" t="str">
        <f>IF(J86=0,"",J86)</f>
        <v/>
      </c>
      <c r="N86" s="1067" t="str">
        <f>IF(K86=0,"",K86)</f>
        <v/>
      </c>
      <c r="O86" s="1181" t="s">
        <v>2117</v>
      </c>
      <c r="P86" s="1181"/>
      <c r="Q86" s="1181"/>
      <c r="R86" s="1181"/>
      <c r="S86" s="1181"/>
      <c r="T86" s="1066" t="s">
        <v>2118</v>
      </c>
      <c r="U86" s="1066"/>
      <c r="V86" s="1066"/>
      <c r="W86" s="1066"/>
      <c r="X86" s="1066"/>
      <c r="Y86" s="1224"/>
      <c r="Z86" s="1069"/>
      <c r="AA86" s="1072"/>
      <c r="AB86" s="1069"/>
      <c r="AC86" s="1069"/>
      <c r="AD86" s="1069"/>
    </row>
    <row customHeight="1" ht="36">
      <c r="A87" s="1068"/>
      <c r="B87" s="1122">
        <v>70</v>
      </c>
      <c r="C87" s="1066" t="s">
        <v>2119</v>
      </c>
      <c r="D87" s="1191"/>
      <c r="E87" s="1066"/>
      <c r="F87" s="1066"/>
      <c r="G87" s="1066"/>
      <c r="H87" s="1114"/>
      <c r="I87" s="1229">
        <f>INDEX(TEMPLATE_NUMBER_POINT_FHD,B87,MATCH(TEMPLATE_SPHERE,TEMPLATE_SPHERE_LIST_FOR_NOTE,0))</f>
        <v>0</v>
      </c>
      <c r="J87" s="1229">
        <f>INDEX(TEMPLATE_DATA_POINT_FHD,B87,MATCH(TEMPLATE_SPHERE,TEMPLATE_SPHERE_LIST_FOR_NOTE,0))</f>
        <v>0</v>
      </c>
      <c r="K87" s="1229">
        <f>INDEX(TEMPLATE_NOTE_POINT_FHD,B87,MATCH(TEMPLATE_SPHERE,TEMPLATE_SPHERE_LIST_FOR_NOTE,0))</f>
        <v>0</v>
      </c>
      <c r="L87" s="1067" t="str">
        <f>IF(I87=0,"",I87)</f>
        <v/>
      </c>
      <c r="M87" s="1067" t="str">
        <f>IF(J87=0,"",J87)</f>
        <v/>
      </c>
      <c r="N87" s="1067" t="str">
        <f>IF(K87=0,"",K87)</f>
        <v/>
      </c>
      <c r="O87" s="1181" t="s">
        <v>149</v>
      </c>
      <c r="P87" s="1181"/>
      <c r="Q87" s="1181"/>
      <c r="R87" s="1181"/>
      <c r="S87" s="1181"/>
      <c r="T87" s="1066" t="s">
        <v>2120</v>
      </c>
      <c r="U87" s="1066"/>
      <c r="V87" s="1066"/>
      <c r="W87" s="1066"/>
      <c r="X87" s="1066"/>
      <c r="Y87" s="1224"/>
      <c r="Z87" s="1069"/>
      <c r="AA87" s="1072"/>
      <c r="AB87" s="1069"/>
      <c r="AC87" s="1069"/>
      <c r="AD87" s="1069"/>
    </row>
    <row customHeight="1" ht="18">
      <c r="A88" s="1068"/>
      <c r="B88" s="1122">
        <v>71</v>
      </c>
      <c r="C88" s="1066" t="s">
        <v>2121</v>
      </c>
      <c r="D88" s="1191"/>
      <c r="E88" s="1066"/>
      <c r="F88" s="1066"/>
      <c r="G88" s="1066"/>
      <c r="H88" s="1114"/>
      <c r="I88" s="1229">
        <f>INDEX(TEMPLATE_NUMBER_POINT_FHD,B88,MATCH(TEMPLATE_SPHERE,TEMPLATE_SPHERE_LIST_FOR_NOTE,0))</f>
        <v>0</v>
      </c>
      <c r="J88" s="1229">
        <f>INDEX(TEMPLATE_DATA_POINT_FHD,B88,MATCH(TEMPLATE_SPHERE,TEMPLATE_SPHERE_LIST_FOR_NOTE,0))</f>
        <v>0</v>
      </c>
      <c r="K88" s="1229">
        <f>INDEX(TEMPLATE_NOTE_POINT_FHD,B88,MATCH(TEMPLATE_SPHERE,TEMPLATE_SPHERE_LIST_FOR_NOTE,0))</f>
        <v>0</v>
      </c>
      <c r="L88" s="1067" t="str">
        <f>IF(I88=0,"",I88)</f>
        <v/>
      </c>
      <c r="M88" s="1067" t="str">
        <f>IF(J88=0,"",J88)</f>
        <v/>
      </c>
      <c r="N88" s="1067" t="str">
        <f>IF(K88=0,"",K88)</f>
        <v/>
      </c>
      <c r="O88" s="1181" t="s">
        <v>150</v>
      </c>
      <c r="P88" s="1181"/>
      <c r="Q88" s="1181"/>
      <c r="R88" s="1181"/>
      <c r="S88" s="1181"/>
      <c r="T88" s="1066" t="s">
        <v>2122</v>
      </c>
      <c r="U88" s="1066"/>
      <c r="V88" s="1066"/>
      <c r="W88" s="1066"/>
      <c r="X88" s="1066"/>
      <c r="Y88" s="1224"/>
      <c r="Z88" s="1069"/>
      <c r="AA88" s="1072"/>
      <c r="AB88" s="1069"/>
      <c r="AC88" s="1069"/>
      <c r="AD88" s="1069"/>
    </row>
    <row customHeight="1" ht="18">
      <c r="A89" s="1068"/>
      <c r="B89" s="1122">
        <v>72</v>
      </c>
      <c r="C89" s="1066" t="s">
        <v>2123</v>
      </c>
      <c r="D89" s="1191" t="s">
        <v>2119</v>
      </c>
      <c r="E89" s="1066" t="s">
        <v>2119</v>
      </c>
      <c r="F89" s="1066" t="s">
        <v>2084</v>
      </c>
      <c r="G89" s="1066"/>
      <c r="H89" s="1114"/>
      <c r="I89" s="1229" t="str">
        <f>INDEX(TEMPLATE_NUMBER_POINT_FHD,B89,MATCH(TEMPLATE_SPHERE,TEMPLATE_SPHERE_LIST_FOR_NOTE,0))</f>
        <v>12</v>
      </c>
      <c r="J89" s="1229" t="str">
        <f>INDEX(TEMPLATE_DATA_POINT_FHD,B89,MATCH(TEMPLATE_SPHERE,TEMPLATE_SPHERE_LIST_FOR_NOTE,0))</f>
        <v>Среднесписочная численность основного производственного персонала</v>
      </c>
      <c r="K89" s="1229">
        <f>INDEX(TEMPLATE_NOTE_POINT_FHD,B89,MATCH(TEMPLATE_SPHERE,TEMPLATE_SPHERE_LIST_FOR_NOTE,0))</f>
        <v>0</v>
      </c>
      <c r="L89" s="1067" t="str">
        <f>IF(I89=0,"",I89)</f>
        <v>12</v>
      </c>
      <c r="M89" s="1067" t="str">
        <f>IF(J89=0,"",J89)</f>
        <v>Среднесписочная численность основного производственного персонала</v>
      </c>
      <c r="N89" s="1067" t="str">
        <f>IF(K89=0,"",K89)</f>
        <v/>
      </c>
      <c r="O89" s="1181" t="s">
        <v>151</v>
      </c>
      <c r="P89" s="1181" t="s">
        <v>150</v>
      </c>
      <c r="Q89" s="1181" t="s">
        <v>150</v>
      </c>
      <c r="R89" s="1181" t="s">
        <v>148</v>
      </c>
      <c r="S89" s="1181"/>
      <c r="T89" s="1066" t="s">
        <v>2124</v>
      </c>
      <c r="U89" s="1066" t="s">
        <v>2124</v>
      </c>
      <c r="V89" s="1066" t="s">
        <v>2124</v>
      </c>
      <c r="W89" s="1066" t="s">
        <v>2124</v>
      </c>
      <c r="X89" s="1066"/>
      <c r="Y89" s="1224"/>
      <c r="Z89" s="1069"/>
      <c r="AA89" s="1072"/>
      <c r="AB89" s="1069"/>
      <c r="AC89" s="1069"/>
      <c r="AD89" s="1069"/>
    </row>
    <row customHeight="1" ht="27">
      <c r="A90" s="1068"/>
      <c r="B90" s="1122">
        <v>73</v>
      </c>
      <c r="C90" s="1066" t="s">
        <v>2125</v>
      </c>
      <c r="D90" s="1191"/>
      <c r="E90" s="1066"/>
      <c r="F90" s="1066"/>
      <c r="G90" s="1066"/>
      <c r="H90" s="1114"/>
      <c r="I90" s="1229">
        <f>INDEX(TEMPLATE_NUMBER_POINT_FHD,B90,MATCH(TEMPLATE_SPHERE,TEMPLATE_SPHERE_LIST_FOR_NOTE,0))</f>
        <v>0</v>
      </c>
      <c r="J90" s="1229">
        <f>INDEX(TEMPLATE_DATA_POINT_FHD,B90,MATCH(TEMPLATE_SPHERE,TEMPLATE_SPHERE_LIST_FOR_NOTE,0))</f>
        <v>0</v>
      </c>
      <c r="K90" s="1229">
        <f>INDEX(TEMPLATE_NOTE_POINT_FHD,B90,MATCH(TEMPLATE_SPHERE,TEMPLATE_SPHERE_LIST_FOR_NOTE,0))</f>
        <v>0</v>
      </c>
      <c r="L90" s="1067" t="str">
        <f>IF(I90=0,"",I90)</f>
        <v/>
      </c>
      <c r="M90" s="1067" t="str">
        <f>IF(J90=0,"",J90)</f>
        <v/>
      </c>
      <c r="N90" s="1067" t="str">
        <f>IF(K90=0,"",K90)</f>
        <v/>
      </c>
      <c r="O90" s="1181" t="s">
        <v>152</v>
      </c>
      <c r="P90" s="1181"/>
      <c r="Q90" s="1181"/>
      <c r="R90" s="1181"/>
      <c r="S90" s="1181"/>
      <c r="T90" s="1066" t="s">
        <v>2126</v>
      </c>
      <c r="U90" s="1066"/>
      <c r="V90" s="1066"/>
      <c r="W90" s="1066"/>
      <c r="X90" s="1066"/>
      <c r="Y90" s="1224"/>
      <c r="Z90" s="1069"/>
      <c r="AA90" s="1072"/>
      <c r="AB90" s="1069"/>
      <c r="AC90" s="1069"/>
      <c r="AD90" s="1069"/>
    </row>
    <row customHeight="1" ht="18">
      <c r="A91" s="1068"/>
      <c r="B91" s="1122">
        <v>74</v>
      </c>
      <c r="C91" s="1066"/>
      <c r="D91" s="1191" t="s">
        <v>2121</v>
      </c>
      <c r="E91" s="1066" t="s">
        <v>2121</v>
      </c>
      <c r="F91" s="1066"/>
      <c r="G91" s="1066"/>
      <c r="H91" s="1114"/>
      <c r="I91" s="1229" t="str">
        <f>INDEX(TEMPLATE_NUMBER_POINT_FHD,B91,MATCH(TEMPLATE_SPHERE,TEMPLATE_SPHERE_LIST_FOR_NOTE,0))</f>
        <v>13</v>
      </c>
      <c r="J91" s="1229" t="str">
        <f>INDEX(TEMPLATE_DATA_POINT_FHD,B91,MATCH(TEMPLATE_SPHERE,TEMPLATE_SPHERE_LIST_FOR_NOTE,0))</f>
        <v>Удельный расход электрической энергии на подачу воды в сеть</v>
      </c>
      <c r="K91" s="1229">
        <f>INDEX(TEMPLATE_NOTE_POINT_FHD,B91,MATCH(TEMPLATE_SPHERE,TEMPLATE_SPHERE_LIST_FOR_NOTE,0))</f>
        <v>0</v>
      </c>
      <c r="L91" s="1067" t="str">
        <f>IF(I91=0,"",I91)</f>
        <v>13</v>
      </c>
      <c r="M91" s="1067" t="str">
        <f>IF(J91=0,"",J91)</f>
        <v>Удельный расход электрической энергии на подачу воды в сеть</v>
      </c>
      <c r="N91" s="1067" t="str">
        <f>IF(K91=0,"",K91)</f>
        <v/>
      </c>
      <c r="O91" s="1181"/>
      <c r="P91" s="1181" t="s">
        <v>151</v>
      </c>
      <c r="Q91" s="1181" t="s">
        <v>151</v>
      </c>
      <c r="R91" s="1181"/>
      <c r="S91" s="1181"/>
      <c r="T91" s="1066"/>
      <c r="U91" s="1066" t="s">
        <v>2127</v>
      </c>
      <c r="V91" s="1066" t="s">
        <v>2127</v>
      </c>
      <c r="W91" s="1066"/>
      <c r="X91" s="1066"/>
      <c r="Y91" s="1224"/>
      <c r="Z91" s="1069"/>
      <c r="AA91" s="1072"/>
      <c r="AB91" s="1069"/>
      <c r="AC91" s="1069"/>
      <c r="AD91" s="1069"/>
    </row>
    <row customHeight="1" ht="27">
      <c r="A92" s="1068"/>
      <c r="B92" s="1122">
        <v>75</v>
      </c>
      <c r="C92" s="1066"/>
      <c r="D92" s="1191" t="s">
        <v>2123</v>
      </c>
      <c r="E92" s="1066"/>
      <c r="F92" s="1066"/>
      <c r="G92" s="1066"/>
      <c r="H92" s="1114"/>
      <c r="I92" s="1229">
        <f>INDEX(TEMPLATE_NUMBER_POINT_FHD,B92,MATCH(TEMPLATE_SPHERE,TEMPLATE_SPHERE_LIST_FOR_NOTE,0))</f>
        <v>0</v>
      </c>
      <c r="J92" s="1229">
        <f>INDEX(TEMPLATE_DATA_POINT_FHD,B92,MATCH(TEMPLATE_SPHERE,TEMPLATE_SPHERE_LIST_FOR_NOTE,0))</f>
        <v>0</v>
      </c>
      <c r="K92" s="1229">
        <f>INDEX(TEMPLATE_NOTE_POINT_FHD,B92,MATCH(TEMPLATE_SPHERE,TEMPLATE_SPHERE_LIST_FOR_NOTE,0))</f>
        <v>0</v>
      </c>
      <c r="L92" s="1067" t="str">
        <f>IF(I92=0,"",I92)</f>
        <v/>
      </c>
      <c r="M92" s="1067" t="str">
        <f>IF(J92=0,"",J92)</f>
        <v/>
      </c>
      <c r="N92" s="1067" t="str">
        <f>IF(K92=0,"",K92)</f>
        <v/>
      </c>
      <c r="O92" s="1181"/>
      <c r="P92" s="1181" t="s">
        <v>152</v>
      </c>
      <c r="Q92" s="1181"/>
      <c r="R92" s="1181"/>
      <c r="S92" s="1181"/>
      <c r="T92" s="1066"/>
      <c r="U92" s="1066" t="s">
        <v>2128</v>
      </c>
      <c r="V92" s="1066"/>
      <c r="W92" s="1066"/>
      <c r="X92" s="1066"/>
      <c r="Y92" s="1224"/>
      <c r="Z92" s="1069"/>
      <c r="AA92" s="1072" t="s">
        <v>2129</v>
      </c>
      <c r="AB92" s="1069"/>
      <c r="AC92" s="1069"/>
      <c r="AD92" s="1069"/>
    </row>
    <row customHeight="1" ht="27">
      <c r="A93" s="1068"/>
      <c r="B93" s="1122">
        <v>76</v>
      </c>
      <c r="C93" s="1066"/>
      <c r="D93" s="1191"/>
      <c r="E93" s="1066"/>
      <c r="F93" s="1066"/>
      <c r="G93" s="1066"/>
      <c r="H93" s="1114"/>
      <c r="I93" s="1229">
        <f>INDEX(TEMPLATE_NUMBER_POINT_FHD,B93,MATCH(TEMPLATE_SPHERE,TEMPLATE_SPHERE_LIST_FOR_NOTE,0))</f>
        <v>0</v>
      </c>
      <c r="J93" s="1229">
        <f>INDEX(TEMPLATE_DATA_POINT_FHD,B93,MATCH(TEMPLATE_SPHERE,TEMPLATE_SPHERE_LIST_FOR_NOTE,0))</f>
        <v>0</v>
      </c>
      <c r="K93" s="1229">
        <f>INDEX(TEMPLATE_NOTE_POINT_FHD,B93,MATCH(TEMPLATE_SPHERE,TEMPLATE_SPHERE_LIST_FOR_NOTE,0))</f>
        <v>0</v>
      </c>
      <c r="L93" s="1067" t="str">
        <f>IF(I93=0,"",I93)</f>
        <v/>
      </c>
      <c r="M93" s="1067" t="str">
        <f>IF(J93=0,"",J93)</f>
        <v/>
      </c>
      <c r="N93" s="1067" t="str">
        <f>IF(K93=0,"",K93)</f>
        <v/>
      </c>
      <c r="O93" s="1181"/>
      <c r="P93" s="1181" t="s">
        <v>2028</v>
      </c>
      <c r="Q93" s="1181"/>
      <c r="R93" s="1181"/>
      <c r="S93" s="1181"/>
      <c r="T93" s="1066"/>
      <c r="U93" s="1066" t="s">
        <v>2130</v>
      </c>
      <c r="V93" s="1066"/>
      <c r="W93" s="1066"/>
      <c r="X93" s="1066"/>
      <c r="Y93" s="1224"/>
      <c r="Z93" s="1069"/>
      <c r="AA93" s="1072" t="s">
        <v>2131</v>
      </c>
      <c r="AB93" s="1069"/>
      <c r="AC93" s="1069"/>
      <c r="AD93" s="1069"/>
    </row>
    <row customHeight="1" ht="45">
      <c r="A94" s="1068"/>
      <c r="B94" s="1122">
        <v>77</v>
      </c>
      <c r="C94" s="1066"/>
      <c r="D94" s="1191" t="s">
        <v>2125</v>
      </c>
      <c r="E94" s="1066"/>
      <c r="F94" s="1066"/>
      <c r="G94" s="1066"/>
      <c r="H94" s="1114"/>
      <c r="I94" s="1229">
        <f>INDEX(TEMPLATE_NUMBER_POINT_FHD,B94,MATCH(TEMPLATE_SPHERE,TEMPLATE_SPHERE_LIST_FOR_NOTE,0))</f>
        <v>0</v>
      </c>
      <c r="J94" s="1229">
        <f>INDEX(TEMPLATE_DATA_POINT_FHD,B94,MATCH(TEMPLATE_SPHERE,TEMPLATE_SPHERE_LIST_FOR_NOTE,0))</f>
        <v>0</v>
      </c>
      <c r="K94" s="1229">
        <f>INDEX(TEMPLATE_NOTE_POINT_FHD,B94,MATCH(TEMPLATE_SPHERE,TEMPLATE_SPHERE_LIST_FOR_NOTE,0))</f>
        <v>0</v>
      </c>
      <c r="L94" s="1067" t="str">
        <f>IF(I94=0,"",I94)</f>
        <v/>
      </c>
      <c r="M94" s="1067" t="str">
        <f>IF(J94=0,"",J94)</f>
        <v/>
      </c>
      <c r="N94" s="1067" t="str">
        <f>IF(K94=0,"",K94)</f>
        <v/>
      </c>
      <c r="O94" s="1181"/>
      <c r="P94" s="1181" t="s">
        <v>1381</v>
      </c>
      <c r="Q94" s="1181"/>
      <c r="R94" s="1181"/>
      <c r="S94" s="1181"/>
      <c r="T94" s="1066"/>
      <c r="U94" s="1066" t="s">
        <v>2132</v>
      </c>
      <c r="V94" s="1066"/>
      <c r="W94" s="1066"/>
      <c r="X94" s="1066"/>
      <c r="Y94" s="1224"/>
      <c r="Z94" s="1069"/>
      <c r="AA94" s="1072" t="s">
        <v>2133</v>
      </c>
      <c r="AB94" s="1069"/>
      <c r="AC94" s="1069"/>
      <c r="AD94" s="1069"/>
    </row>
    <row customHeight="1" ht="99">
      <c r="A95" s="1068"/>
      <c r="B95" s="1122">
        <v>78</v>
      </c>
      <c r="C95" s="1066" t="s">
        <v>2134</v>
      </c>
      <c r="D95" s="1191"/>
      <c r="E95" s="1066"/>
      <c r="F95" s="1066"/>
      <c r="G95" s="1066"/>
      <c r="H95" s="1114"/>
      <c r="I95" s="1229">
        <f>INDEX(TEMPLATE_NUMBER_POINT_FHD,B95,MATCH(TEMPLATE_SPHERE,TEMPLATE_SPHERE_LIST_FOR_NOTE,0))</f>
        <v>0</v>
      </c>
      <c r="J95" s="1229">
        <f>INDEX(TEMPLATE_DATA_POINT_FHD,B95,MATCH(TEMPLATE_SPHERE,TEMPLATE_SPHERE_LIST_FOR_NOTE,0))</f>
        <v>0</v>
      </c>
      <c r="K95" s="1229">
        <f>INDEX(TEMPLATE_NOTE_POINT_FHD,B95,MATCH(TEMPLATE_SPHERE,TEMPLATE_SPHERE_LIST_FOR_NOTE,0))</f>
        <v>0</v>
      </c>
      <c r="L95" s="1067" t="str">
        <f>IF(I95=0,"",I95)</f>
        <v/>
      </c>
      <c r="M95" s="1067" t="str">
        <f>IF(J95=0,"",J95)</f>
        <v/>
      </c>
      <c r="N95" s="1067" t="str">
        <f>IF(K95=0,"",K95)</f>
        <v/>
      </c>
      <c r="O95" s="1181" t="s">
        <v>1381</v>
      </c>
      <c r="P95" s="1181"/>
      <c r="Q95" s="1181"/>
      <c r="R95" s="1181"/>
      <c r="S95" s="1181"/>
      <c r="T95" s="1066" t="s">
        <v>2135</v>
      </c>
      <c r="U95" s="1066"/>
      <c r="V95" s="1066"/>
      <c r="W95" s="1066"/>
      <c r="X95" s="1066"/>
      <c r="Y95" s="1224"/>
      <c r="Z95" s="1069"/>
      <c r="AA95" s="1072"/>
      <c r="AB95" s="1069"/>
      <c r="AC95" s="1069"/>
      <c r="AD95" s="1069"/>
    </row>
    <row customHeight="1" ht="99">
      <c r="A96" s="1068"/>
      <c r="B96" s="1122">
        <v>79</v>
      </c>
      <c r="C96" s="1066" t="s">
        <v>1068</v>
      </c>
      <c r="D96" s="1191"/>
      <c r="E96" s="1066"/>
      <c r="F96" s="1066"/>
      <c r="G96" s="1066"/>
      <c r="H96" s="1114"/>
      <c r="I96" s="1229">
        <f>INDEX(TEMPLATE_NUMBER_POINT_FHD,B96,MATCH(TEMPLATE_SPHERE,TEMPLATE_SPHERE_LIST_FOR_NOTE,0))</f>
        <v>0</v>
      </c>
      <c r="J96" s="1229">
        <f>INDEX(TEMPLATE_DATA_POINT_FHD,B96,MATCH(TEMPLATE_SPHERE,TEMPLATE_SPHERE_LIST_FOR_NOTE,0))</f>
        <v>0</v>
      </c>
      <c r="K96" s="1229">
        <f>INDEX(TEMPLATE_NOTE_POINT_FHD,B96,MATCH(TEMPLATE_SPHERE,TEMPLATE_SPHERE_LIST_FOR_NOTE,0))</f>
        <v>0</v>
      </c>
      <c r="L96" s="1067" t="str">
        <f>IF(I96=0,"",I96)</f>
        <v/>
      </c>
      <c r="M96" s="1067" t="str">
        <f>IF(J96=0,"",J96)</f>
        <v/>
      </c>
      <c r="N96" s="1067" t="str">
        <f>IF(K96=0,"",K96)</f>
        <v/>
      </c>
      <c r="O96" s="1181" t="s">
        <v>1387</v>
      </c>
      <c r="P96" s="1181"/>
      <c r="Q96" s="1181"/>
      <c r="R96" s="1181"/>
      <c r="S96" s="1181"/>
      <c r="T96" s="1066" t="s">
        <v>2136</v>
      </c>
      <c r="U96" s="1066"/>
      <c r="V96" s="1066"/>
      <c r="W96" s="1066"/>
      <c r="X96" s="1066"/>
      <c r="Y96" s="1224"/>
      <c r="Z96" s="1069" t="s">
        <v>2137</v>
      </c>
      <c r="AA96" s="1072"/>
      <c r="AB96" s="1069"/>
      <c r="AC96" s="1069"/>
      <c r="AD96" s="1069"/>
    </row>
    <row customHeight="1" ht="63">
      <c r="A97" s="1068"/>
      <c r="B97" s="1122">
        <v>80</v>
      </c>
      <c r="C97" s="1066" t="s">
        <v>2138</v>
      </c>
      <c r="D97" s="1191"/>
      <c r="E97" s="1066"/>
      <c r="F97" s="1066"/>
      <c r="G97" s="1066"/>
      <c r="H97" s="1114"/>
      <c r="I97" s="1229">
        <f>INDEX(TEMPLATE_NUMBER_POINT_FHD,B97,MATCH(TEMPLATE_SPHERE,TEMPLATE_SPHERE_LIST_FOR_NOTE,0))</f>
        <v>0</v>
      </c>
      <c r="J97" s="1229">
        <f>INDEX(TEMPLATE_DATA_POINT_FHD,B97,MATCH(TEMPLATE_SPHERE,TEMPLATE_SPHERE_LIST_FOR_NOTE,0))</f>
        <v>0</v>
      </c>
      <c r="K97" s="1229">
        <f>INDEX(TEMPLATE_NOTE_POINT_FHD,B97,MATCH(TEMPLATE_SPHERE,TEMPLATE_SPHERE_LIST_FOR_NOTE,0))</f>
        <v>0</v>
      </c>
      <c r="L97" s="1067" t="str">
        <f>IF(I97=0,"",I97)</f>
        <v/>
      </c>
      <c r="M97" s="1067" t="str">
        <f>IF(J97=0,"",J97)</f>
        <v/>
      </c>
      <c r="N97" s="1067" t="str">
        <f>IF(K97=0,"",K97)</f>
        <v/>
      </c>
      <c r="O97" s="1181" t="s">
        <v>1398</v>
      </c>
      <c r="P97" s="1181"/>
      <c r="Q97" s="1181"/>
      <c r="R97" s="1181"/>
      <c r="S97" s="1181"/>
      <c r="T97" s="1066" t="s">
        <v>2139</v>
      </c>
      <c r="U97" s="1066"/>
      <c r="V97" s="1066"/>
      <c r="W97" s="1066"/>
      <c r="X97" s="1066"/>
      <c r="Y97" s="1224"/>
      <c r="Z97" s="1069" t="s">
        <v>2140</v>
      </c>
      <c r="AA97" s="1072"/>
      <c r="AB97" s="1069"/>
      <c r="AC97" s="1069"/>
      <c r="AD97" s="1069"/>
    </row>
    <row customHeight="1" ht="63">
      <c r="A98" s="1068"/>
      <c r="B98" s="1122">
        <v>81</v>
      </c>
      <c r="C98" s="1066" t="s">
        <v>2141</v>
      </c>
      <c r="D98" s="1191"/>
      <c r="E98" s="1066"/>
      <c r="F98" s="1066"/>
      <c r="G98" s="1066"/>
      <c r="H98" s="1114"/>
      <c r="I98" s="1229">
        <f>INDEX(TEMPLATE_NUMBER_POINT_FHD,B98,MATCH(TEMPLATE_SPHERE,TEMPLATE_SPHERE_LIST_FOR_NOTE,0))</f>
        <v>0</v>
      </c>
      <c r="J98" s="1229">
        <f>INDEX(TEMPLATE_DATA_POINT_FHD,B98,MATCH(TEMPLATE_SPHERE,TEMPLATE_SPHERE_LIST_FOR_NOTE,0))</f>
        <v>0</v>
      </c>
      <c r="K98" s="1229">
        <f>INDEX(TEMPLATE_NOTE_POINT_FHD,B98,MATCH(TEMPLATE_SPHERE,TEMPLATE_SPHERE_LIST_FOR_NOTE,0))</f>
        <v>0</v>
      </c>
      <c r="L98" s="1067" t="str">
        <f>IF(I98=0,"",I98)</f>
        <v/>
      </c>
      <c r="M98" s="1067" t="str">
        <f>IF(J98=0,"",J98)</f>
        <v/>
      </c>
      <c r="N98" s="1067" t="str">
        <f>IF(K98=0,"",K98)</f>
        <v/>
      </c>
      <c r="O98" s="1181" t="s">
        <v>1412</v>
      </c>
      <c r="P98" s="1181"/>
      <c r="Q98" s="1181"/>
      <c r="R98" s="1181"/>
      <c r="S98" s="1181"/>
      <c r="T98" s="1066" t="s">
        <v>2142</v>
      </c>
      <c r="U98" s="1066"/>
      <c r="V98" s="1066"/>
      <c r="W98" s="1066"/>
      <c r="X98" s="1066"/>
      <c r="Y98" s="1224"/>
      <c r="Z98" s="1069" t="s">
        <v>2140</v>
      </c>
      <c r="AA98" s="1072"/>
      <c r="AB98" s="1069"/>
      <c r="AC98" s="1069"/>
      <c r="AD98" s="1069"/>
    </row>
    <row customHeight="1" ht="90">
      <c r="A99" s="1068"/>
      <c r="B99" s="1122">
        <v>82</v>
      </c>
      <c r="C99" s="1066" t="s">
        <v>2143</v>
      </c>
      <c r="D99" s="1191"/>
      <c r="E99" s="1066"/>
      <c r="F99" s="1066"/>
      <c r="G99" s="1066"/>
      <c r="H99" s="1114"/>
      <c r="I99" s="1229">
        <f>INDEX(TEMPLATE_NUMBER_POINT_FHD,B99,MATCH(TEMPLATE_SPHERE,TEMPLATE_SPHERE_LIST_FOR_NOTE,0))</f>
        <v>0</v>
      </c>
      <c r="J99" s="1229">
        <f>INDEX(TEMPLATE_DATA_POINT_FHD,B99,MATCH(TEMPLATE_SPHERE,TEMPLATE_SPHERE_LIST_FOR_NOTE,0))</f>
        <v>0</v>
      </c>
      <c r="K99" s="1229">
        <f>INDEX(TEMPLATE_NOTE_POINT_FHD,B99,MATCH(TEMPLATE_SPHERE,TEMPLATE_SPHERE_LIST_FOR_NOTE,0))</f>
        <v>0</v>
      </c>
      <c r="L99" s="1067" t="str">
        <f>IF(I99=0,"",I99)</f>
        <v/>
      </c>
      <c r="M99" s="1067" t="str">
        <f>IF(J99=0,"",J99)</f>
        <v/>
      </c>
      <c r="N99" s="1067" t="str">
        <f>IF(K99=0,"",K99)</f>
        <v/>
      </c>
      <c r="O99" s="1181" t="s">
        <v>1424</v>
      </c>
      <c r="P99" s="1181"/>
      <c r="Q99" s="1181"/>
      <c r="R99" s="1181"/>
      <c r="S99" s="1181"/>
      <c r="T99" s="1066" t="s">
        <v>2144</v>
      </c>
      <c r="U99" s="1066"/>
      <c r="V99" s="1066"/>
      <c r="W99" s="1066"/>
      <c r="X99" s="1066"/>
      <c r="Y99" s="1224"/>
      <c r="Z99" s="1069" t="s">
        <v>809</v>
      </c>
      <c r="AA99" s="1072"/>
      <c r="AB99" s="1069"/>
      <c r="AC99" s="1069"/>
      <c r="AD99" s="1069"/>
    </row>
    <row customHeight="1" ht="27">
      <c r="A100" s="1068"/>
      <c r="B100" s="1122">
        <v>83</v>
      </c>
      <c r="C100" s="1066"/>
      <c r="D100" s="1191"/>
      <c r="E100" s="1066"/>
      <c r="F100" s="1066"/>
      <c r="G100" s="1066"/>
      <c r="H100" s="1114"/>
      <c r="I100" s="1229">
        <f>INDEX(TEMPLATE_NUMBER_POINT_FHD,B100,MATCH(TEMPLATE_SPHERE,TEMPLATE_SPHERE_LIST_FOR_NOTE,0))</f>
        <v>0</v>
      </c>
      <c r="J100" s="1229">
        <f>INDEX(TEMPLATE_DATA_POINT_FHD,B100,MATCH(TEMPLATE_SPHERE,TEMPLATE_SPHERE_LIST_FOR_NOTE,0))</f>
        <v>0</v>
      </c>
      <c r="K100" s="1229">
        <f>INDEX(TEMPLATE_NOTE_POINT_FHD,B100,MATCH(TEMPLATE_SPHERE,TEMPLATE_SPHERE_LIST_FOR_NOTE,0))</f>
        <v>0</v>
      </c>
      <c r="L100" s="1067" t="str">
        <f>IF(I100=0,"",I100)</f>
        <v/>
      </c>
      <c r="M100" s="1067" t="str">
        <f>IF(J100=0,"",J100)</f>
        <v/>
      </c>
      <c r="N100" s="1067" t="str">
        <f>IF(K100=0,"",K100)</f>
        <v/>
      </c>
      <c r="O100" s="1181" t="s">
        <v>2145</v>
      </c>
      <c r="P100" s="1181"/>
      <c r="Q100" s="1181"/>
      <c r="R100" s="1181"/>
      <c r="S100" s="1181"/>
      <c r="T100" s="1066" t="s">
        <v>2146</v>
      </c>
      <c r="U100" s="1066"/>
      <c r="V100" s="1066"/>
      <c r="W100" s="1066"/>
      <c r="X100" s="1066"/>
      <c r="Y100" s="1224"/>
      <c r="Z100" s="1069" t="s">
        <v>809</v>
      </c>
      <c r="AA100" s="1072"/>
      <c r="AB100" s="1069"/>
      <c r="AC100" s="1069"/>
      <c r="AD100" s="1069"/>
    </row>
    <row customHeight="1" ht="27">
      <c r="A101" s="1068"/>
      <c r="B101" s="1122">
        <v>84</v>
      </c>
      <c r="C101" s="1066"/>
      <c r="D101" s="1191"/>
      <c r="E101" s="1066"/>
      <c r="F101" s="1066"/>
      <c r="G101" s="1066"/>
      <c r="H101" s="1114"/>
      <c r="I101" s="1229">
        <f>INDEX(TEMPLATE_NUMBER_POINT_FHD,B101,MATCH(TEMPLATE_SPHERE,TEMPLATE_SPHERE_LIST_FOR_NOTE,0))</f>
        <v>0</v>
      </c>
      <c r="J101" s="1229">
        <f>INDEX(TEMPLATE_DATA_POINT_FHD,B101,MATCH(TEMPLATE_SPHERE,TEMPLATE_SPHERE_LIST_FOR_NOTE,0))</f>
        <v>0</v>
      </c>
      <c r="K101" s="1229">
        <f>INDEX(TEMPLATE_NOTE_POINT_FHD,B101,MATCH(TEMPLATE_SPHERE,TEMPLATE_SPHERE_LIST_FOR_NOTE,0))</f>
        <v>0</v>
      </c>
      <c r="L101" s="1067" t="str">
        <f>IF(I101=0,"",I101)</f>
        <v/>
      </c>
      <c r="M101" s="1067" t="str">
        <f>IF(J101=0,"",J101)</f>
        <v/>
      </c>
      <c r="N101" s="1067" t="str">
        <f>IF(K101=0,"",K101)</f>
        <v/>
      </c>
      <c r="O101" s="1181" t="s">
        <v>2147</v>
      </c>
      <c r="P101" s="1181"/>
      <c r="Q101" s="1181"/>
      <c r="R101" s="1181"/>
      <c r="S101" s="1181"/>
      <c r="T101" s="1066" t="s">
        <v>2148</v>
      </c>
      <c r="U101" s="1066"/>
      <c r="V101" s="1066"/>
      <c r="W101" s="1066"/>
      <c r="X101" s="1066"/>
      <c r="Y101" s="1224"/>
      <c r="Z101" s="1069" t="s">
        <v>809</v>
      </c>
      <c r="AA101" s="1072"/>
      <c r="AB101" s="1069"/>
      <c r="AC101" s="1069"/>
      <c r="AD101" s="1069"/>
    </row>
    <row customHeight="1" ht="9">
      <c r="A102" s="1068"/>
      <c r="B102" s="1068"/>
      <c r="C102" s="1066"/>
      <c r="D102" s="1066"/>
      <c r="E102" s="1066"/>
      <c r="F102" s="1066"/>
      <c r="G102" s="1066"/>
      <c r="H102" s="1114"/>
      <c r="I102" s="1114"/>
      <c r="J102" s="1114"/>
      <c r="K102" s="1114"/>
      <c r="L102" s="1114"/>
      <c r="M102" s="1066"/>
      <c r="N102" s="1113"/>
      <c r="O102" s="1181"/>
      <c r="P102" s="1181"/>
      <c r="Q102" s="1181"/>
      <c r="R102" s="1181"/>
      <c r="S102" s="1066"/>
      <c r="T102" s="1066"/>
      <c r="U102" s="1066"/>
      <c r="V102" s="1066"/>
      <c r="W102" s="1066"/>
      <c r="X102" s="1066"/>
      <c r="Y102" s="1224"/>
      <c r="Z102" s="1069"/>
      <c r="AA102" s="1072"/>
      <c r="AB102" s="1069"/>
      <c r="AC102" s="1069"/>
      <c r="AD102" s="1069"/>
    </row>
    <row customHeight="1" ht="9">
      <c r="A103" s="1068"/>
      <c r="B103" s="1068"/>
      <c r="C103" s="1066"/>
      <c r="D103" s="1066"/>
      <c r="E103" s="1066"/>
      <c r="F103" s="1066"/>
      <c r="G103" s="1066"/>
      <c r="H103" s="1114"/>
      <c r="I103" s="1114"/>
      <c r="J103" s="1114"/>
      <c r="K103" s="1114"/>
      <c r="L103" s="1114"/>
      <c r="M103" s="1066"/>
      <c r="N103" s="1113"/>
      <c r="O103" s="1181"/>
      <c r="P103" s="1181"/>
      <c r="Q103" s="1181"/>
      <c r="R103" s="1181"/>
      <c r="S103" s="1066"/>
      <c r="T103" s="1066"/>
      <c r="U103" s="1066"/>
      <c r="V103" s="1066"/>
      <c r="W103" s="1066"/>
      <c r="X103" s="1066"/>
      <c r="Y103" s="1224"/>
      <c r="Z103" s="1069"/>
      <c r="AA103" s="1072"/>
      <c r="AB103" s="1069"/>
      <c r="AC103" s="1069"/>
      <c r="AD103" s="1069"/>
    </row>
    <row customHeight="1" ht="9">
      <c r="A104" s="1068"/>
      <c r="B104" s="1068"/>
      <c r="C104" s="1066"/>
      <c r="D104" s="1066"/>
      <c r="E104" s="1066"/>
      <c r="F104" s="1066"/>
      <c r="G104" s="1066"/>
      <c r="H104" s="1114"/>
      <c r="I104" s="1114"/>
      <c r="J104" s="1114"/>
      <c r="K104" s="1114"/>
      <c r="L104" s="1114"/>
      <c r="M104" s="1066"/>
      <c r="N104" s="1113"/>
      <c r="O104" s="1181"/>
      <c r="P104" s="1181"/>
      <c r="Q104" s="1181"/>
      <c r="R104" s="1181"/>
      <c r="S104" s="1066"/>
      <c r="T104" s="1066"/>
      <c r="U104" s="1066"/>
      <c r="V104" s="1066"/>
      <c r="W104" s="1066"/>
      <c r="X104" s="1066"/>
      <c r="Y104" s="1224"/>
      <c r="Z104" s="1069"/>
      <c r="AA104" s="1072"/>
      <c r="AB104" s="1069"/>
      <c r="AC104" s="1069"/>
      <c r="AD104" s="1069"/>
    </row>
    <row customHeight="1" ht="9">
      <c r="A105" s="1068"/>
      <c r="B105" s="1068"/>
      <c r="C105" s="1066"/>
      <c r="D105" s="1066"/>
      <c r="E105" s="1066"/>
      <c r="F105" s="1066"/>
      <c r="G105" s="1066"/>
      <c r="H105" s="1114"/>
      <c r="I105" s="1114"/>
      <c r="J105" s="1114"/>
      <c r="K105" s="1114"/>
      <c r="L105" s="1114"/>
      <c r="M105" s="1066"/>
      <c r="N105" s="1113"/>
      <c r="O105" s="1181"/>
      <c r="P105" s="1181"/>
      <c r="Q105" s="1181"/>
      <c r="R105" s="1181"/>
      <c r="S105" s="1066"/>
      <c r="T105" s="1066"/>
      <c r="U105" s="1066"/>
      <c r="V105" s="1066"/>
      <c r="W105" s="1066"/>
      <c r="X105" s="1066"/>
      <c r="Y105" s="1224"/>
      <c r="Z105" s="1069"/>
      <c r="AA105" s="1072"/>
      <c r="AB105" s="1069"/>
      <c r="AC105" s="1069"/>
      <c r="AD105" s="1069"/>
    </row>
    <row customHeight="1" ht="9">
      <c r="A106" s="1068"/>
      <c r="B106" s="1068"/>
      <c r="C106" s="1066"/>
      <c r="D106" s="1066"/>
      <c r="E106" s="1066"/>
      <c r="F106" s="1066"/>
      <c r="G106" s="1066"/>
      <c r="H106" s="1114"/>
      <c r="I106" s="1114"/>
      <c r="J106" s="1114"/>
      <c r="K106" s="1114"/>
      <c r="L106" s="1114"/>
      <c r="M106" s="1066"/>
      <c r="N106" s="1113"/>
      <c r="O106" s="1181"/>
      <c r="P106" s="1181"/>
      <c r="Q106" s="1181"/>
      <c r="R106" s="1181"/>
      <c r="S106" s="1066"/>
      <c r="T106" s="1066"/>
      <c r="U106" s="1066"/>
      <c r="V106" s="1066"/>
      <c r="W106" s="1066"/>
      <c r="X106" s="1066"/>
      <c r="Y106" s="1224"/>
      <c r="Z106" s="1069"/>
      <c r="AA106" s="1072"/>
      <c r="AB106" s="1069"/>
      <c r="AC106" s="1069"/>
      <c r="AD106" s="1069"/>
    </row>
    <row customHeight="1" ht="9">
      <c r="A107" s="1068"/>
      <c r="B107" s="1068"/>
      <c r="C107" s="1066"/>
      <c r="D107" s="1066"/>
      <c r="E107" s="1066"/>
      <c r="F107" s="1066"/>
      <c r="G107" s="1066"/>
      <c r="H107" s="1114"/>
      <c r="I107" s="1114"/>
      <c r="J107" s="1114"/>
      <c r="K107" s="1114"/>
      <c r="L107" s="1114"/>
      <c r="M107" s="1066"/>
      <c r="N107" s="1113"/>
      <c r="O107" s="1181"/>
      <c r="P107" s="1181"/>
      <c r="Q107" s="1181"/>
      <c r="R107" s="1181"/>
      <c r="S107" s="1066"/>
      <c r="T107" s="1066"/>
      <c r="U107" s="1066"/>
      <c r="V107" s="1066"/>
      <c r="W107" s="1066"/>
      <c r="X107" s="1066"/>
      <c r="Y107" s="1224"/>
      <c r="Z107" s="1069"/>
      <c r="AA107" s="1072"/>
      <c r="AB107" s="1069"/>
      <c r="AC107" s="1069"/>
      <c r="AD107" s="1069"/>
    </row>
    <row customHeight="1" ht="9">
      <c r="A108" s="1068"/>
      <c r="B108" s="1068"/>
      <c r="C108" s="1066"/>
      <c r="D108" s="1066"/>
      <c r="E108" s="1066"/>
      <c r="F108" s="1066"/>
      <c r="G108" s="1066"/>
      <c r="H108" s="1114"/>
      <c r="I108" s="1114"/>
      <c r="J108" s="1114"/>
      <c r="K108" s="1114"/>
      <c r="L108" s="1114"/>
      <c r="M108" s="1066"/>
      <c r="N108" s="1113"/>
      <c r="O108" s="1181"/>
      <c r="P108" s="1181"/>
      <c r="Q108" s="1181"/>
      <c r="R108" s="1181"/>
      <c r="S108" s="1066"/>
      <c r="T108" s="1066"/>
      <c r="U108" s="1066"/>
      <c r="V108" s="1066"/>
      <c r="W108" s="1066"/>
      <c r="X108" s="1066"/>
      <c r="Y108" s="1224"/>
      <c r="Z108" s="1069"/>
      <c r="AA108" s="1072"/>
      <c r="AB108" s="1069"/>
      <c r="AC108" s="1069"/>
      <c r="AD108" s="1069"/>
    </row>
    <row customHeight="1" ht="9">
      <c r="A109" s="1068"/>
      <c r="B109" s="1068"/>
      <c r="C109" s="1066"/>
      <c r="D109" s="1066"/>
      <c r="E109" s="1066"/>
      <c r="F109" s="1066"/>
      <c r="G109" s="1066"/>
      <c r="H109" s="1114"/>
      <c r="I109" s="1114"/>
      <c r="J109" s="1114"/>
      <c r="K109" s="1114"/>
      <c r="L109" s="1114"/>
      <c r="M109" s="1066"/>
      <c r="N109" s="1113"/>
      <c r="O109" s="1181"/>
      <c r="P109" s="1181"/>
      <c r="Q109" s="1181"/>
      <c r="R109" s="1181"/>
      <c r="S109" s="1066"/>
      <c r="T109" s="1066"/>
      <c r="U109" s="1066"/>
      <c r="V109" s="1066"/>
      <c r="W109" s="1066"/>
      <c r="X109" s="1066"/>
      <c r="Y109" s="1224"/>
      <c r="Z109" s="1069"/>
      <c r="AA109" s="1072"/>
      <c r="AB109" s="1069"/>
      <c r="AC109" s="1069"/>
      <c r="AD109" s="1069"/>
    </row>
    <row customHeight="1" ht="9">
      <c r="A110" s="1068"/>
      <c r="B110" s="1068"/>
      <c r="C110" s="1066"/>
      <c r="D110" s="1066"/>
      <c r="E110" s="1066"/>
      <c r="F110" s="1066"/>
      <c r="G110" s="1066"/>
      <c r="H110" s="1114"/>
      <c r="I110" s="1114"/>
      <c r="J110" s="1114"/>
      <c r="K110" s="1114"/>
      <c r="L110" s="1114"/>
      <c r="M110" s="1066"/>
      <c r="N110" s="1113"/>
      <c r="O110" s="1181"/>
      <c r="P110" s="1181"/>
      <c r="Q110" s="1181"/>
      <c r="R110" s="1181"/>
      <c r="S110" s="1066"/>
      <c r="T110" s="1066"/>
      <c r="U110" s="1066"/>
      <c r="V110" s="1066"/>
      <c r="W110" s="1066"/>
      <c r="X110" s="1066"/>
      <c r="Y110" s="1224"/>
      <c r="Z110" s="1069"/>
      <c r="AA110" s="1072"/>
      <c r="AB110" s="1069"/>
      <c r="AC110" s="1069"/>
      <c r="AD110" s="1069"/>
    </row>
    <row customHeight="1" ht="9">
      <c r="A111" s="1068"/>
      <c r="B111" s="1068"/>
      <c r="C111" s="1066"/>
      <c r="D111" s="1066"/>
      <c r="E111" s="1066"/>
      <c r="F111" s="1066"/>
      <c r="G111" s="1066"/>
      <c r="H111" s="1114"/>
      <c r="I111" s="1114"/>
      <c r="J111" s="1114"/>
      <c r="K111" s="1114"/>
      <c r="L111" s="1114"/>
      <c r="M111" s="1066"/>
      <c r="N111" s="1113"/>
      <c r="O111" s="1181"/>
      <c r="P111" s="1181"/>
      <c r="Q111" s="1181"/>
      <c r="R111" s="1181"/>
      <c r="S111" s="1066"/>
      <c r="T111" s="1066"/>
      <c r="U111" s="1066"/>
      <c r="V111" s="1066"/>
      <c r="W111" s="1066"/>
      <c r="X111" s="1066"/>
      <c r="Y111" s="1224"/>
      <c r="Z111" s="1069"/>
      <c r="AA111" s="1072"/>
      <c r="AB111" s="1069"/>
      <c r="AC111" s="1069"/>
      <c r="AD111" s="1069"/>
    </row>
    <row customHeight="1" ht="9">
      <c r="A112" s="1068"/>
      <c r="B112" s="1068"/>
      <c r="C112" s="1066"/>
      <c r="D112" s="1066"/>
      <c r="E112" s="1066"/>
      <c r="F112" s="1066"/>
      <c r="G112" s="1066"/>
      <c r="H112" s="1114"/>
      <c r="I112" s="1114"/>
      <c r="J112" s="1114"/>
      <c r="K112" s="1114"/>
      <c r="L112" s="1114"/>
      <c r="M112" s="1066"/>
      <c r="N112" s="1113"/>
      <c r="O112" s="1181"/>
      <c r="P112" s="1181"/>
      <c r="Q112" s="1181"/>
      <c r="R112" s="1181"/>
      <c r="S112" s="1066"/>
      <c r="T112" s="1066"/>
      <c r="U112" s="1066"/>
      <c r="V112" s="1066"/>
      <c r="W112" s="1066"/>
      <c r="X112" s="1066"/>
      <c r="Y112" s="1224"/>
      <c r="Z112" s="1069"/>
      <c r="AA112" s="1072"/>
      <c r="AB112" s="1069"/>
      <c r="AC112" s="1069"/>
      <c r="AD112" s="1069"/>
    </row>
    <row customHeight="1" ht="9">
      <c r="A113" s="1068"/>
      <c r="B113" s="1068"/>
      <c r="C113" s="1066"/>
      <c r="D113" s="1066"/>
      <c r="E113" s="1066"/>
      <c r="F113" s="1066"/>
      <c r="G113" s="1066"/>
      <c r="H113" s="1114"/>
      <c r="I113" s="1114"/>
      <c r="J113" s="1114"/>
      <c r="K113" s="1114"/>
      <c r="L113" s="1114"/>
      <c r="M113" s="1066"/>
      <c r="N113" s="1113"/>
      <c r="O113" s="1181"/>
      <c r="P113" s="1181"/>
      <c r="Q113" s="1181"/>
      <c r="R113" s="1181"/>
      <c r="S113" s="1066"/>
      <c r="T113" s="1066"/>
      <c r="U113" s="1066"/>
      <c r="V113" s="1066"/>
      <c r="W113" s="1066"/>
      <c r="X113" s="1066"/>
      <c r="Y113" s="1224"/>
      <c r="Z113" s="1069"/>
      <c r="AA113" s="1072"/>
      <c r="AB113" s="1069"/>
      <c r="AC113" s="1069"/>
      <c r="AD113" s="1069"/>
    </row>
    <row customHeight="1" ht="9">
      <c r="A114" s="1068"/>
      <c r="B114" s="1068"/>
      <c r="C114" s="1066"/>
      <c r="D114" s="1066"/>
      <c r="E114" s="1066"/>
      <c r="F114" s="1066"/>
      <c r="G114" s="1066"/>
      <c r="H114" s="1114"/>
      <c r="I114" s="1114"/>
      <c r="J114" s="1114"/>
      <c r="K114" s="1114"/>
      <c r="L114" s="1114"/>
      <c r="M114" s="1066"/>
      <c r="N114" s="1113"/>
      <c r="O114" s="1181"/>
      <c r="P114" s="1181"/>
      <c r="Q114" s="1181"/>
      <c r="R114" s="1181"/>
      <c r="S114" s="1066"/>
      <c r="T114" s="1066"/>
      <c r="U114" s="1066"/>
      <c r="V114" s="1066"/>
      <c r="W114" s="1066"/>
      <c r="X114" s="1066"/>
      <c r="Y114" s="1224"/>
      <c r="Z114" s="1069"/>
      <c r="AA114" s="1072"/>
      <c r="AB114" s="1069"/>
      <c r="AC114" s="1069"/>
      <c r="AD114" s="1069"/>
    </row>
    <row customHeight="1" ht="9">
      <c r="A115" s="1068"/>
      <c r="B115" s="1068"/>
      <c r="C115" s="1066"/>
      <c r="D115" s="1066"/>
      <c r="E115" s="1066"/>
      <c r="F115" s="1066"/>
      <c r="G115" s="1066"/>
      <c r="H115" s="1114"/>
      <c r="I115" s="1114"/>
      <c r="J115" s="1114"/>
      <c r="K115" s="1114"/>
      <c r="L115" s="1114"/>
      <c r="M115" s="1066"/>
      <c r="N115" s="1113"/>
      <c r="O115" s="1181"/>
      <c r="P115" s="1181"/>
      <c r="Q115" s="1181"/>
      <c r="R115" s="1181"/>
      <c r="S115" s="1066"/>
      <c r="T115" s="1066"/>
      <c r="U115" s="1066"/>
      <c r="V115" s="1066"/>
      <c r="W115" s="1066"/>
      <c r="X115" s="1066"/>
      <c r="Y115" s="1224"/>
      <c r="Z115" s="1069"/>
      <c r="AA115" s="1072"/>
      <c r="AB115" s="1069"/>
      <c r="AC115" s="1069"/>
      <c r="AD115" s="1069"/>
    </row>
    <row customHeight="1" ht="9">
      <c r="A116" s="1068"/>
      <c r="B116" s="1068"/>
      <c r="C116" s="1066"/>
      <c r="D116" s="1066"/>
      <c r="E116" s="1066"/>
      <c r="F116" s="1066"/>
      <c r="G116" s="1066"/>
      <c r="H116" s="1114"/>
      <c r="I116" s="1114"/>
      <c r="J116" s="1114"/>
      <c r="K116" s="1114"/>
      <c r="L116" s="1114"/>
      <c r="M116" s="1066"/>
      <c r="N116" s="1113"/>
      <c r="O116" s="1181"/>
      <c r="P116" s="1181"/>
      <c r="Q116" s="1181"/>
      <c r="R116" s="1181"/>
      <c r="S116" s="1066"/>
      <c r="T116" s="1066"/>
      <c r="U116" s="1066"/>
      <c r="V116" s="1066"/>
      <c r="W116" s="1066"/>
      <c r="X116" s="1066"/>
      <c r="Y116" s="1224"/>
      <c r="Z116" s="1069"/>
      <c r="AA116" s="1072"/>
      <c r="AB116" s="1069"/>
      <c r="AC116" s="1069"/>
      <c r="AD116" s="1069"/>
    </row>
    <row customHeight="1" ht="9">
      <c r="A117" s="1068"/>
      <c r="B117" s="1068"/>
      <c r="C117" s="1066"/>
      <c r="D117" s="1066"/>
      <c r="E117" s="1066"/>
      <c r="F117" s="1066"/>
      <c r="G117" s="1066"/>
      <c r="H117" s="1114"/>
      <c r="I117" s="1114"/>
      <c r="J117" s="1114"/>
      <c r="K117" s="1114"/>
      <c r="L117" s="1114"/>
      <c r="M117" s="1066"/>
      <c r="N117" s="1113"/>
      <c r="O117" s="1181"/>
      <c r="P117" s="1181"/>
      <c r="Q117" s="1181"/>
      <c r="R117" s="1181"/>
      <c r="S117" s="1066"/>
      <c r="T117" s="1066"/>
      <c r="U117" s="1066"/>
      <c r="V117" s="1066"/>
      <c r="W117" s="1066"/>
      <c r="X117" s="1066"/>
      <c r="Y117" s="1224"/>
      <c r="Z117" s="1069"/>
      <c r="AA117" s="1072"/>
      <c r="AB117" s="1069"/>
      <c r="AC117" s="1069"/>
      <c r="AD117" s="1069"/>
    </row>
    <row customHeight="1" ht="9">
      <c r="A118" s="1068"/>
      <c r="B118" s="1068"/>
      <c r="C118" s="1066"/>
      <c r="D118" s="1066"/>
      <c r="E118" s="1066"/>
      <c r="F118" s="1066"/>
      <c r="G118" s="1066"/>
      <c r="H118" s="1114"/>
      <c r="I118" s="1114"/>
      <c r="J118" s="1114"/>
      <c r="K118" s="1114"/>
      <c r="L118" s="1114"/>
      <c r="M118" s="1066"/>
      <c r="N118" s="1113"/>
      <c r="O118" s="1181"/>
      <c r="P118" s="1181"/>
      <c r="Q118" s="1181"/>
      <c r="R118" s="1181"/>
      <c r="S118" s="1066"/>
      <c r="T118" s="1066"/>
      <c r="U118" s="1066"/>
      <c r="V118" s="1066"/>
      <c r="W118" s="1066"/>
      <c r="X118" s="1066"/>
      <c r="Y118" s="1224"/>
      <c r="Z118" s="1069"/>
      <c r="AA118" s="1072"/>
      <c r="AB118" s="1069"/>
      <c r="AC118" s="1069"/>
      <c r="AD118" s="1069"/>
    </row>
    <row customHeight="1" ht="9">
      <c r="A119" s="1068"/>
      <c r="B119" s="1068"/>
      <c r="C119" s="1066"/>
      <c r="D119" s="1066"/>
      <c r="E119" s="1066"/>
      <c r="F119" s="1066"/>
      <c r="G119" s="1066"/>
      <c r="H119" s="1114"/>
      <c r="I119" s="1114"/>
      <c r="J119" s="1114"/>
      <c r="K119" s="1114"/>
      <c r="L119" s="1114"/>
      <c r="M119" s="1066"/>
      <c r="N119" s="1113"/>
      <c r="O119" s="1181"/>
      <c r="P119" s="1181"/>
      <c r="Q119" s="1181"/>
      <c r="R119" s="1181"/>
      <c r="S119" s="1066"/>
      <c r="T119" s="1066"/>
      <c r="U119" s="1066"/>
      <c r="V119" s="1066"/>
      <c r="W119" s="1066"/>
      <c r="X119" s="1066"/>
      <c r="Y119" s="1224"/>
      <c r="Z119" s="1069"/>
      <c r="AA119" s="1072"/>
      <c r="AB119" s="1069"/>
      <c r="AC119" s="1069"/>
      <c r="AD119" s="1069"/>
    </row>
    <row customHeight="1" ht="9">
      <c r="A120" s="1068"/>
      <c r="B120" s="1068"/>
      <c r="C120" s="1066"/>
      <c r="D120" s="1066"/>
      <c r="E120" s="1066"/>
      <c r="F120" s="1066"/>
      <c r="G120" s="1066"/>
      <c r="H120" s="1114"/>
      <c r="I120" s="1114"/>
      <c r="J120" s="1114"/>
      <c r="K120" s="1114"/>
      <c r="L120" s="1114"/>
      <c r="M120" s="1066"/>
      <c r="N120" s="1113"/>
      <c r="O120" s="1181"/>
      <c r="P120" s="1181"/>
      <c r="Q120" s="1181"/>
      <c r="R120" s="1181"/>
      <c r="S120" s="1066"/>
      <c r="T120" s="1066"/>
      <c r="U120" s="1066"/>
      <c r="V120" s="1066"/>
      <c r="W120" s="1066"/>
      <c r="X120" s="1066"/>
      <c r="Y120" s="1224"/>
      <c r="Z120" s="1069"/>
      <c r="AA120" s="1072"/>
      <c r="AB120" s="1069"/>
      <c r="AC120" s="1069"/>
      <c r="AD120" s="1069"/>
    </row>
    <row customHeight="1" ht="9">
      <c r="A121" s="1068"/>
      <c r="B121" s="1068"/>
      <c r="C121" s="1066"/>
      <c r="D121" s="1066"/>
      <c r="E121" s="1066"/>
      <c r="F121" s="1066"/>
      <c r="G121" s="1066"/>
      <c r="H121" s="1114"/>
      <c r="I121" s="1114"/>
      <c r="J121" s="1114"/>
      <c r="K121" s="1114"/>
      <c r="L121" s="1114"/>
      <c r="M121" s="1066"/>
      <c r="N121" s="1113"/>
      <c r="O121" s="1181"/>
      <c r="P121" s="1181"/>
      <c r="Q121" s="1181"/>
      <c r="R121" s="1181"/>
      <c r="S121" s="1066"/>
      <c r="T121" s="1066"/>
      <c r="U121" s="1066"/>
      <c r="V121" s="1066"/>
      <c r="W121" s="1066"/>
      <c r="X121" s="1066"/>
      <c r="Y121" s="1224"/>
      <c r="Z121" s="1069"/>
      <c r="AA121" s="1072"/>
      <c r="AB121" s="1069"/>
      <c r="AC121" s="1069"/>
      <c r="AD121" s="1069"/>
    </row>
    <row customHeight="1" ht="9">
      <c r="A122" s="1068"/>
      <c r="B122" s="1068"/>
      <c r="C122" s="1066"/>
      <c r="D122" s="1066"/>
      <c r="E122" s="1066"/>
      <c r="F122" s="1066"/>
      <c r="G122" s="1066"/>
      <c r="H122" s="1114"/>
      <c r="I122" s="1114"/>
      <c r="J122" s="1114"/>
      <c r="K122" s="1114"/>
      <c r="L122" s="1114"/>
      <c r="M122" s="1066"/>
      <c r="N122" s="1113"/>
      <c r="O122" s="1181"/>
      <c r="P122" s="1181"/>
      <c r="Q122" s="1181"/>
      <c r="R122" s="1181"/>
      <c r="S122" s="1066"/>
      <c r="T122" s="1066"/>
      <c r="U122" s="1066"/>
      <c r="V122" s="1066"/>
      <c r="W122" s="1066"/>
      <c r="X122" s="1066"/>
      <c r="Y122" s="1224"/>
      <c r="Z122" s="1069"/>
      <c r="AA122" s="1072"/>
      <c r="AB122" s="1069"/>
      <c r="AC122" s="1069"/>
      <c r="AD122" s="1069"/>
    </row>
    <row customHeight="1" ht="9">
      <c r="A123" s="1068"/>
      <c r="B123" s="1068"/>
      <c r="C123" s="1066"/>
      <c r="D123" s="1066"/>
      <c r="E123" s="1066"/>
      <c r="F123" s="1066"/>
      <c r="G123" s="1066"/>
      <c r="H123" s="1114"/>
      <c r="I123" s="1114"/>
      <c r="J123" s="1114"/>
      <c r="K123" s="1114"/>
      <c r="L123" s="1114"/>
      <c r="M123" s="1066"/>
      <c r="N123" s="1113"/>
      <c r="O123" s="1181"/>
      <c r="P123" s="1181"/>
      <c r="Q123" s="1181"/>
      <c r="R123" s="1181"/>
      <c r="S123" s="1066"/>
      <c r="T123" s="1066"/>
      <c r="U123" s="1066"/>
      <c r="V123" s="1066"/>
      <c r="W123" s="1066"/>
      <c r="X123" s="1066"/>
      <c r="Y123" s="1224"/>
      <c r="Z123" s="1069"/>
      <c r="AA123" s="1072"/>
      <c r="AB123" s="1069"/>
      <c r="AC123" s="1069"/>
      <c r="AD123" s="1069"/>
    </row>
    <row customHeight="1" ht="9">
      <c r="A124" s="1068"/>
      <c r="B124" s="1068"/>
      <c r="C124" s="1066"/>
      <c r="D124" s="1066"/>
      <c r="E124" s="1066"/>
      <c r="F124" s="1066"/>
      <c r="G124" s="1066"/>
      <c r="H124" s="1114"/>
      <c r="I124" s="1114"/>
      <c r="J124" s="1114"/>
      <c r="K124" s="1114"/>
      <c r="L124" s="1114"/>
      <c r="M124" s="1066"/>
      <c r="N124" s="1113"/>
      <c r="O124" s="1181"/>
      <c r="P124" s="1181"/>
      <c r="Q124" s="1181"/>
      <c r="R124" s="1181"/>
      <c r="S124" s="1066"/>
      <c r="T124" s="1066"/>
      <c r="U124" s="1066"/>
      <c r="V124" s="1066"/>
      <c r="W124" s="1066"/>
      <c r="X124" s="1066"/>
      <c r="Y124" s="1224"/>
      <c r="Z124" s="1069"/>
      <c r="AA124" s="1072"/>
      <c r="AB124" s="1069"/>
      <c r="AC124" s="1069"/>
      <c r="AD124" s="1069"/>
    </row>
    <row customHeight="1" ht="9">
      <c r="A125" s="1068"/>
      <c r="B125" s="1068"/>
      <c r="C125" s="1066"/>
      <c r="D125" s="1066"/>
      <c r="E125" s="1066"/>
      <c r="F125" s="1066"/>
      <c r="G125" s="1066"/>
      <c r="H125" s="1114"/>
      <c r="I125" s="1114"/>
      <c r="J125" s="1114"/>
      <c r="K125" s="1114"/>
      <c r="L125" s="1114"/>
      <c r="M125" s="1066"/>
      <c r="N125" s="1113"/>
      <c r="O125" s="1181"/>
      <c r="P125" s="1181"/>
      <c r="Q125" s="1181"/>
      <c r="R125" s="1181"/>
      <c r="S125" s="1066"/>
      <c r="T125" s="1066"/>
      <c r="U125" s="1066"/>
      <c r="V125" s="1066"/>
      <c r="W125" s="1066"/>
      <c r="X125" s="1066"/>
      <c r="Y125" s="1224"/>
      <c r="Z125" s="1069"/>
      <c r="AA125" s="1072"/>
      <c r="AB125" s="1069"/>
      <c r="AC125" s="1069"/>
      <c r="AD125" s="1069"/>
    </row>
    <row customHeight="1" ht="9">
      <c r="A126" s="1068"/>
      <c r="B126" s="1068"/>
      <c r="C126" s="1066"/>
      <c r="D126" s="1066"/>
      <c r="E126" s="1066"/>
      <c r="F126" s="1066"/>
      <c r="G126" s="1066"/>
      <c r="H126" s="1114"/>
      <c r="I126" s="1114"/>
      <c r="J126" s="1114"/>
      <c r="K126" s="1114"/>
      <c r="L126" s="1114"/>
      <c r="M126" s="1066"/>
      <c r="N126" s="1113"/>
      <c r="O126" s="1181"/>
      <c r="P126" s="1181"/>
      <c r="Q126" s="1181"/>
      <c r="R126" s="1181"/>
      <c r="S126" s="1066"/>
      <c r="T126" s="1066"/>
      <c r="U126" s="1066"/>
      <c r="V126" s="1066"/>
      <c r="W126" s="1066"/>
      <c r="X126" s="1066"/>
      <c r="Y126" s="1224"/>
      <c r="Z126" s="1069"/>
      <c r="AA126" s="1072"/>
      <c r="AB126" s="1069"/>
      <c r="AC126" s="1069"/>
      <c r="AD126" s="1069"/>
    </row>
    <row customHeight="1" ht="9">
      <c r="A127" s="1068"/>
      <c r="B127" s="1068"/>
      <c r="C127" s="1066"/>
      <c r="D127" s="1066"/>
      <c r="E127" s="1066"/>
      <c r="F127" s="1066"/>
      <c r="G127" s="1066"/>
      <c r="H127" s="1114"/>
      <c r="I127" s="1114"/>
      <c r="J127" s="1114"/>
      <c r="K127" s="1114"/>
      <c r="L127" s="1114"/>
      <c r="M127" s="1066"/>
      <c r="N127" s="1113"/>
      <c r="O127" s="1181"/>
      <c r="P127" s="1181"/>
      <c r="Q127" s="1181"/>
      <c r="R127" s="1181"/>
      <c r="S127" s="1066"/>
      <c r="T127" s="1066"/>
      <c r="U127" s="1066"/>
      <c r="V127" s="1066"/>
      <c r="W127" s="1066"/>
      <c r="X127" s="1066"/>
      <c r="Y127" s="1224"/>
      <c r="Z127" s="1069"/>
      <c r="AA127" s="1072"/>
      <c r="AB127" s="1069"/>
      <c r="AC127" s="1069"/>
      <c r="AD127" s="1069"/>
    </row>
    <row customHeight="1" ht="9">
      <c r="A128" s="1068"/>
      <c r="B128" s="1068"/>
      <c r="C128" s="1066"/>
      <c r="D128" s="1066"/>
      <c r="E128" s="1066"/>
      <c r="F128" s="1066"/>
      <c r="G128" s="1066"/>
      <c r="H128" s="1114"/>
      <c r="I128" s="1114"/>
      <c r="J128" s="1114"/>
      <c r="K128" s="1114"/>
      <c r="L128" s="1114"/>
      <c r="M128" s="1066"/>
      <c r="N128" s="1113"/>
      <c r="O128" s="1181"/>
      <c r="P128" s="1181"/>
      <c r="Q128" s="1181"/>
      <c r="R128" s="1181"/>
      <c r="S128" s="1066"/>
      <c r="T128" s="1066"/>
      <c r="U128" s="1066"/>
      <c r="V128" s="1066"/>
      <c r="W128" s="1066"/>
      <c r="X128" s="1066"/>
      <c r="Y128" s="1224"/>
      <c r="Z128" s="1069"/>
      <c r="AA128" s="1072"/>
      <c r="AB128" s="1069"/>
      <c r="AC128" s="1069"/>
      <c r="AD128" s="1069"/>
    </row>
    <row customHeight="1" ht="9">
      <c r="A129" s="1068"/>
      <c r="B129" s="1068"/>
      <c r="C129" s="1066"/>
      <c r="D129" s="1066"/>
      <c r="E129" s="1066"/>
      <c r="F129" s="1066"/>
      <c r="G129" s="1066"/>
      <c r="H129" s="1114"/>
      <c r="I129" s="1114"/>
      <c r="J129" s="1114"/>
      <c r="K129" s="1114"/>
      <c r="L129" s="1114"/>
      <c r="M129" s="1066"/>
      <c r="N129" s="1113"/>
      <c r="O129" s="1181"/>
      <c r="P129" s="1181"/>
      <c r="Q129" s="1181"/>
      <c r="R129" s="1181"/>
      <c r="S129" s="1066"/>
      <c r="T129" s="1066"/>
      <c r="U129" s="1066"/>
      <c r="V129" s="1066"/>
      <c r="W129" s="1066"/>
      <c r="X129" s="1066"/>
      <c r="Y129" s="1224"/>
      <c r="Z129" s="1069"/>
      <c r="AA129" s="1072"/>
      <c r="AB129" s="1069"/>
      <c r="AC129" s="1069"/>
      <c r="AD129" s="1069"/>
    </row>
    <row customHeight="1" ht="9">
      <c r="A130" s="1068"/>
      <c r="B130" s="1068"/>
      <c r="C130" s="1066"/>
      <c r="D130" s="1066"/>
      <c r="E130" s="1066"/>
      <c r="F130" s="1066"/>
      <c r="G130" s="1066"/>
      <c r="H130" s="1114"/>
      <c r="I130" s="1114"/>
      <c r="J130" s="1114"/>
      <c r="K130" s="1114"/>
      <c r="L130" s="1114"/>
      <c r="M130" s="1066"/>
      <c r="N130" s="1113"/>
      <c r="O130" s="1183"/>
      <c r="P130" s="1183"/>
      <c r="Q130" s="1183"/>
      <c r="R130" s="1183"/>
      <c r="S130" s="1066"/>
      <c r="T130" s="1066"/>
      <c r="U130" s="1066"/>
      <c r="V130" s="1066"/>
      <c r="W130" s="1066"/>
      <c r="X130" s="1066"/>
      <c r="Y130" s="1224"/>
      <c r="Z130" s="1069"/>
      <c r="AA130" s="1072"/>
      <c r="AB130" s="1069"/>
      <c r="AC130" s="1069"/>
      <c r="AD130" s="1069"/>
    </row>
    <row customHeight="1" ht="9">
      <c r="A131" s="1068"/>
      <c r="B131" s="1068"/>
      <c r="C131" s="1066"/>
      <c r="D131" s="1066"/>
      <c r="E131" s="1066"/>
      <c r="F131" s="1066"/>
      <c r="G131" s="1066"/>
      <c r="H131" s="1114"/>
      <c r="I131" s="1114"/>
      <c r="J131" s="1114"/>
      <c r="K131" s="1114"/>
      <c r="L131" s="1114"/>
      <c r="M131" s="1066"/>
      <c r="N131" s="1113"/>
      <c r="O131" s="1184"/>
      <c r="P131" s="1184"/>
      <c r="Q131" s="1184"/>
      <c r="R131" s="1184"/>
      <c r="S131" s="1066"/>
      <c r="T131" s="1066"/>
      <c r="U131" s="1066"/>
      <c r="V131" s="1066"/>
      <c r="W131" s="1066"/>
      <c r="X131" s="1066"/>
      <c r="Y131" s="1224"/>
      <c r="Z131" s="1069"/>
      <c r="AA131" s="1072"/>
      <c r="AB131" s="1069"/>
      <c r="AC131" s="1069"/>
      <c r="AD131" s="1069"/>
    </row>
    <row customHeight="1" ht="9">
      <c r="A132" s="1068"/>
      <c r="B132" s="1068"/>
      <c r="C132" s="1066"/>
      <c r="D132" s="1066"/>
      <c r="E132" s="1066"/>
      <c r="F132" s="1066"/>
      <c r="G132" s="1066"/>
      <c r="H132" s="1114"/>
      <c r="I132" s="1114"/>
      <c r="J132" s="1114"/>
      <c r="K132" s="1114"/>
      <c r="L132" s="1114"/>
      <c r="M132" s="1066"/>
      <c r="N132" s="1113"/>
      <c r="O132" s="1183"/>
      <c r="P132" s="1183"/>
      <c r="Q132" s="1183"/>
      <c r="R132" s="1183"/>
      <c r="S132" s="1066"/>
      <c r="T132" s="1066"/>
      <c r="U132" s="1066"/>
      <c r="V132" s="1066"/>
      <c r="W132" s="1066"/>
      <c r="X132" s="1066"/>
      <c r="Y132" s="1224"/>
      <c r="Z132" s="1069"/>
      <c r="AA132" s="1072"/>
      <c r="AB132" s="1069"/>
      <c r="AC132" s="1069"/>
      <c r="AD132" s="1069"/>
    </row>
    <row customHeight="1" ht="9">
      <c r="A133" s="1068"/>
      <c r="B133" s="1068"/>
      <c r="C133" s="1066"/>
      <c r="D133" s="1066"/>
      <c r="E133" s="1066"/>
      <c r="F133" s="1066"/>
      <c r="G133" s="1066"/>
      <c r="H133" s="1114"/>
      <c r="I133" s="1114"/>
      <c r="J133" s="1114"/>
      <c r="K133" s="1114"/>
      <c r="L133" s="1114"/>
      <c r="M133" s="1066"/>
      <c r="N133" s="1113"/>
      <c r="O133" s="1184"/>
      <c r="P133" s="1184"/>
      <c r="Q133" s="1184"/>
      <c r="R133" s="1184"/>
      <c r="S133" s="1066"/>
      <c r="T133" s="1066"/>
      <c r="U133" s="1066"/>
      <c r="V133" s="1066"/>
      <c r="W133" s="1066"/>
      <c r="X133" s="1066"/>
      <c r="Y133" s="1224"/>
      <c r="Z133" s="1069"/>
      <c r="AA133" s="1072"/>
      <c r="AB133" s="1069"/>
      <c r="AC133" s="1069"/>
      <c r="AD133" s="1069"/>
    </row>
    <row customHeight="1" ht="9">
      <c r="A134" s="1068"/>
      <c r="B134" s="1068"/>
      <c r="C134" s="1066"/>
      <c r="D134" s="1066"/>
      <c r="E134" s="1066"/>
      <c r="F134" s="1066"/>
      <c r="G134" s="1066"/>
      <c r="H134" s="1114"/>
      <c r="I134" s="1114"/>
      <c r="J134" s="1114"/>
      <c r="K134" s="1114"/>
      <c r="L134" s="1114"/>
      <c r="M134" s="1066"/>
      <c r="N134" s="1113"/>
      <c r="O134" s="1181"/>
      <c r="P134" s="1181"/>
      <c r="Q134" s="1181"/>
      <c r="R134" s="1181"/>
      <c r="S134" s="1066"/>
      <c r="T134" s="1066"/>
      <c r="U134" s="1066"/>
      <c r="V134" s="1066"/>
      <c r="W134" s="1066"/>
      <c r="X134" s="1066"/>
      <c r="Y134" s="1224"/>
      <c r="Z134" s="1069"/>
      <c r="AA134" s="1072"/>
      <c r="AB134" s="1069"/>
      <c r="AC134" s="1069"/>
      <c r="AD134" s="1069"/>
    </row>
    <row customHeight="1" ht="9">
      <c r="A135" s="1068"/>
      <c r="B135" s="1068"/>
      <c r="C135" s="1066"/>
      <c r="D135" s="1066"/>
      <c r="E135" s="1066"/>
      <c r="F135" s="1066"/>
      <c r="G135" s="1066"/>
      <c r="H135" s="1114"/>
      <c r="I135" s="1114"/>
      <c r="J135" s="1114"/>
      <c r="K135" s="1114"/>
      <c r="L135" s="1114"/>
      <c r="M135" s="1066"/>
      <c r="N135" s="1113"/>
      <c r="O135" s="1181"/>
      <c r="P135" s="1181"/>
      <c r="Q135" s="1181"/>
      <c r="R135" s="1181"/>
      <c r="S135" s="1066"/>
      <c r="T135" s="1066"/>
      <c r="U135" s="1066"/>
      <c r="V135" s="1066"/>
      <c r="W135" s="1066"/>
      <c r="X135" s="1066"/>
      <c r="Y135" s="1224"/>
      <c r="Z135" s="1069"/>
      <c r="AA135" s="1072"/>
      <c r="AB135" s="1069"/>
      <c r="AC135" s="1069"/>
      <c r="AD135" s="1069"/>
    </row>
    <row customHeight="1" ht="9">
      <c r="A136" s="1068"/>
      <c r="B136" s="1068"/>
      <c r="C136" s="1066"/>
      <c r="D136" s="1066"/>
      <c r="E136" s="1066"/>
      <c r="F136" s="1066"/>
      <c r="G136" s="1066"/>
      <c r="H136" s="1114"/>
      <c r="I136" s="1114"/>
      <c r="J136" s="1114"/>
      <c r="K136" s="1114"/>
      <c r="L136" s="1114"/>
      <c r="M136" s="1066"/>
      <c r="N136" s="1113"/>
      <c r="O136" s="1181"/>
      <c r="P136" s="1181"/>
      <c r="Q136" s="1181"/>
      <c r="R136" s="1181"/>
      <c r="S136" s="1066"/>
      <c r="T136" s="1066"/>
      <c r="U136" s="1066"/>
      <c r="V136" s="1066"/>
      <c r="W136" s="1066"/>
      <c r="X136" s="1066"/>
      <c r="Y136" s="1224"/>
      <c r="Z136" s="1069"/>
      <c r="AA136" s="1072"/>
      <c r="AB136" s="1069"/>
      <c r="AC136" s="1069"/>
      <c r="AD136" s="1069"/>
    </row>
    <row customHeight="1" ht="9">
      <c r="A137" s="1068"/>
      <c r="B137" s="1068"/>
      <c r="C137" s="1066"/>
      <c r="D137" s="1066"/>
      <c r="E137" s="1066"/>
      <c r="F137" s="1066"/>
      <c r="G137" s="1066"/>
      <c r="H137" s="1114"/>
      <c r="I137" s="1114"/>
      <c r="J137" s="1114"/>
      <c r="K137" s="1114"/>
      <c r="L137" s="1114"/>
      <c r="M137" s="1066"/>
      <c r="N137" s="1113"/>
      <c r="O137" s="1185"/>
      <c r="P137" s="1185"/>
      <c r="Q137" s="1185"/>
      <c r="R137" s="1185"/>
      <c r="S137" s="1066"/>
      <c r="T137" s="1066"/>
      <c r="U137" s="1066"/>
      <c r="V137" s="1066"/>
      <c r="W137" s="1066"/>
      <c r="X137" s="1066"/>
      <c r="Y137" s="1224"/>
      <c r="Z137" s="1069"/>
      <c r="AA137" s="1072"/>
      <c r="AB137" s="1069"/>
      <c r="AC137" s="1069"/>
      <c r="AD137" s="1069"/>
    </row>
    <row customHeight="1" ht="9">
      <c r="A138" s="1068"/>
      <c r="B138" s="1068"/>
      <c r="C138" s="1066"/>
      <c r="D138" s="1066"/>
      <c r="E138" s="1066"/>
      <c r="F138" s="1066"/>
      <c r="G138" s="1066"/>
      <c r="H138" s="1114"/>
      <c r="I138" s="1114"/>
      <c r="J138" s="1114"/>
      <c r="K138" s="1114"/>
      <c r="L138" s="1114"/>
      <c r="M138" s="1066"/>
      <c r="N138" s="1113"/>
      <c r="O138" s="1182"/>
      <c r="P138" s="1182"/>
      <c r="Q138" s="1182"/>
      <c r="R138" s="1182"/>
      <c r="S138" s="1066"/>
      <c r="T138" s="1066"/>
      <c r="U138" s="1066"/>
      <c r="V138" s="1066"/>
      <c r="W138" s="1066"/>
      <c r="X138" s="1066"/>
      <c r="Y138" s="1224"/>
      <c r="Z138" s="1069"/>
      <c r="AA138" s="1072"/>
      <c r="AB138" s="1069"/>
      <c r="AC138" s="1069"/>
      <c r="AD138" s="1069"/>
    </row>
    <row customHeight="1" ht="9">
      <c r="A139" s="1068"/>
      <c r="B139" s="1068"/>
      <c r="C139" s="1066"/>
      <c r="D139" s="1066"/>
      <c r="E139" s="1066"/>
      <c r="F139" s="1066"/>
      <c r="G139" s="1066"/>
      <c r="H139" s="1114"/>
      <c r="I139" s="1114"/>
      <c r="J139" s="1114"/>
      <c r="K139" s="1114"/>
      <c r="L139" s="1114"/>
      <c r="M139" s="1066"/>
      <c r="N139" s="1113"/>
      <c r="O139" s="1066"/>
      <c r="P139" s="1066"/>
      <c r="Q139" s="1066"/>
      <c r="R139" s="1066"/>
      <c r="S139" s="1066"/>
      <c r="T139" s="1066"/>
      <c r="U139" s="1066"/>
      <c r="V139" s="1066"/>
      <c r="W139" s="1066"/>
      <c r="X139" s="1066"/>
      <c r="Y139" s="1224"/>
      <c r="Z139" s="1069"/>
      <c r="AA139" s="1072"/>
      <c r="AB139" s="1069"/>
      <c r="AC139" s="1069"/>
      <c r="AD139" s="1069"/>
    </row>
    <row customHeight="1" ht="9">
      <c r="A140" s="1068"/>
      <c r="B140" s="1068"/>
      <c r="C140" s="1066"/>
      <c r="D140" s="1066"/>
      <c r="E140" s="1066"/>
      <c r="F140" s="1066"/>
      <c r="G140" s="1066"/>
      <c r="H140" s="1114"/>
      <c r="I140" s="1114"/>
      <c r="J140" s="1114"/>
      <c r="K140" s="1114"/>
      <c r="L140" s="1114"/>
      <c r="M140" s="1066"/>
      <c r="N140" s="1113"/>
      <c r="O140" s="1066"/>
      <c r="P140" s="1066"/>
      <c r="Q140" s="1066"/>
      <c r="R140" s="1066"/>
      <c r="S140" s="1066"/>
      <c r="T140" s="1066"/>
      <c r="U140" s="1066"/>
      <c r="V140" s="1066"/>
      <c r="W140" s="1066"/>
      <c r="X140" s="1066"/>
      <c r="Y140" s="1224"/>
      <c r="Z140" s="1069"/>
      <c r="AA140" s="1072"/>
      <c r="AB140" s="1069"/>
      <c r="AC140" s="1069"/>
      <c r="AD140" s="1069"/>
    </row>
    <row customHeight="1" ht="9">
      <c r="A141" s="1068"/>
      <c r="B141" s="1068"/>
      <c r="C141" s="1066"/>
      <c r="D141" s="1066"/>
      <c r="E141" s="1066"/>
      <c r="F141" s="1066"/>
      <c r="G141" s="1066"/>
      <c r="H141" s="1114"/>
      <c r="I141" s="1114"/>
      <c r="J141" s="1114"/>
      <c r="K141" s="1114"/>
      <c r="L141" s="1114"/>
      <c r="M141" s="1066"/>
      <c r="N141" s="1113"/>
      <c r="O141" s="1066"/>
      <c r="P141" s="1066"/>
      <c r="Q141" s="1066"/>
      <c r="R141" s="1066"/>
      <c r="S141" s="1066"/>
      <c r="T141" s="1066"/>
      <c r="U141" s="1066"/>
      <c r="V141" s="1066"/>
      <c r="W141" s="1066"/>
      <c r="X141" s="1066"/>
      <c r="Y141" s="1224"/>
      <c r="Z141" s="1069"/>
      <c r="AA141" s="1072"/>
      <c r="AB141" s="1069"/>
      <c r="AC141" s="1069"/>
      <c r="AD141" s="1069"/>
    </row>
    <row customHeight="1" ht="9">
      <c r="A142" s="1068"/>
      <c r="B142" s="1068"/>
      <c r="C142" s="1066"/>
      <c r="D142" s="1066"/>
      <c r="E142" s="1066"/>
      <c r="F142" s="1066"/>
      <c r="G142" s="1066"/>
      <c r="H142" s="1114"/>
      <c r="I142" s="1114"/>
      <c r="J142" s="1114"/>
      <c r="K142" s="1114"/>
      <c r="L142" s="1114"/>
      <c r="M142" s="1066"/>
      <c r="N142" s="1113"/>
      <c r="O142" s="1066"/>
      <c r="P142" s="1066"/>
      <c r="Q142" s="1066"/>
      <c r="R142" s="1066"/>
      <c r="S142" s="1066"/>
      <c r="T142" s="1066"/>
      <c r="U142" s="1066"/>
      <c r="V142" s="1066"/>
      <c r="W142" s="1066"/>
      <c r="X142" s="1066"/>
      <c r="Y142" s="1224"/>
      <c r="Z142" s="1069"/>
      <c r="AA142" s="1072"/>
      <c r="AB142" s="1069"/>
      <c r="AC142" s="1069"/>
      <c r="AD142" s="1069"/>
    </row>
    <row customHeight="1" ht="9">
      <c r="A143" s="1068"/>
      <c r="B143" s="1068"/>
      <c r="C143" s="1066"/>
      <c r="D143" s="1066"/>
      <c r="E143" s="1066"/>
      <c r="F143" s="1066"/>
      <c r="G143" s="1066"/>
      <c r="H143" s="1114"/>
      <c r="I143" s="1114"/>
      <c r="J143" s="1114"/>
      <c r="K143" s="1114"/>
      <c r="L143" s="1114"/>
      <c r="M143" s="1066"/>
      <c r="N143" s="1113"/>
      <c r="O143" s="1066"/>
      <c r="P143" s="1066"/>
      <c r="Q143" s="1066"/>
      <c r="R143" s="1066"/>
      <c r="S143" s="1066"/>
      <c r="T143" s="1066"/>
      <c r="U143" s="1066"/>
      <c r="V143" s="1066"/>
      <c r="W143" s="1066"/>
      <c r="X143" s="1066"/>
      <c r="Y143" s="1224"/>
      <c r="Z143" s="1069"/>
      <c r="AA143" s="1072"/>
      <c r="AB143" s="1069"/>
      <c r="AC143" s="1069"/>
      <c r="AD143" s="1069"/>
    </row>
    <row customHeight="1" ht="9">
      <c r="A144" s="1068"/>
      <c r="B144" s="1068"/>
      <c r="C144" s="1066"/>
      <c r="D144" s="1066"/>
      <c r="E144" s="1066"/>
      <c r="F144" s="1066"/>
      <c r="G144" s="1066"/>
      <c r="H144" s="1114"/>
      <c r="I144" s="1114"/>
      <c r="J144" s="1114"/>
      <c r="K144" s="1114"/>
      <c r="L144" s="1114"/>
      <c r="M144" s="1066"/>
      <c r="N144" s="1113"/>
      <c r="O144" s="1066"/>
      <c r="P144" s="1066"/>
      <c r="Q144" s="1066"/>
      <c r="R144" s="1066"/>
      <c r="S144" s="1066"/>
      <c r="T144" s="1066"/>
      <c r="U144" s="1066"/>
      <c r="V144" s="1066"/>
      <c r="W144" s="1066"/>
      <c r="X144" s="1066"/>
      <c r="Y144" s="1224"/>
      <c r="Z144" s="1069"/>
      <c r="AA144" s="1072"/>
      <c r="AB144" s="1069"/>
      <c r="AC144" s="1069"/>
      <c r="AD144" s="1069"/>
    </row>
    <row customHeight="1" ht="9">
      <c r="A145" s="1068"/>
      <c r="B145" s="1068"/>
      <c r="C145" s="1066"/>
      <c r="D145" s="1066"/>
      <c r="E145" s="1066"/>
      <c r="F145" s="1066"/>
      <c r="G145" s="1066"/>
      <c r="H145" s="1114"/>
      <c r="I145" s="1114"/>
      <c r="J145" s="1114"/>
      <c r="K145" s="1114"/>
      <c r="L145" s="1114"/>
      <c r="M145" s="1066"/>
      <c r="N145" s="1113"/>
      <c r="O145" s="1066"/>
      <c r="P145" s="1066"/>
      <c r="Q145" s="1066"/>
      <c r="R145" s="1066"/>
      <c r="S145" s="1066"/>
      <c r="T145" s="1066"/>
      <c r="U145" s="1066"/>
      <c r="V145" s="1066"/>
      <c r="W145" s="1066"/>
      <c r="X145" s="1066"/>
      <c r="Y145" s="1224"/>
      <c r="Z145" s="1069"/>
      <c r="AA145" s="1072"/>
      <c r="AB145" s="1069"/>
      <c r="AC145" s="1069"/>
      <c r="AD145" s="1069"/>
    </row>
    <row customHeight="1" ht="9">
      <c r="A146" s="1068"/>
      <c r="B146" s="1068"/>
      <c r="C146" s="1066"/>
      <c r="D146" s="1066"/>
      <c r="E146" s="1066"/>
      <c r="F146" s="1066"/>
      <c r="G146" s="1066"/>
      <c r="H146" s="1114"/>
      <c r="I146" s="1114"/>
      <c r="J146" s="1114"/>
      <c r="K146" s="1114"/>
      <c r="L146" s="1114"/>
      <c r="M146" s="1066"/>
      <c r="N146" s="1113"/>
      <c r="O146" s="1066"/>
      <c r="P146" s="1066"/>
      <c r="Q146" s="1066"/>
      <c r="R146" s="1066"/>
      <c r="S146" s="1066"/>
      <c r="T146" s="1066"/>
      <c r="U146" s="1066"/>
      <c r="V146" s="1066"/>
      <c r="W146" s="1066"/>
      <c r="X146" s="1066"/>
      <c r="Y146" s="1224"/>
      <c r="Z146" s="1069"/>
      <c r="AA146" s="1072"/>
      <c r="AB146" s="1069"/>
      <c r="AC146" s="1069"/>
      <c r="AD146" s="1069"/>
    </row>
    <row customHeight="1" ht="9">
      <c r="A147" s="1068"/>
      <c r="B147" s="1068"/>
      <c r="C147" s="1068"/>
      <c r="D147" s="1068"/>
      <c r="E147" s="1068"/>
      <c r="F147" s="1068"/>
      <c r="G147" s="1068"/>
      <c r="H147" s="1068"/>
      <c r="I147" s="1068"/>
      <c r="J147" s="1068"/>
      <c r="K147" s="1068"/>
      <c r="L147" s="1068"/>
      <c r="M147" s="1068"/>
      <c r="N147" s="1068"/>
      <c r="O147" s="1068"/>
      <c r="P147" s="1068"/>
      <c r="Q147" s="1068"/>
      <c r="R147" s="1068"/>
      <c r="S147" s="1068"/>
      <c r="T147" s="1068"/>
      <c r="U147" s="1068"/>
      <c r="V147" s="1068"/>
      <c r="W147" s="1068"/>
      <c r="X147" s="1068"/>
      <c r="Y147" s="1068"/>
      <c r="Z147" s="1068"/>
      <c r="AA147" s="1068"/>
      <c r="AB147" s="1068"/>
      <c r="AC147" s="1068"/>
      <c r="AD147" s="1068"/>
    </row>
    <row customHeight="1" ht="90">
      <c r="A148" s="1068" t="s">
        <v>1577</v>
      </c>
      <c r="B148" s="1068"/>
      <c r="C148" s="1066" t="s">
        <v>2149</v>
      </c>
      <c r="D148" s="1066" t="s">
        <v>1480</v>
      </c>
      <c r="E148" s="1066" t="s">
        <v>1579</v>
      </c>
      <c r="F148" s="1066" t="s">
        <v>2150</v>
      </c>
      <c r="G148" s="1066"/>
      <c r="H148" s="1066"/>
      <c r="I148" s="1187"/>
      <c r="J148" s="1187"/>
      <c r="K148" s="1187"/>
      <c r="L148" s="1187"/>
      <c r="M148" s="11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71"/>
      <c r="O148" s="1066"/>
      <c r="P148" s="1067"/>
      <c r="Q148" s="1067"/>
      <c r="R148" s="1067"/>
      <c r="S148" s="1066"/>
      <c r="T148" s="1066" t="s">
        <v>2151</v>
      </c>
      <c r="U148" s="106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67"/>
      <c r="W148" s="1067"/>
      <c r="X148" s="1066" t="s">
        <v>2152</v>
      </c>
      <c r="Y148" s="1224"/>
      <c r="Z148" s="1069"/>
      <c r="AA148" s="1072"/>
      <c r="AB148" s="1069"/>
      <c r="AC148" s="1069"/>
      <c r="AD148" s="1069"/>
    </row>
    <row customHeight="1" ht="9">
      <c r="A149" s="1068"/>
      <c r="B149" s="1068"/>
      <c r="C149" s="1068"/>
      <c r="D149" s="1068"/>
      <c r="E149" s="1068"/>
      <c r="F149" s="1068"/>
      <c r="G149" s="1068"/>
      <c r="H149" s="1068"/>
      <c r="I149" s="1068"/>
      <c r="J149" s="1068"/>
      <c r="K149" s="1068"/>
      <c r="L149" s="1068"/>
      <c r="M149" s="1068"/>
      <c r="N149" s="1068"/>
      <c r="O149" s="1068"/>
      <c r="P149" s="1068"/>
      <c r="Q149" s="1068"/>
      <c r="R149" s="1068"/>
      <c r="S149" s="1068"/>
      <c r="T149" s="1068"/>
      <c r="U149" s="1068"/>
      <c r="V149" s="1068"/>
      <c r="W149" s="1068"/>
      <c r="X149" s="1068"/>
      <c r="Y149" s="1068"/>
      <c r="Z149" s="1068"/>
      <c r="AA149" s="1068"/>
      <c r="AB149" s="1068"/>
      <c r="AC149" s="1068"/>
      <c r="AD149" s="1068"/>
    </row>
    <row customHeight="1" ht="9">
      <c r="A150" s="1068" t="s">
        <v>1581</v>
      </c>
      <c r="B150" s="1068"/>
      <c r="C150" s="1066"/>
      <c r="D150" s="1066"/>
      <c r="E150" s="1066"/>
      <c r="F150" s="1066"/>
      <c r="G150" s="1066"/>
      <c r="H150" s="1066"/>
      <c r="I150" s="1066"/>
      <c r="J150" s="1066"/>
      <c r="K150" s="1066"/>
      <c r="L150" s="1066"/>
      <c r="M150" s="1066"/>
      <c r="N150" s="1066"/>
      <c r="O150" s="1066"/>
      <c r="P150" s="1066"/>
      <c r="Q150" s="1066"/>
      <c r="R150" s="1066"/>
      <c r="S150" s="1066"/>
      <c r="T150" s="1066"/>
      <c r="U150" s="1066"/>
      <c r="V150" s="1066"/>
      <c r="W150" s="1066"/>
      <c r="X150" s="1066"/>
      <c r="Y150" s="1224"/>
      <c r="Z150" s="1069"/>
      <c r="AA150" s="1072"/>
      <c r="AB150" s="1069"/>
      <c r="AC150" s="1069"/>
      <c r="AD150" s="1069"/>
    </row>
    <row customHeight="1" ht="9">
      <c r="A151" s="1068"/>
      <c r="B151" s="1068"/>
      <c r="C151" s="1068"/>
      <c r="D151" s="1068"/>
      <c r="E151" s="1068"/>
      <c r="F151" s="1068"/>
      <c r="G151" s="1068"/>
      <c r="H151" s="1068"/>
      <c r="I151" s="1068"/>
      <c r="J151" s="1068"/>
      <c r="K151" s="1068"/>
      <c r="L151" s="1068"/>
      <c r="M151" s="1068"/>
      <c r="N151" s="1068"/>
      <c r="O151" s="1068"/>
      <c r="P151" s="1068"/>
      <c r="Q151" s="1068"/>
      <c r="R151" s="1068"/>
      <c r="S151" s="1068"/>
      <c r="T151" s="1068"/>
      <c r="U151" s="1068"/>
      <c r="V151" s="1068"/>
      <c r="W151" s="1068"/>
      <c r="X151" s="1068"/>
      <c r="Y151" s="1068"/>
      <c r="Z151" s="1068"/>
      <c r="AA151" s="1068"/>
      <c r="AB151" s="1068"/>
      <c r="AC151" s="1068"/>
      <c r="AD151" s="1068"/>
    </row>
    <row customHeight="1" ht="9">
      <c r="A152" s="1068" t="s">
        <v>1584</v>
      </c>
      <c r="B152" s="1068"/>
      <c r="C152" s="1066"/>
      <c r="D152" s="1066"/>
      <c r="E152" s="1066"/>
      <c r="F152" s="1066"/>
      <c r="G152" s="1066"/>
      <c r="H152" s="1066"/>
      <c r="I152" s="1066"/>
      <c r="J152" s="1066"/>
      <c r="K152" s="1066"/>
      <c r="L152" s="1066"/>
      <c r="M152" s="1066"/>
      <c r="N152" s="1066"/>
      <c r="O152" s="1066"/>
      <c r="P152" s="1066"/>
      <c r="Q152" s="1066"/>
      <c r="R152" s="1066"/>
      <c r="S152" s="1066"/>
      <c r="T152" s="1066"/>
      <c r="U152" s="1066"/>
      <c r="V152" s="1066"/>
      <c r="W152" s="1066"/>
      <c r="X152" s="1066"/>
      <c r="Y152" s="1224"/>
      <c r="Z152" s="1069"/>
      <c r="AA152" s="1072"/>
      <c r="AB152" s="1069"/>
      <c r="AC152" s="1069"/>
      <c r="AD152" s="1069"/>
    </row>
    <row customHeight="1" ht="9">
      <c r="A153" s="1068"/>
      <c r="B153" s="1068"/>
      <c r="C153" s="1068"/>
      <c r="D153" s="1068"/>
      <c r="E153" s="1068"/>
      <c r="F153" s="1068"/>
      <c r="G153" s="1068"/>
      <c r="H153" s="1068"/>
      <c r="I153" s="1068"/>
      <c r="J153" s="1068"/>
      <c r="K153" s="1068"/>
      <c r="L153" s="1068"/>
      <c r="M153" s="1068"/>
      <c r="N153" s="1068"/>
      <c r="O153" s="1068"/>
      <c r="P153" s="1068"/>
      <c r="Q153" s="1068"/>
      <c r="R153" s="1068"/>
      <c r="S153" s="1068"/>
      <c r="T153" s="1068"/>
      <c r="U153" s="1068"/>
      <c r="V153" s="1068"/>
      <c r="W153" s="1068"/>
      <c r="X153" s="1068"/>
      <c r="Y153" s="1068"/>
      <c r="Z153" s="1068"/>
      <c r="AA153" s="1068"/>
      <c r="AB153" s="1068"/>
      <c r="AC153" s="1068"/>
      <c r="AD153" s="1068"/>
    </row>
    <row customHeight="1" ht="9">
      <c r="A154" s="1068" t="s">
        <v>1589</v>
      </c>
      <c r="B154" s="1068"/>
      <c r="C154" s="1066"/>
      <c r="D154" s="1066"/>
      <c r="E154" s="1066"/>
      <c r="F154" s="1066"/>
      <c r="G154" s="1066"/>
      <c r="H154" s="1066"/>
      <c r="I154" s="1066"/>
      <c r="J154" s="1066"/>
      <c r="K154" s="1066"/>
      <c r="L154" s="1066"/>
      <c r="M154" s="1066"/>
      <c r="N154" s="1066"/>
      <c r="O154" s="1066"/>
      <c r="P154" s="1066"/>
      <c r="Q154" s="1066"/>
      <c r="R154" s="1066"/>
      <c r="S154" s="1066"/>
      <c r="T154" s="1066"/>
      <c r="U154" s="1066"/>
      <c r="V154" s="1066"/>
      <c r="W154" s="1066"/>
      <c r="X154" s="1066"/>
      <c r="Y154" s="1224"/>
      <c r="Z154" s="1069"/>
      <c r="AA154" s="1072"/>
      <c r="AB154" s="1069"/>
      <c r="AC154" s="1069"/>
      <c r="AD154" s="106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9295C-576D-D326-238A-DCB3F376956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3533" width="10.57421875" hidden="1"/>
    <col min="2" max="2" style="13533" width="11.00390625" hidden="1" customWidth="1"/>
    <col min="3" max="3" style="13533" width="10.57421875" hidden="1"/>
    <col min="4" max="4" style="13533" width="11.8515625" hidden="1" customWidth="1"/>
    <col min="5" max="5" style="13533" width="12.28125" hidden="1" customWidth="1"/>
    <col min="6" max="8" style="13615" width="12.28125" hidden="1" customWidth="1"/>
    <col min="9" max="9" style="17949" width="3.7109375" customWidth="1"/>
    <col min="10" max="11" style="13617" width="3.7109375" customWidth="1"/>
    <col min="12" max="12" style="13618" width="12.7109375" customWidth="1"/>
    <col min="13" max="13" style="13619" width="32.00390625" customWidth="1"/>
    <col min="14" max="14" style="13619" width="1.7109375" customWidth="1"/>
    <col min="15" max="18" style="13619" width="24.7109375" customWidth="1"/>
    <col min="19" max="19" style="13619" width="11.7109375" customWidth="1"/>
    <col min="20" max="20" style="13619" width="3.7109375" customWidth="1"/>
    <col min="21" max="21" style="13619" width="11.7109375" customWidth="1"/>
    <col min="22" max="22" style="13619" width="8.57421875" customWidth="1"/>
    <col min="23" max="23" style="13619" width="4.7109375" customWidth="1"/>
    <col min="24" max="24" style="13619" width="115.7109375" customWidth="1"/>
    <col min="25" max="26" style="13606" width="10.57421875"/>
    <col min="27" max="27" style="13606" width="11.140625" customWidth="1"/>
    <col min="28" max="29" style="13606" width="10.57421875"/>
  </cols>
  <sheetData>
    <row customHeight="1" ht="14.25" hidden="1">
      <c r="R1" s="550"/>
      <c r="S1" s="550"/>
    </row>
    <row customHeight="1" ht="14.25" hidden="1">
      <c r="V2" s="550"/>
    </row>
    <row customHeight="1" ht="14.25" hidden="1"/>
    <row customHeight="1" ht="14.25">
      <c r="J4" s="599"/>
      <c r="K4" s="599"/>
      <c r="L4" s="1503"/>
      <c r="M4" s="586"/>
      <c r="N4" s="586"/>
      <c r="O4" s="732"/>
      <c r="P4" s="732"/>
      <c r="Q4" s="732"/>
      <c r="R4" s="732"/>
      <c r="S4" s="732"/>
      <c r="T4" s="732"/>
      <c r="U4" s="732"/>
      <c r="V4" s="732"/>
    </row>
    <row customHeight="1" ht="64.5">
      <c r="J5" s="599"/>
      <c r="K5" s="599"/>
      <c r="L5" s="2727" t="s">
        <v>2153</v>
      </c>
      <c r="M5" s="2727"/>
      <c r="N5" s="2727"/>
      <c r="O5" s="2727"/>
      <c r="P5" s="2727"/>
      <c r="Q5" s="2727"/>
      <c r="R5" s="2727"/>
      <c r="S5" s="2727"/>
      <c r="T5" s="2727"/>
      <c r="U5" s="2727"/>
      <c r="V5" s="1470"/>
    </row>
    <row customHeight="1" ht="14.25">
      <c r="J6" s="599"/>
      <c r="K6" s="599"/>
      <c r="L6" s="2728" t="str">
        <f>IF(org=0,"Не определено",org)</f>
        <v>ООО "Новая Энергетика"</v>
      </c>
      <c r="M6" s="2728"/>
      <c r="N6" s="2728"/>
      <c r="O6" s="2728"/>
      <c r="P6" s="2728"/>
      <c r="Q6" s="2728"/>
      <c r="R6" s="2728"/>
      <c r="S6" s="2728"/>
      <c r="T6" s="2728"/>
      <c r="U6" s="2728"/>
      <c r="V6" s="1470"/>
    </row>
    <row customHeight="1" ht="14.25">
      <c r="J7" s="599"/>
      <c r="K7" s="599"/>
      <c r="L7" s="1503"/>
      <c r="M7" s="586"/>
      <c r="N7" s="586"/>
      <c r="O7" s="545"/>
      <c r="P7" s="545"/>
      <c r="Q7" s="545"/>
      <c r="R7" s="545"/>
      <c r="S7" s="545"/>
      <c r="T7" s="545"/>
      <c r="U7" s="545"/>
      <c r="V7" s="545"/>
      <c r="W7" s="732"/>
    </row>
    <row s="13547" customFormat="1" customHeight="1" ht="45">
      <c r="A8" s="1596"/>
      <c r="B8" s="1596"/>
      <c r="C8" s="1596"/>
      <c r="D8" s="1596"/>
      <c r="E8" s="1596"/>
      <c r="F8" s="1596"/>
      <c r="G8" s="1596"/>
      <c r="H8" s="1596"/>
      <c r="L8" s="1504"/>
      <c r="M8" s="518" t="s">
        <v>38</v>
      </c>
      <c r="N8" s="527"/>
      <c r="O8" s="2382" t="str">
        <f>IF(TITLE_NAME_OR_PR_CHANGE="",IF(TITLE_NAME_OR_PR="","",TITLE_NAME_OR_PR),TITLE_NAME_OR_PR_CHANGE)</f>
        <v>Агенство по тарифам Приморского края</v>
      </c>
      <c r="P8" s="2382"/>
      <c r="Q8" s="2382"/>
      <c r="R8" s="2382"/>
      <c r="S8" s="2382"/>
      <c r="T8" s="2382"/>
      <c r="U8" s="2382"/>
      <c r="V8" s="549"/>
      <c r="W8" s="549"/>
      <c r="X8" s="503"/>
      <c r="Y8" s="591"/>
      <c r="Z8" s="591"/>
      <c r="AA8" s="591"/>
      <c r="AB8" s="591"/>
      <c r="AC8" s="591"/>
    </row>
    <row s="13547" customFormat="1" customHeight="1" ht="22.5">
      <c r="A9" s="1596"/>
      <c r="B9" s="1596"/>
      <c r="C9" s="1596"/>
      <c r="D9" s="1596"/>
      <c r="E9" s="1596"/>
      <c r="F9" s="1596"/>
      <c r="G9" s="1596"/>
      <c r="H9" s="1596"/>
      <c r="L9" s="1504"/>
      <c r="M9" s="518" t="s">
        <v>422</v>
      </c>
      <c r="N9" s="527"/>
      <c r="O9" s="2382" t="str">
        <f>IF(TITLE_DATE_CHANGE_PERIOD="",IF(TITLE_DATE_PR="","",TITLE_DATE_PR),TITLE_DATE_CHANGE_PERIOD)</f>
        <v>45287.66966435185</v>
      </c>
      <c r="P9" s="2382"/>
      <c r="Q9" s="2382"/>
      <c r="R9" s="2382"/>
      <c r="S9" s="2382"/>
      <c r="T9" s="2382"/>
      <c r="U9" s="2382"/>
      <c r="V9" s="549"/>
      <c r="W9" s="549"/>
      <c r="X9" s="503"/>
      <c r="Y9" s="591"/>
      <c r="Z9" s="591"/>
      <c r="AA9" s="591"/>
      <c r="AB9" s="591"/>
      <c r="AC9" s="591"/>
    </row>
    <row s="13547" customFormat="1" customHeight="1" ht="22.5">
      <c r="A10" s="1596"/>
      <c r="B10" s="1596"/>
      <c r="C10" s="1596"/>
      <c r="D10" s="1596"/>
      <c r="E10" s="1596"/>
      <c r="F10" s="1596"/>
      <c r="G10" s="1596"/>
      <c r="H10" s="1596"/>
      <c r="L10" s="1477"/>
      <c r="M10" s="518" t="s">
        <v>423</v>
      </c>
      <c r="N10" s="527"/>
      <c r="O10" s="2382" t="str">
        <f>IF(TITLE_NUMBER_PR_CHANGE="",IF(TITLE_NUMBER_PR="","",TITLE_NUMBER_PR),TITLE_NUMBER_PR_CHANGE)</f>
        <v>72/1</v>
      </c>
      <c r="P10" s="2382"/>
      <c r="Q10" s="2382"/>
      <c r="R10" s="2382"/>
      <c r="S10" s="2382"/>
      <c r="T10" s="2382"/>
      <c r="U10" s="2382"/>
      <c r="V10" s="549"/>
      <c r="W10" s="549"/>
      <c r="X10" s="503"/>
      <c r="Y10" s="591"/>
      <c r="Z10" s="591"/>
      <c r="AA10" s="591"/>
      <c r="AB10" s="591"/>
      <c r="AC10" s="591"/>
    </row>
    <row s="13547" customFormat="1" customHeight="1" ht="22.5">
      <c r="A11" s="1596"/>
      <c r="B11" s="1596"/>
      <c r="C11" s="1596"/>
      <c r="D11" s="1596"/>
      <c r="E11" s="1596"/>
      <c r="F11" s="1596"/>
      <c r="G11" s="1596"/>
      <c r="H11" s="1596"/>
      <c r="L11" s="1477"/>
      <c r="M11" s="518" t="s">
        <v>40</v>
      </c>
      <c r="N11" s="527"/>
      <c r="O11" s="2382" t="str">
        <f>IF(TITLE_IST_PUB_CHANGE="",IF(TITLE_IST_PUB="","",TITLE_IST_PUB),TITLE_IST_PUB_CHANGE)</f>
        <v>http://pravo.gov.ru Номер опубликования: 2501202312270032 Дата опубликования: 27.12.2023</v>
      </c>
      <c r="P11" s="2382"/>
      <c r="Q11" s="2382"/>
      <c r="R11" s="2382"/>
      <c r="S11" s="2382"/>
      <c r="T11" s="2382"/>
      <c r="U11" s="2382"/>
      <c r="V11" s="549"/>
      <c r="W11" s="549"/>
      <c r="X11" s="503"/>
      <c r="Y11" s="591"/>
      <c r="Z11" s="591"/>
      <c r="AA11" s="591"/>
      <c r="AB11" s="591"/>
      <c r="AC11" s="591"/>
    </row>
    <row s="13547" customFormat="1" customHeight="1" ht="11.25" hidden="1">
      <c r="A12" s="1596"/>
      <c r="B12" s="1596"/>
      <c r="C12" s="1596"/>
      <c r="D12" s="1596"/>
      <c r="E12" s="1596"/>
      <c r="F12" s="1596"/>
      <c r="G12" s="1596"/>
      <c r="H12" s="1596"/>
      <c r="L12" s="2726"/>
      <c r="M12" s="2726"/>
      <c r="N12" s="1515"/>
      <c r="O12" s="549"/>
      <c r="P12" s="549"/>
      <c r="Q12" s="549"/>
      <c r="R12" s="549"/>
      <c r="S12" s="549"/>
      <c r="T12" s="549"/>
      <c r="U12" s="549"/>
      <c r="V12" s="501" t="s">
        <v>426</v>
      </c>
      <c r="Y12" s="591"/>
      <c r="Z12" s="591"/>
      <c r="AA12" s="591"/>
      <c r="AB12" s="591"/>
      <c r="AC12" s="591"/>
    </row>
    <row customHeight="1" ht="14.25">
      <c r="J13" s="599"/>
      <c r="K13" s="599"/>
      <c r="L13" s="1503"/>
      <c r="M13" s="586"/>
      <c r="N13" s="1471"/>
      <c r="O13" s="2406"/>
      <c r="P13" s="2406"/>
      <c r="Q13" s="2406"/>
      <c r="R13" s="2406"/>
      <c r="S13" s="2406"/>
      <c r="T13" s="2406"/>
      <c r="U13" s="2406"/>
      <c r="V13" s="2406"/>
    </row>
    <row customHeight="1" ht="14.25">
      <c r="J14" s="599"/>
      <c r="K14" s="599"/>
      <c r="L14" s="2254" t="s">
        <v>301</v>
      </c>
      <c r="M14" s="2254"/>
      <c r="N14" s="2254"/>
      <c r="O14" s="2254"/>
      <c r="P14" s="2254"/>
      <c r="Q14" s="2254"/>
      <c r="R14" s="2254"/>
      <c r="S14" s="2254"/>
      <c r="T14" s="2254"/>
      <c r="U14" s="2254"/>
      <c r="V14" s="2254"/>
      <c r="W14" s="2254"/>
      <c r="X14" s="2254" t="s">
        <v>302</v>
      </c>
    </row>
    <row customHeight="1" ht="14.25">
      <c r="J15" s="599"/>
      <c r="K15" s="599"/>
      <c r="L15" s="2407" t="s">
        <v>87</v>
      </c>
      <c r="M15" s="2344" t="s">
        <v>427</v>
      </c>
      <c r="N15" s="524"/>
      <c r="O15" s="2408" t="s">
        <v>2154</v>
      </c>
      <c r="P15" s="2409"/>
      <c r="Q15" s="2409"/>
      <c r="R15" s="2409"/>
      <c r="S15" s="2409"/>
      <c r="T15" s="2409"/>
      <c r="U15" s="2410"/>
      <c r="V15" s="2411" t="s">
        <v>429</v>
      </c>
      <c r="W15" s="2414" t="s">
        <v>1065</v>
      </c>
      <c r="X15" s="2254"/>
    </row>
    <row customHeight="1" ht="33.75">
      <c r="J16" s="599"/>
      <c r="K16" s="599"/>
      <c r="L16" s="2407"/>
      <c r="M16" s="2344"/>
      <c r="N16" s="1255"/>
      <c r="O16" s="2417" t="s">
        <v>432</v>
      </c>
      <c r="P16" s="2417" t="s">
        <v>433</v>
      </c>
      <c r="Q16" s="2400" t="s">
        <v>434</v>
      </c>
      <c r="R16" s="2402"/>
      <c r="S16" s="2400" t="s">
        <v>447</v>
      </c>
      <c r="T16" s="2401"/>
      <c r="U16" s="2402"/>
      <c r="V16" s="2412"/>
      <c r="W16" s="2415"/>
      <c r="X16" s="2254"/>
    </row>
    <row customHeight="1" ht="33.75">
      <c r="A17" s="1598" t="s">
        <v>133</v>
      </c>
      <c r="B17" s="1598" t="s">
        <v>134</v>
      </c>
      <c r="C17" s="1598" t="s">
        <v>135</v>
      </c>
      <c r="D17" s="1598" t="s">
        <v>136</v>
      </c>
      <c r="E17" s="1598"/>
      <c r="J17" s="599"/>
      <c r="K17" s="599"/>
      <c r="L17" s="2407"/>
      <c r="M17" s="2344"/>
      <c r="N17" s="525"/>
      <c r="O17" s="2418"/>
      <c r="P17" s="2418"/>
      <c r="Q17" s="1449" t="s">
        <v>443</v>
      </c>
      <c r="R17" s="1449" t="s">
        <v>444</v>
      </c>
      <c r="S17" s="1520" t="s">
        <v>445</v>
      </c>
      <c r="T17" s="2403" t="s">
        <v>446</v>
      </c>
      <c r="U17" s="2404"/>
      <c r="V17" s="2413"/>
      <c r="W17" s="2416"/>
      <c r="X17" s="2254"/>
    </row>
    <row s="13364" customFormat="1" customHeight="1" ht="11.25">
      <c r="A18" s="1598"/>
      <c r="B18" s="1598"/>
      <c r="C18" s="1598"/>
      <c r="D18" s="1598"/>
      <c r="E18" s="1598"/>
      <c r="F18" s="1590"/>
      <c r="G18" s="1590"/>
      <c r="H18" s="1590"/>
      <c r="I18" s="1473"/>
      <c r="J18" s="1474"/>
      <c r="K18" s="1481">
        <v>1</v>
      </c>
      <c r="L18" s="1505" t="s">
        <v>108</v>
      </c>
      <c r="M18" s="1482" t="s">
        <v>109</v>
      </c>
      <c r="N18" s="1472" t="str">
        <f>OFFSET(N18,0,-1)</f>
        <v>2</v>
      </c>
      <c r="O18" s="1517">
        <f>OFFSET(O18,0,-1)+1</f>
        <v>3</v>
      </c>
      <c r="P18" s="1517"/>
      <c r="Q18" s="1517">
        <f>OFFSET(Q18,0,-1)+1</f>
        <v>1</v>
      </c>
      <c r="R18" s="1517">
        <f>OFFSET(R18,0,-1)+1</f>
        <v>2</v>
      </c>
      <c r="S18" s="1517">
        <f>OFFSET(S18,0,-1)+1</f>
        <v>3</v>
      </c>
      <c r="T18" s="2405">
        <f>OFFSET(T18,0,-1)+1</f>
        <v>4</v>
      </c>
      <c r="U18" s="2405"/>
      <c r="V18" s="1517">
        <f>OFFSET(V18,0,-2)+1</f>
        <v>5</v>
      </c>
      <c r="W18" s="1472">
        <f>OFFSET(W18,0,-1)</f>
        <v>5</v>
      </c>
      <c r="X18" s="1517">
        <f>OFFSET(X18,0,-1)+1</f>
        <v>6</v>
      </c>
      <c r="Y18" s="734"/>
      <c r="Z18" s="734"/>
      <c r="AA18" s="734"/>
      <c r="AB18" s="734"/>
      <c r="AC18" s="734"/>
    </row>
    <row customHeight="1" ht="21">
      <c r="A19" s="1591" t="s">
        <v>167</v>
      </c>
      <c r="B19" s="1591" t="s">
        <v>168</v>
      </c>
      <c r="C19" s="1591" t="s">
        <v>169</v>
      </c>
      <c r="D19" s="1591" t="s">
        <v>170</v>
      </c>
      <c r="E19" s="1591"/>
      <c r="F19" s="1593"/>
      <c r="G19" s="1593"/>
      <c r="H19" s="1593"/>
      <c r="I19" s="584"/>
      <c r="J19" s="583"/>
      <c r="K19" s="578"/>
      <c r="L19" s="1521">
        <f>INDEX(PT_DIFFERENTIATION_NUM_NTAR,MATCH(A19,PT_DIFFERENTIATION_NTAR_ID,0))</f>
        <v>0</v>
      </c>
      <c r="M19" s="521" t="s">
        <v>122</v>
      </c>
      <c r="N19" s="523"/>
      <c r="O19" s="2720" t="str">
        <f>INDEX(PT_DIFFERENTIATION_NTAR,MATCH(A19,PT_DIFFERENTIATION_NTAR_ID,0))</f>
        <v/>
      </c>
      <c r="P19" s="2720"/>
      <c r="Q19" s="2720"/>
      <c r="R19" s="2720"/>
      <c r="S19" s="2720"/>
      <c r="T19" s="2720"/>
      <c r="U19" s="2720"/>
      <c r="V19" s="2720"/>
      <c r="W19" s="2720"/>
      <c r="X19" s="1485" t="s">
        <v>397</v>
      </c>
      <c r="Z19" s="723"/>
      <c r="AA19" s="723" t="str">
        <f>IF(M19="","",M19)</f>
        <v>Наименование тарифа</v>
      </c>
      <c r="AB19" s="723"/>
      <c r="AC19" s="723"/>
    </row>
    <row customHeight="1" ht="21">
      <c r="A20" s="1591" t="s">
        <v>167</v>
      </c>
      <c r="B20" s="1591" t="s">
        <v>168</v>
      </c>
      <c r="C20" s="1591" t="s">
        <v>169</v>
      </c>
      <c r="D20" s="1591" t="s">
        <v>170</v>
      </c>
      <c r="E20" s="1591"/>
      <c r="F20" s="1593"/>
      <c r="G20" s="1593"/>
      <c r="H20" s="1593"/>
      <c r="I20" s="1518"/>
      <c r="J20" s="575"/>
      <c r="K20" s="576"/>
      <c r="L20" s="1521" t="str">
        <f>INDEX(PT_DIFFERENTIATION_NUM_TER,MATCH(B19,PT_DIFFERENTIATION_TER_ID,0))</f>
        <v>.</v>
      </c>
      <c r="M20" s="531" t="s">
        <v>398</v>
      </c>
      <c r="N20" s="523"/>
      <c r="O20" s="2720" t="str">
        <f>INDEX(PT_DIFFERENTIATION_TER,MATCH(B19,PT_DIFFERENTIATION_TER_ID,0))</f>
        <v/>
      </c>
      <c r="P20" s="2720"/>
      <c r="Q20" s="2720"/>
      <c r="R20" s="2720"/>
      <c r="S20" s="2720"/>
      <c r="T20" s="2720"/>
      <c r="U20" s="2720"/>
      <c r="V20" s="2720"/>
      <c r="W20" s="2720"/>
      <c r="X20" s="1485" t="s">
        <v>399</v>
      </c>
      <c r="Z20" s="723"/>
      <c r="AA20" s="723" t="str">
        <f>IF(M20="","",M20)</f>
        <v>Территория действия тарифа</v>
      </c>
      <c r="AB20" s="723"/>
      <c r="AC20" s="723"/>
    </row>
    <row customHeight="1" ht="22.5">
      <c r="A21" s="1591" t="s">
        <v>167</v>
      </c>
      <c r="B21" s="1591" t="s">
        <v>168</v>
      </c>
      <c r="C21" s="1591" t="s">
        <v>169</v>
      </c>
      <c r="D21" s="1591" t="s">
        <v>170</v>
      </c>
      <c r="E21" s="1591"/>
      <c r="F21" s="1593"/>
      <c r="G21" s="1593"/>
      <c r="H21" s="1593"/>
      <c r="I21" s="577"/>
      <c r="J21" s="575"/>
      <c r="K21" s="576"/>
      <c r="L21" s="1521" t="str">
        <f>INDEX(PT_DIFFERENTIATION_NUM_CS,MATCH(C19,PT_DIFFERENTIATION_CS_ID,0))</f>
        <v>..</v>
      </c>
      <c r="M21" s="532" t="s">
        <v>400</v>
      </c>
      <c r="N21" s="523"/>
      <c r="O21" s="2720" t="str">
        <f>INDEX(PT_DIFFERENTIATION_CS,MATCH(C19,PT_DIFFERENTIATION_CS_ID,0))</f>
        <v/>
      </c>
      <c r="P21" s="2720"/>
      <c r="Q21" s="2720"/>
      <c r="R21" s="2720"/>
      <c r="S21" s="2720"/>
      <c r="T21" s="2720"/>
      <c r="U21" s="2720"/>
      <c r="V21" s="2720"/>
      <c r="W21" s="2720"/>
      <c r="X21" s="1485" t="s">
        <v>401</v>
      </c>
      <c r="Z21" s="723"/>
      <c r="AA21" s="723" t="str">
        <f>IF(M21="","",M21)</f>
        <v>Наименование системы теплоснабжения </v>
      </c>
      <c r="AB21" s="723"/>
      <c r="AC21" s="723"/>
    </row>
    <row customHeight="1" ht="21">
      <c r="A22" s="1591" t="s">
        <v>167</v>
      </c>
      <c r="B22" s="1591" t="s">
        <v>168</v>
      </c>
      <c r="C22" s="1591" t="s">
        <v>169</v>
      </c>
      <c r="D22" s="1591" t="s">
        <v>170</v>
      </c>
      <c r="E22" s="1591"/>
      <c r="F22" s="1593"/>
      <c r="G22" s="1593"/>
      <c r="H22" s="1593"/>
      <c r="I22" s="577"/>
      <c r="J22" s="575"/>
      <c r="K22" s="576"/>
      <c r="L22" s="1521" t="str">
        <f>INDEX(PT_DIFFERENTIATION_NUM_IST_TE,MATCH(D19,PT_DIFFERENTIATION_IST_TE_ID,0))</f>
        <v>...</v>
      </c>
      <c r="M22" s="533" t="s">
        <v>402</v>
      </c>
      <c r="N22" s="523"/>
      <c r="O22" s="2720" t="str">
        <f>INDEX(PT_DIFFERENTIATION_IST_TE,MATCH(D19,PT_DIFFERENTIATION_IST_TE_ID,0))</f>
        <v/>
      </c>
      <c r="P22" s="2720"/>
      <c r="Q22" s="2720"/>
      <c r="R22" s="2720"/>
      <c r="S22" s="2720"/>
      <c r="T22" s="2720"/>
      <c r="U22" s="2720"/>
      <c r="V22" s="2720"/>
      <c r="W22" s="2720"/>
      <c r="X22" s="1485" t="s">
        <v>403</v>
      </c>
      <c r="Z22" s="723"/>
      <c r="AA22" s="723" t="str">
        <f>IF(M22="","",M22)</f>
        <v>Источник тепловой энергии  </v>
      </c>
      <c r="AB22" s="723"/>
      <c r="AC22" s="723"/>
    </row>
    <row customHeight="1" ht="94.5">
      <c r="A23" s="1591" t="s">
        <v>167</v>
      </c>
      <c r="B23" s="1591" t="s">
        <v>168</v>
      </c>
      <c r="C23" s="1591" t="s">
        <v>169</v>
      </c>
      <c r="D23" s="1591" t="s">
        <v>170</v>
      </c>
      <c r="E23" s="1591"/>
      <c r="F23" s="2721" t="str">
        <f>L22&amp;".1"</f>
        <v>....1</v>
      </c>
      <c r="I23" s="2393">
        <v>1</v>
      </c>
      <c r="J23" s="1519"/>
      <c r="K23" s="579"/>
      <c r="L23" s="1521" t="str">
        <f>$F$23</f>
        <v>....1</v>
      </c>
      <c r="M23" s="508" t="s">
        <v>405</v>
      </c>
      <c r="N23" s="523"/>
      <c r="O23" s="2722"/>
      <c r="P23" s="2722"/>
      <c r="Q23" s="2722"/>
      <c r="R23" s="2722"/>
      <c r="S23" s="2722"/>
      <c r="T23" s="2722"/>
      <c r="U23" s="2722"/>
      <c r="V23" s="2722"/>
      <c r="W23" s="2722"/>
      <c r="X23" s="1485" t="s">
        <v>406</v>
      </c>
      <c r="Z23" s="723"/>
      <c r="AA23" s="723" t="str">
        <f>IF(M23="","",M23)</f>
        <v>Схема подключения теплопотребляющей установки к коллектору источника тепловой энергии</v>
      </c>
      <c r="AB23" s="723"/>
      <c r="AC23" s="723"/>
    </row>
    <row customHeight="1" ht="84">
      <c r="A24" s="1591" t="s">
        <v>167</v>
      </c>
      <c r="B24" s="1591" t="s">
        <v>168</v>
      </c>
      <c r="C24" s="1591" t="s">
        <v>169</v>
      </c>
      <c r="D24" s="1591" t="s">
        <v>170</v>
      </c>
      <c r="E24" s="1591"/>
      <c r="F24" s="2721"/>
      <c r="G24" s="2364" t="str">
        <f>F23&amp;".1"</f>
        <v>....1.1</v>
      </c>
      <c r="I24" s="2393"/>
      <c r="J24" s="2393">
        <v>1</v>
      </c>
      <c r="K24" s="580"/>
      <c r="L24" s="1521" t="str">
        <f>$G$24</f>
        <v>....1.1</v>
      </c>
      <c r="M24" s="509" t="s">
        <v>408</v>
      </c>
      <c r="N24" s="523"/>
      <c r="O24" s="2723"/>
      <c r="P24" s="2724"/>
      <c r="Q24" s="2724"/>
      <c r="R24" s="2724"/>
      <c r="S24" s="2724"/>
      <c r="T24" s="2724"/>
      <c r="U24" s="2724"/>
      <c r="V24" s="2724"/>
      <c r="W24" s="2725"/>
      <c r="X24" s="1485" t="s">
        <v>409</v>
      </c>
      <c r="Z24" s="723"/>
      <c r="AA24" s="723" t="str">
        <f>IF(M24="","",M24)</f>
        <v>Группа потребителей</v>
      </c>
      <c r="AB24" s="723"/>
      <c r="AC24" s="723"/>
    </row>
    <row customHeight="1" ht="11.25">
      <c r="A25" s="1591" t="s">
        <v>167</v>
      </c>
      <c r="B25" s="1591" t="s">
        <v>168</v>
      </c>
      <c r="C25" s="1591" t="s">
        <v>169</v>
      </c>
      <c r="D25" s="1591" t="s">
        <v>170</v>
      </c>
      <c r="E25" s="1591"/>
      <c r="F25" s="2721"/>
      <c r="G25" s="2364"/>
      <c r="H25" s="2364" t="str">
        <f>G24&amp;".1"</f>
        <v>....1.1.1</v>
      </c>
      <c r="I25" s="2393"/>
      <c r="J25" s="2393"/>
      <c r="K25" s="580">
        <v>1</v>
      </c>
      <c r="L25" s="1521" t="str">
        <f>$H$25</f>
        <v>....1.1.1</v>
      </c>
      <c r="M25" s="1486"/>
      <c r="N25" s="523"/>
      <c r="O25" s="974"/>
      <c r="P25" s="548"/>
      <c r="Q25" s="974"/>
      <c r="R25" s="1484"/>
      <c r="S25" s="2729"/>
      <c r="T25" s="2264" t="s">
        <v>66</v>
      </c>
      <c r="U25" s="2729"/>
      <c r="V25" s="2264" t="s">
        <v>56</v>
      </c>
      <c r="W25" s="548"/>
      <c r="X25" s="2419" t="s">
        <v>411</v>
      </c>
      <c r="Y25" s="734">
        <f>STRCHECKDATE(O26:W26)</f>
      </c>
      <c r="Z25" s="723"/>
      <c r="AA25" s="723" t="str">
        <f>IF(M25="","",M25)</f>
        <v/>
      </c>
      <c r="AB25" s="723"/>
      <c r="AC25" s="723"/>
    </row>
    <row customHeight="1" ht="11.25">
      <c r="A26" s="1591" t="s">
        <v>167</v>
      </c>
      <c r="B26" s="1591" t="s">
        <v>168</v>
      </c>
      <c r="C26" s="1591" t="s">
        <v>169</v>
      </c>
      <c r="D26" s="1591" t="s">
        <v>170</v>
      </c>
      <c r="E26" s="1591"/>
      <c r="F26" s="2721"/>
      <c r="G26" s="2364"/>
      <c r="H26" s="2364"/>
      <c r="I26" s="2393"/>
      <c r="J26" s="2393"/>
      <c r="K26" s="580"/>
      <c r="L26" s="1522"/>
      <c r="M26" s="523"/>
      <c r="N26" s="523"/>
      <c r="O26" s="548"/>
      <c r="P26" s="548"/>
      <c r="Q26" s="548"/>
      <c r="R26" s="551" t="str">
        <f>S25&amp;"-"&amp;U25</f>
        <v>-</v>
      </c>
      <c r="S26" s="2395"/>
      <c r="T26" s="2264"/>
      <c r="U26" s="2395"/>
      <c r="V26" s="2264"/>
      <c r="W26" s="548"/>
      <c r="X26" s="2420"/>
      <c r="Z26" s="723"/>
      <c r="AA26" s="723" t="str">
        <f>IF(M26="","",M26)</f>
        <v/>
      </c>
      <c r="AB26" s="723"/>
      <c r="AC26" s="723"/>
    </row>
    <row customHeight="1" ht="15">
      <c r="A27" s="1591" t="s">
        <v>167</v>
      </c>
      <c r="B27" s="1591" t="s">
        <v>168</v>
      </c>
      <c r="C27" s="1591" t="s">
        <v>169</v>
      </c>
      <c r="D27" s="1591" t="s">
        <v>170</v>
      </c>
      <c r="E27" s="1591"/>
      <c r="F27" s="2721"/>
      <c r="G27" s="2364"/>
      <c r="I27" s="2393"/>
      <c r="J27" s="2393"/>
      <c r="K27" s="579"/>
      <c r="L27" s="1506"/>
      <c r="M27" s="511" t="s">
        <v>412</v>
      </c>
      <c r="N27" s="590"/>
      <c r="O27" s="590"/>
      <c r="P27" s="590"/>
      <c r="Q27" s="590"/>
      <c r="R27" s="590"/>
      <c r="S27" s="590"/>
      <c r="T27" s="590"/>
      <c r="U27" s="590"/>
      <c r="V27" s="590"/>
      <c r="W27" s="547"/>
      <c r="X27" s="2421"/>
      <c r="Z27" s="723"/>
      <c r="AA27" s="723" t="str">
        <f>IF(M27="","",M27)</f>
        <v>Добавить вид теплоносителя (параметры теплоносителя)</v>
      </c>
      <c r="AB27" s="723"/>
      <c r="AC27" s="723"/>
    </row>
    <row customHeight="1" ht="15">
      <c r="A28" s="1591" t="s">
        <v>167</v>
      </c>
      <c r="B28" s="1591" t="s">
        <v>168</v>
      </c>
      <c r="C28" s="1591" t="s">
        <v>169</v>
      </c>
      <c r="D28" s="1591" t="s">
        <v>170</v>
      </c>
      <c r="E28" s="1591"/>
      <c r="F28" s="2721"/>
      <c r="I28" s="2393"/>
      <c r="J28" s="1519"/>
      <c r="K28" s="579"/>
      <c r="L28" s="1506"/>
      <c r="M28" s="510" t="s">
        <v>413</v>
      </c>
      <c r="N28" s="590"/>
      <c r="O28" s="590"/>
      <c r="P28" s="590"/>
      <c r="Q28" s="590"/>
      <c r="R28" s="590"/>
      <c r="S28" s="590"/>
      <c r="T28" s="590"/>
      <c r="U28" s="590"/>
      <c r="V28" s="589"/>
      <c r="W28" s="590"/>
      <c r="X28" s="526"/>
      <c r="Z28" s="723"/>
      <c r="AA28" s="723" t="str">
        <f>IF(M28="","",M28)</f>
        <v>Добавить группу потребителей</v>
      </c>
      <c r="AB28" s="723"/>
      <c r="AC28" s="723"/>
    </row>
    <row customHeight="1" ht="14.25">
      <c r="A29" s="1591" t="s">
        <v>167</v>
      </c>
      <c r="B29" s="1591" t="s">
        <v>168</v>
      </c>
      <c r="C29" s="1591" t="s">
        <v>169</v>
      </c>
      <c r="D29" s="1591" t="s">
        <v>170</v>
      </c>
      <c r="E29" s="1591"/>
      <c r="F29" s="1593"/>
      <c r="G29" s="1593"/>
      <c r="H29" s="760"/>
      <c r="I29" s="583"/>
      <c r="J29" s="598"/>
      <c r="K29" s="578"/>
      <c r="L29" s="1506"/>
      <c r="M29" s="588" t="s">
        <v>414</v>
      </c>
      <c r="N29" s="590"/>
      <c r="O29" s="590"/>
      <c r="P29" s="590"/>
      <c r="Q29" s="590"/>
      <c r="R29" s="590"/>
      <c r="S29" s="590"/>
      <c r="T29" s="590"/>
      <c r="U29" s="590"/>
      <c r="V29" s="589"/>
      <c r="W29" s="590"/>
      <c r="X29" s="526"/>
      <c r="Z29" s="723"/>
      <c r="AA29" s="723" t="str">
        <f>IF(M29="","",M29)</f>
        <v>Добавить схему подключения</v>
      </c>
      <c r="AB29" s="723"/>
      <c r="AC29" s="723"/>
    </row>
    <row customHeight="1" ht="14.25">
      <c r="A30" s="1591" t="s">
        <v>167</v>
      </c>
      <c r="B30" s="1591" t="s">
        <v>168</v>
      </c>
      <c r="C30" s="1591" t="s">
        <v>169</v>
      </c>
      <c r="D30" s="1591"/>
      <c r="E30" s="1591" t="s">
        <v>589</v>
      </c>
      <c r="F30" s="1593"/>
      <c r="G30" s="1593"/>
      <c r="H30" s="760"/>
      <c r="I30" s="583"/>
      <c r="J30" s="598"/>
      <c r="K30" s="578"/>
      <c r="L30" s="1507"/>
      <c r="M30" s="1496"/>
      <c r="N30" s="1497"/>
      <c r="O30" s="1497"/>
      <c r="P30" s="1497"/>
      <c r="Q30" s="1497"/>
      <c r="R30" s="1497"/>
      <c r="S30" s="1497"/>
      <c r="T30" s="1497"/>
      <c r="U30" s="1497"/>
      <c r="V30" s="1498"/>
      <c r="W30" s="1497"/>
      <c r="X30" s="1499"/>
      <c r="Z30" s="723"/>
      <c r="AA30" s="723" t="str">
        <f>IF(M30="","",M30)</f>
        <v/>
      </c>
      <c r="AB30" s="723"/>
      <c r="AC30" s="723"/>
    </row>
    <row customHeight="1" ht="14.25">
      <c r="A31" s="1591" t="s">
        <v>167</v>
      </c>
      <c r="B31" s="1591" t="s">
        <v>168</v>
      </c>
      <c r="C31" s="1591"/>
      <c r="D31" s="1591"/>
      <c r="E31" s="1591" t="s">
        <v>2155</v>
      </c>
      <c r="F31" s="1745"/>
      <c r="G31" s="1745"/>
      <c r="H31" s="760"/>
      <c r="I31" s="581"/>
      <c r="J31" s="598"/>
      <c r="K31" s="582"/>
      <c r="L31" s="1507"/>
      <c r="M31" s="1500"/>
      <c r="N31" s="1497"/>
      <c r="O31" s="1497"/>
      <c r="P31" s="1497"/>
      <c r="Q31" s="1497"/>
      <c r="R31" s="1497"/>
      <c r="S31" s="1497"/>
      <c r="T31" s="1497"/>
      <c r="U31" s="1497"/>
      <c r="V31" s="1498"/>
      <c r="W31" s="1497"/>
      <c r="X31" s="1499"/>
      <c r="Z31" s="723"/>
      <c r="AA31" s="723" t="str">
        <f>IF(M31="","",M31)</f>
        <v/>
      </c>
      <c r="AB31" s="723"/>
      <c r="AC31" s="723"/>
    </row>
    <row customHeight="1" ht="14.25">
      <c r="A32" s="1591" t="s">
        <v>2156</v>
      </c>
      <c r="B32" s="1591"/>
      <c r="C32" s="1591"/>
      <c r="D32" s="1591"/>
      <c r="E32" s="1591" t="s">
        <v>103</v>
      </c>
      <c r="F32" s="1745"/>
      <c r="G32" s="1745"/>
      <c r="H32" s="760"/>
      <c r="I32" s="583"/>
      <c r="J32" s="598"/>
      <c r="K32" s="578"/>
      <c r="L32" s="1507"/>
      <c r="M32" s="1501"/>
      <c r="N32" s="1497"/>
      <c r="O32" s="1497"/>
      <c r="P32" s="1497"/>
      <c r="Q32" s="1497"/>
      <c r="R32" s="1497"/>
      <c r="S32" s="1497"/>
      <c r="T32" s="1497"/>
      <c r="U32" s="1497"/>
      <c r="V32" s="1498"/>
      <c r="W32" s="1497"/>
      <c r="X32" s="1499"/>
      <c r="Z32" s="723"/>
      <c r="AA32" s="723" t="str">
        <f>IF(M32="","",M32)</f>
        <v/>
      </c>
      <c r="AB32" s="723"/>
      <c r="AC32" s="723"/>
    </row>
    <row s="17942" customFormat="1" customHeight="1" ht="11.25">
      <c r="A33" s="1591"/>
      <c r="B33" s="1591"/>
      <c r="C33" s="1591"/>
      <c r="D33" s="1591"/>
      <c r="E33" s="1591" t="s">
        <v>254</v>
      </c>
      <c r="F33" s="1746"/>
      <c r="G33" s="1747"/>
      <c r="H33" s="760"/>
      <c r="L33" s="1508"/>
      <c r="M33" s="1502"/>
      <c r="N33" s="1497"/>
      <c r="O33" s="1497"/>
      <c r="P33" s="1497"/>
      <c r="Q33" s="1497"/>
      <c r="R33" s="1497"/>
      <c r="S33" s="1497"/>
      <c r="T33" s="1497"/>
      <c r="U33" s="1497"/>
      <c r="V33" s="1498"/>
      <c r="W33" s="1497"/>
      <c r="X33" s="1499"/>
      <c r="Y33" s="602"/>
      <c r="Z33" s="602"/>
      <c r="AA33" s="602"/>
      <c r="AB33" s="602"/>
      <c r="AC33" s="602"/>
    </row>
    <row customHeight="1" ht="11.25">
      <c r="F34" s="1385"/>
      <c r="G34" s="1385"/>
      <c r="H34" s="760"/>
      <c r="I34" s="1380"/>
      <c r="J34" s="1380"/>
      <c r="K34" s="1380"/>
      <c r="Y34" s="1380"/>
      <c r="Z34" s="1380"/>
      <c r="AA34" s="1380"/>
      <c r="AB34" s="1380"/>
      <c r="AC34" s="1380"/>
    </row>
    <row customHeight="1" ht="27">
      <c r="H35" s="760"/>
      <c r="L35" s="1516" t="s">
        <v>721</v>
      </c>
      <c r="M35" s="2388" t="s">
        <v>2157</v>
      </c>
      <c r="N35" s="2388"/>
      <c r="O35" s="2388"/>
      <c r="P35" s="2388"/>
      <c r="Q35" s="2388"/>
      <c r="R35" s="2388"/>
      <c r="S35" s="2388"/>
      <c r="T35" s="2388"/>
      <c r="U35" s="2388"/>
      <c r="V35" s="2388"/>
      <c r="W35" s="2388"/>
      <c r="X35" s="2388"/>
    </row>
    <row customHeight="1" ht="104.25">
      <c r="H36" s="760"/>
      <c r="I36" s="1531"/>
      <c r="M36" s="2388" t="s">
        <v>2158</v>
      </c>
      <c r="N36" s="2388"/>
      <c r="O36" s="2388"/>
      <c r="P36" s="2388"/>
      <c r="Q36" s="2388"/>
      <c r="R36" s="2388"/>
      <c r="S36" s="2388"/>
      <c r="T36" s="2388"/>
      <c r="U36" s="2388"/>
      <c r="V36" s="2388"/>
      <c r="W36" s="2388"/>
      <c r="X36" s="2388"/>
    </row>
    <row customHeight="1" ht="14.25">
      <c r="H37" s="760"/>
    </row>
    <row customHeight="1" ht="14.25">
      <c r="H38" s="760"/>
    </row>
    <row customHeight="1" ht="14.25">
      <c r="H39" s="760"/>
    </row>
    <row customHeight="1" ht="14.25">
      <c r="H40" s="760"/>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8B402-A45D-C7C7-A419-7CA0C2654A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E8D43-815F-E463-C6F9-6BB1CE29A6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15A8B-00DB-D074-0A77-491B33B504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C8475-480E-B536-BCAA-21120E3EB3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77F6E-8705-CCD6-2B18-A5F080090C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7D36B-C68F-DAB5-FED8-8C93CEC546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8CE27-6D37-A22F-EE2C-F95CBEA16A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C6FD4-F9E1-09FB-C8AB-F21D50C65F2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8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EB475-AA68-1ED7-19DB-CD456D6EA541}" mc:Ignorable="x14ac xr xr2 xr3">
  <dimension ref="A1:E8"/>
  <sheetViews>
    <sheetView topLeftCell="A1" showGridLines="0" workbookViewId="0">
      <selection activeCell="A1" sqref="A1"/>
    </sheetView>
  </sheetViews>
  <sheetFormatPr customHeight="1" defaultRowHeight="11.25"/>
  <cols>
    <col min="1" max="1" style="17966" width="10.57421875" customWidth="1"/>
    <col min="2" max="2" style="17966" width="8.7109375" customWidth="1"/>
    <col min="3" max="3" style="17966" width="18.140625" customWidth="1"/>
    <col min="4" max="4" style="17966" width="12.57421875" customWidth="1"/>
  </cols>
  <sheetData>
    <row customHeight="1" ht="11.25">
      <c r="A1" s="976" t="s">
        <v>2159</v>
      </c>
      <c r="B1" s="987" t="s">
        <v>2160</v>
      </c>
      <c r="C1" s="2730" t="s">
        <v>2161</v>
      </c>
      <c r="D1" s="2731"/>
      <c r="E1" s="1059" t="s">
        <v>2162</v>
      </c>
    </row>
    <row customHeight="1" ht="11.25">
      <c r="A2" s="980"/>
      <c r="B2" s="988" t="s">
        <v>22</v>
      </c>
      <c r="C2" s="976"/>
      <c r="D2" s="987"/>
      <c r="E2" s="1059"/>
    </row>
    <row customHeight="1" ht="11.25">
      <c r="A3" s="991"/>
      <c r="B3" s="989" t="s">
        <v>29</v>
      </c>
      <c r="C3" s="976"/>
      <c r="D3" s="987"/>
      <c r="E3" s="1059"/>
    </row>
    <row customHeight="1" ht="11.25">
      <c r="A4" s="992"/>
      <c r="B4" s="989" t="s">
        <v>1577</v>
      </c>
      <c r="C4" s="976"/>
      <c r="D4" s="987"/>
      <c r="E4" s="1059"/>
    </row>
    <row customHeight="1" ht="11.25">
      <c r="A5" s="1004"/>
      <c r="B5" s="989" t="s">
        <v>1572</v>
      </c>
      <c r="C5" s="979" t="s">
        <v>1918</v>
      </c>
      <c r="D5" s="1103" t="s">
        <v>2163</v>
      </c>
      <c r="E5" s="1059"/>
    </row>
    <row s="17942" customFormat="1" customHeight="1" ht="11.25">
      <c r="A6" s="990"/>
      <c r="B6" s="989" t="s">
        <v>1581</v>
      </c>
      <c r="C6" s="976"/>
      <c r="D6" s="987"/>
      <c r="E6" s="1059"/>
    </row>
    <row customHeight="1" ht="11.25">
      <c r="A7" s="978"/>
      <c r="B7" s="989" t="s">
        <v>1589</v>
      </c>
      <c r="C7" s="976"/>
      <c r="D7" s="987"/>
      <c r="E7" s="1059"/>
    </row>
    <row customHeight="1" ht="11.25">
      <c r="A8" s="979"/>
      <c r="B8" s="989" t="s">
        <v>1584</v>
      </c>
      <c r="C8" s="976"/>
      <c r="D8" s="987"/>
      <c r="E8" s="105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FB597-C16B-BCFA-A60F-75EB9612AF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2A152-72FB-6E1E-DD94-18C0D5CC09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D611F-D953-046B-6F16-2C6D4E2D49F4}" mc:Ignorable="x14ac xr xr2 xr3">
  <sheetPr>
    <tabColor rgb="FFFFCC99"/>
  </sheetPr>
  <dimension ref="A1:I690"/>
  <sheetViews>
    <sheetView topLeftCell="A1" showGridLines="0" workbookViewId="0">
      <selection activeCell="A1" sqref="A1"/>
    </sheetView>
  </sheetViews>
  <sheetFormatPr defaultColWidth="9.140625" customHeight="1" defaultRowHeight="11.25"/>
  <cols>
    <col min="1" max="2" style="17969" width="9.140625"/>
    <col min="3" max="3" style="17969" width="20.7109375" customWidth="1"/>
    <col min="4" max="4" style="17969" width="25.140625" customWidth="1"/>
    <col min="5" max="9" style="17969" width="9.140625"/>
  </cols>
  <sheetData>
    <row customHeight="1" ht="11.25">
      <c r="A1" s="291" t="s">
        <v>2164</v>
      </c>
      <c r="B1" s="291" t="s">
        <v>2165</v>
      </c>
      <c r="C1" s="291" t="s">
        <v>2166</v>
      </c>
      <c r="D1" s="291" t="s">
        <v>2167</v>
      </c>
      <c r="E1" s="291" t="s">
        <v>2168</v>
      </c>
      <c r="F1" s="291" t="s">
        <v>2169</v>
      </c>
      <c r="G1" s="291" t="s">
        <v>2170</v>
      </c>
      <c r="H1" s="291" t="s">
        <v>2171</v>
      </c>
      <c r="I1" s="291" t="s">
        <v>2172</v>
      </c>
    </row>
    <row customHeight="1" ht="11.25">
      <c r="A2" s="8012" t="s">
        <v>2173</v>
      </c>
      <c r="B2" s="8012" t="s">
        <v>14</v>
      </c>
      <c r="C2" s="8012" t="s">
        <v>2174</v>
      </c>
      <c r="D2" s="8012" t="s">
        <v>2175</v>
      </c>
      <c r="E2" s="8012" t="s">
        <v>2176</v>
      </c>
      <c r="F2" s="8012" t="s">
        <v>2177</v>
      </c>
      <c r="G2" s="8012" t="s">
        <v>24</v>
      </c>
      <c r="H2" s="8012" t="s">
        <v>2178</v>
      </c>
      <c r="I2" s="8012" t="s">
        <v>725</v>
      </c>
    </row>
    <row customHeight="1" ht="11.25">
      <c r="A3" s="8012" t="s">
        <v>2173</v>
      </c>
      <c r="B3" s="8012" t="s">
        <v>14</v>
      </c>
      <c r="C3" s="8012" t="s">
        <v>24</v>
      </c>
      <c r="D3" s="8012" t="s">
        <v>2179</v>
      </c>
      <c r="E3" s="8012" t="s">
        <v>2180</v>
      </c>
      <c r="F3" s="8012" t="s">
        <v>2181</v>
      </c>
      <c r="G3" s="8012" t="s">
        <v>24</v>
      </c>
      <c r="H3" s="8012" t="s">
        <v>24</v>
      </c>
      <c r="I3" s="8012" t="s">
        <v>725</v>
      </c>
    </row>
    <row customHeight="1" ht="11.25">
      <c r="A4" s="8012" t="s">
        <v>2173</v>
      </c>
      <c r="B4" s="8012" t="s">
        <v>14</v>
      </c>
      <c r="C4" s="8012" t="s">
        <v>2182</v>
      </c>
      <c r="D4" s="8012" t="s">
        <v>2183</v>
      </c>
      <c r="E4" s="8012" t="s">
        <v>2184</v>
      </c>
      <c r="F4" s="8012" t="s">
        <v>2185</v>
      </c>
      <c r="G4" s="8012" t="s">
        <v>24</v>
      </c>
      <c r="H4" s="8012" t="s">
        <v>2186</v>
      </c>
      <c r="I4" s="8012" t="s">
        <v>725</v>
      </c>
    </row>
    <row customHeight="1" ht="11.25">
      <c r="A5" s="8012" t="s">
        <v>2173</v>
      </c>
      <c r="B5" s="8012" t="s">
        <v>14</v>
      </c>
      <c r="C5" s="8012" t="s">
        <v>2187</v>
      </c>
      <c r="D5" s="8012" t="s">
        <v>2188</v>
      </c>
      <c r="E5" s="8012" t="s">
        <v>2189</v>
      </c>
      <c r="F5" s="8012" t="s">
        <v>2190</v>
      </c>
      <c r="G5" s="8012" t="s">
        <v>24</v>
      </c>
      <c r="H5" s="8012" t="s">
        <v>24</v>
      </c>
      <c r="I5" s="8012" t="s">
        <v>725</v>
      </c>
    </row>
    <row customHeight="1" ht="11.25">
      <c r="A6" s="8012" t="s">
        <v>2173</v>
      </c>
      <c r="B6" s="8012" t="s">
        <v>14</v>
      </c>
      <c r="C6" s="8012" t="s">
        <v>2191</v>
      </c>
      <c r="D6" s="8012" t="s">
        <v>2192</v>
      </c>
      <c r="E6" s="8012" t="s">
        <v>2193</v>
      </c>
      <c r="F6" s="8012" t="s">
        <v>2194</v>
      </c>
      <c r="G6" s="8012" t="s">
        <v>24</v>
      </c>
      <c r="H6" s="8012" t="s">
        <v>24</v>
      </c>
      <c r="I6" s="8012" t="s">
        <v>725</v>
      </c>
    </row>
    <row customHeight="1" ht="11.25">
      <c r="A7" s="8012" t="s">
        <v>2173</v>
      </c>
      <c r="B7" s="8012" t="s">
        <v>14</v>
      </c>
      <c r="C7" s="8012" t="s">
        <v>2195</v>
      </c>
      <c r="D7" s="8012" t="s">
        <v>2196</v>
      </c>
      <c r="E7" s="8012" t="s">
        <v>2197</v>
      </c>
      <c r="F7" s="8012" t="s">
        <v>2198</v>
      </c>
      <c r="G7" s="8012" t="s">
        <v>24</v>
      </c>
      <c r="H7" s="8012" t="s">
        <v>2199</v>
      </c>
      <c r="I7" s="8012" t="s">
        <v>725</v>
      </c>
    </row>
    <row customHeight="1" ht="11.25">
      <c r="A8" s="8012" t="s">
        <v>2173</v>
      </c>
      <c r="B8" s="8012" t="s">
        <v>14</v>
      </c>
      <c r="C8" s="8012" t="s">
        <v>2200</v>
      </c>
      <c r="D8" s="8012" t="s">
        <v>2201</v>
      </c>
      <c r="E8" s="8012" t="s">
        <v>2202</v>
      </c>
      <c r="F8" s="8012" t="s">
        <v>2203</v>
      </c>
      <c r="G8" s="8012" t="s">
        <v>2204</v>
      </c>
      <c r="H8" s="8012" t="s">
        <v>2205</v>
      </c>
      <c r="I8" s="8012" t="s">
        <v>725</v>
      </c>
    </row>
    <row customHeight="1" ht="11.25">
      <c r="A9" s="8012" t="s">
        <v>2173</v>
      </c>
      <c r="B9" s="8012" t="s">
        <v>14</v>
      </c>
      <c r="C9" s="8012" t="s">
        <v>2206</v>
      </c>
      <c r="D9" s="8012" t="s">
        <v>2207</v>
      </c>
      <c r="E9" s="8012" t="s">
        <v>2208</v>
      </c>
      <c r="F9" s="8012" t="s">
        <v>2209</v>
      </c>
      <c r="G9" s="8012" t="s">
        <v>24</v>
      </c>
      <c r="H9" s="8012" t="s">
        <v>24</v>
      </c>
      <c r="I9" s="8012" t="s">
        <v>725</v>
      </c>
    </row>
    <row customHeight="1" ht="11.25">
      <c r="A10" s="8012" t="s">
        <v>2173</v>
      </c>
      <c r="B10" s="8012" t="s">
        <v>14</v>
      </c>
      <c r="C10" s="8012" t="s">
        <v>2210</v>
      </c>
      <c r="D10" s="8012" t="s">
        <v>2211</v>
      </c>
      <c r="E10" s="8012" t="s">
        <v>2212</v>
      </c>
      <c r="F10" s="8012" t="s">
        <v>2213</v>
      </c>
      <c r="G10" s="8012" t="s">
        <v>24</v>
      </c>
      <c r="H10" s="8012" t="s">
        <v>24</v>
      </c>
      <c r="I10" s="8012" t="s">
        <v>725</v>
      </c>
    </row>
    <row customHeight="1" ht="11.25">
      <c r="A11" s="8012" t="s">
        <v>2173</v>
      </c>
      <c r="B11" s="8012" t="s">
        <v>14</v>
      </c>
      <c r="C11" s="8012" t="s">
        <v>2214</v>
      </c>
      <c r="D11" s="8012" t="s">
        <v>2211</v>
      </c>
      <c r="E11" s="8012" t="s">
        <v>2212</v>
      </c>
      <c r="F11" s="8012" t="s">
        <v>2215</v>
      </c>
      <c r="G11" s="8012" t="s">
        <v>2216</v>
      </c>
      <c r="H11" s="8012" t="s">
        <v>24</v>
      </c>
      <c r="I11" s="8012" t="s">
        <v>725</v>
      </c>
    </row>
    <row customHeight="1" ht="11.25">
      <c r="A12" s="8012" t="s">
        <v>2173</v>
      </c>
      <c r="B12" s="8012" t="s">
        <v>14</v>
      </c>
      <c r="C12" s="8012" t="s">
        <v>2217</v>
      </c>
      <c r="D12" s="8012" t="s">
        <v>2218</v>
      </c>
      <c r="E12" s="8012" t="s">
        <v>2212</v>
      </c>
      <c r="F12" s="8012" t="s">
        <v>2219</v>
      </c>
      <c r="G12" s="8012" t="s">
        <v>24</v>
      </c>
      <c r="H12" s="8012" t="s">
        <v>24</v>
      </c>
      <c r="I12" s="8012" t="s">
        <v>725</v>
      </c>
    </row>
    <row customHeight="1" ht="11.25">
      <c r="A13" s="8012" t="s">
        <v>2173</v>
      </c>
      <c r="B13" s="8012" t="s">
        <v>14</v>
      </c>
      <c r="C13" s="8012" t="s">
        <v>2220</v>
      </c>
      <c r="D13" s="8012" t="s">
        <v>2221</v>
      </c>
      <c r="E13" s="8012" t="s">
        <v>2212</v>
      </c>
      <c r="F13" s="8012" t="s">
        <v>2222</v>
      </c>
      <c r="G13" s="8012" t="s">
        <v>24</v>
      </c>
      <c r="H13" s="8012" t="s">
        <v>24</v>
      </c>
      <c r="I13" s="8012" t="s">
        <v>725</v>
      </c>
    </row>
    <row customHeight="1" ht="11.25">
      <c r="A14" s="8012" t="s">
        <v>2173</v>
      </c>
      <c r="B14" s="8012" t="s">
        <v>14</v>
      </c>
      <c r="C14" s="8012" t="s">
        <v>2223</v>
      </c>
      <c r="D14" s="8012" t="s">
        <v>2224</v>
      </c>
      <c r="E14" s="8012" t="s">
        <v>2225</v>
      </c>
      <c r="F14" s="8012" t="s">
        <v>2177</v>
      </c>
      <c r="G14" s="8012" t="s">
        <v>24</v>
      </c>
      <c r="H14" s="8012" t="s">
        <v>24</v>
      </c>
      <c r="I14" s="8012" t="s">
        <v>725</v>
      </c>
    </row>
    <row customHeight="1" ht="11.25">
      <c r="A15" s="8012" t="s">
        <v>2173</v>
      </c>
      <c r="B15" s="8012" t="s">
        <v>14</v>
      </c>
      <c r="C15" s="8012" t="s">
        <v>2226</v>
      </c>
      <c r="D15" s="8012" t="s">
        <v>2227</v>
      </c>
      <c r="E15" s="8012" t="s">
        <v>2228</v>
      </c>
      <c r="F15" s="8012" t="s">
        <v>2229</v>
      </c>
      <c r="G15" s="8012" t="s">
        <v>24</v>
      </c>
      <c r="H15" s="8012" t="s">
        <v>24</v>
      </c>
      <c r="I15" s="8012" t="s">
        <v>725</v>
      </c>
    </row>
    <row customHeight="1" ht="11.25">
      <c r="A16" s="8012" t="s">
        <v>2173</v>
      </c>
      <c r="B16" s="8012" t="s">
        <v>14</v>
      </c>
      <c r="C16" s="8012" t="s">
        <v>2230</v>
      </c>
      <c r="D16" s="8012" t="s">
        <v>2231</v>
      </c>
      <c r="E16" s="8012" t="s">
        <v>2232</v>
      </c>
      <c r="F16" s="8012" t="s">
        <v>2233</v>
      </c>
      <c r="G16" s="8012" t="s">
        <v>24</v>
      </c>
      <c r="H16" s="8012" t="s">
        <v>24</v>
      </c>
      <c r="I16" s="8012" t="s">
        <v>725</v>
      </c>
    </row>
    <row customHeight="1" ht="11.25">
      <c r="A17" s="8012" t="s">
        <v>2173</v>
      </c>
      <c r="B17" s="8012" t="s">
        <v>14</v>
      </c>
      <c r="C17" s="8012" t="s">
        <v>2234</v>
      </c>
      <c r="D17" s="8012" t="s">
        <v>2235</v>
      </c>
      <c r="E17" s="8012" t="s">
        <v>2236</v>
      </c>
      <c r="F17" s="8012" t="s">
        <v>2237</v>
      </c>
      <c r="G17" s="8012" t="s">
        <v>2238</v>
      </c>
      <c r="H17" s="8012" t="s">
        <v>24</v>
      </c>
      <c r="I17" s="8012" t="s">
        <v>725</v>
      </c>
    </row>
    <row customHeight="1" ht="11.25">
      <c r="A18" s="8012" t="s">
        <v>2173</v>
      </c>
      <c r="B18" s="8012" t="s">
        <v>14</v>
      </c>
      <c r="C18" s="8012" t="s">
        <v>2239</v>
      </c>
      <c r="D18" s="8012" t="s">
        <v>2240</v>
      </c>
      <c r="E18" s="8012" t="s">
        <v>2241</v>
      </c>
      <c r="F18" s="8012" t="s">
        <v>2194</v>
      </c>
      <c r="G18" s="8012" t="s">
        <v>24</v>
      </c>
      <c r="H18" s="8012" t="s">
        <v>24</v>
      </c>
      <c r="I18" s="8012" t="s">
        <v>725</v>
      </c>
    </row>
    <row customHeight="1" ht="11.25">
      <c r="A19" s="8012" t="s">
        <v>2173</v>
      </c>
      <c r="B19" s="8012" t="s">
        <v>14</v>
      </c>
      <c r="C19" s="8012" t="s">
        <v>2242</v>
      </c>
      <c r="D19" s="8012" t="s">
        <v>2243</v>
      </c>
      <c r="E19" s="8012" t="s">
        <v>2244</v>
      </c>
      <c r="F19" s="8012" t="s">
        <v>2185</v>
      </c>
      <c r="G19" s="8012" t="s">
        <v>24</v>
      </c>
      <c r="H19" s="8012" t="s">
        <v>24</v>
      </c>
      <c r="I19" s="8012" t="s">
        <v>725</v>
      </c>
    </row>
    <row customHeight="1" ht="11.25">
      <c r="A20" s="8012" t="s">
        <v>2173</v>
      </c>
      <c r="B20" s="8012" t="s">
        <v>14</v>
      </c>
      <c r="C20" s="8012" t="s">
        <v>2245</v>
      </c>
      <c r="D20" s="8012" t="s">
        <v>2246</v>
      </c>
      <c r="E20" s="8012" t="s">
        <v>2247</v>
      </c>
      <c r="F20" s="8012" t="s">
        <v>2248</v>
      </c>
      <c r="G20" s="8012" t="s">
        <v>2249</v>
      </c>
      <c r="H20" s="8012" t="s">
        <v>24</v>
      </c>
      <c r="I20" s="8012" t="s">
        <v>725</v>
      </c>
    </row>
    <row customHeight="1" ht="11.25">
      <c r="A21" s="8012" t="s">
        <v>2173</v>
      </c>
      <c r="B21" s="8012" t="s">
        <v>14</v>
      </c>
      <c r="C21" s="8012" t="s">
        <v>2250</v>
      </c>
      <c r="D21" s="8012" t="s">
        <v>2251</v>
      </c>
      <c r="E21" s="8012" t="s">
        <v>2252</v>
      </c>
      <c r="F21" s="8012" t="s">
        <v>2253</v>
      </c>
      <c r="G21" s="8012" t="s">
        <v>2254</v>
      </c>
      <c r="H21" s="8012" t="s">
        <v>24</v>
      </c>
      <c r="I21" s="8012" t="s">
        <v>725</v>
      </c>
    </row>
    <row customHeight="1" ht="11.25">
      <c r="A22" s="8012" t="s">
        <v>2173</v>
      </c>
      <c r="B22" s="8012" t="s">
        <v>14</v>
      </c>
      <c r="C22" s="8012" t="s">
        <v>2255</v>
      </c>
      <c r="D22" s="8012" t="s">
        <v>2256</v>
      </c>
      <c r="E22" s="8012" t="s">
        <v>2257</v>
      </c>
      <c r="F22" s="8012" t="s">
        <v>2177</v>
      </c>
      <c r="G22" s="8012" t="s">
        <v>24</v>
      </c>
      <c r="H22" s="8012" t="s">
        <v>24</v>
      </c>
      <c r="I22" s="8012" t="s">
        <v>725</v>
      </c>
    </row>
    <row customHeight="1" ht="11.25">
      <c r="A23" s="8012" t="s">
        <v>2173</v>
      </c>
      <c r="B23" s="8012" t="s">
        <v>14</v>
      </c>
      <c r="C23" s="8012" t="s">
        <v>2258</v>
      </c>
      <c r="D23" s="8012" t="s">
        <v>2259</v>
      </c>
      <c r="E23" s="8012" t="s">
        <v>2260</v>
      </c>
      <c r="F23" s="8012" t="s">
        <v>2261</v>
      </c>
      <c r="G23" s="8012" t="s">
        <v>24</v>
      </c>
      <c r="H23" s="8012" t="s">
        <v>24</v>
      </c>
      <c r="I23" s="8012" t="s">
        <v>725</v>
      </c>
    </row>
    <row customHeight="1" ht="11.25">
      <c r="A24" s="8012" t="s">
        <v>2173</v>
      </c>
      <c r="B24" s="8012" t="s">
        <v>14</v>
      </c>
      <c r="C24" s="8012" t="s">
        <v>2262</v>
      </c>
      <c r="D24" s="8012" t="s">
        <v>2263</v>
      </c>
      <c r="E24" s="8012" t="s">
        <v>2264</v>
      </c>
      <c r="F24" s="8012" t="s">
        <v>2233</v>
      </c>
      <c r="G24" s="8012" t="s">
        <v>2265</v>
      </c>
      <c r="H24" s="8012" t="s">
        <v>24</v>
      </c>
      <c r="I24" s="8012" t="s">
        <v>725</v>
      </c>
    </row>
    <row customHeight="1" ht="11.25">
      <c r="A25" s="8012" t="s">
        <v>2173</v>
      </c>
      <c r="B25" s="8012" t="s">
        <v>14</v>
      </c>
      <c r="C25" s="8012" t="s">
        <v>2266</v>
      </c>
      <c r="D25" s="8012" t="s">
        <v>2267</v>
      </c>
      <c r="E25" s="8012" t="s">
        <v>2268</v>
      </c>
      <c r="F25" s="8012" t="s">
        <v>2269</v>
      </c>
      <c r="G25" s="8012" t="s">
        <v>24</v>
      </c>
      <c r="H25" s="8012" t="s">
        <v>24</v>
      </c>
      <c r="I25" s="8012" t="s">
        <v>725</v>
      </c>
    </row>
    <row customHeight="1" ht="11.25">
      <c r="A26" s="8012" t="s">
        <v>2173</v>
      </c>
      <c r="B26" s="8012" t="s">
        <v>14</v>
      </c>
      <c r="C26" s="8012" t="s">
        <v>2270</v>
      </c>
      <c r="D26" s="8012" t="s">
        <v>2271</v>
      </c>
      <c r="E26" s="8012" t="s">
        <v>2272</v>
      </c>
      <c r="F26" s="8012" t="s">
        <v>2181</v>
      </c>
      <c r="G26" s="8012" t="s">
        <v>2273</v>
      </c>
      <c r="H26" s="8012" t="s">
        <v>24</v>
      </c>
      <c r="I26" s="8012" t="s">
        <v>725</v>
      </c>
    </row>
    <row customHeight="1" ht="11.25">
      <c r="A27" s="8012" t="s">
        <v>2173</v>
      </c>
      <c r="B27" s="8012" t="s">
        <v>14</v>
      </c>
      <c r="C27" s="8012" t="s">
        <v>2274</v>
      </c>
      <c r="D27" s="8012" t="s">
        <v>2275</v>
      </c>
      <c r="E27" s="8012" t="s">
        <v>2276</v>
      </c>
      <c r="F27" s="8012" t="s">
        <v>2277</v>
      </c>
      <c r="G27" s="8012" t="s">
        <v>24</v>
      </c>
      <c r="H27" s="8012" t="s">
        <v>24</v>
      </c>
      <c r="I27" s="8012" t="s">
        <v>725</v>
      </c>
    </row>
    <row customHeight="1" ht="11.25">
      <c r="A28" s="8012" t="s">
        <v>2173</v>
      </c>
      <c r="B28" s="8012" t="s">
        <v>14</v>
      </c>
      <c r="C28" s="8012" t="s">
        <v>2278</v>
      </c>
      <c r="D28" s="8012" t="s">
        <v>2279</v>
      </c>
      <c r="E28" s="8012" t="s">
        <v>2280</v>
      </c>
      <c r="F28" s="8012" t="s">
        <v>2233</v>
      </c>
      <c r="G28" s="8012" t="s">
        <v>24</v>
      </c>
      <c r="H28" s="8012" t="s">
        <v>24</v>
      </c>
      <c r="I28" s="8012" t="s">
        <v>725</v>
      </c>
    </row>
    <row customHeight="1" ht="11.25">
      <c r="A29" s="8012" t="s">
        <v>2173</v>
      </c>
      <c r="B29" s="8012" t="s">
        <v>14</v>
      </c>
      <c r="C29" s="8012" t="s">
        <v>2281</v>
      </c>
      <c r="D29" s="8012" t="s">
        <v>2282</v>
      </c>
      <c r="E29" s="8012" t="s">
        <v>2283</v>
      </c>
      <c r="F29" s="8012" t="s">
        <v>2181</v>
      </c>
      <c r="G29" s="8012" t="s">
        <v>24</v>
      </c>
      <c r="H29" s="8012" t="s">
        <v>24</v>
      </c>
      <c r="I29" s="8012" t="s">
        <v>725</v>
      </c>
    </row>
    <row customHeight="1" ht="11.25">
      <c r="A30" s="8012" t="s">
        <v>2173</v>
      </c>
      <c r="B30" s="8012" t="s">
        <v>14</v>
      </c>
      <c r="C30" s="8012" t="s">
        <v>2284</v>
      </c>
      <c r="D30" s="8012" t="s">
        <v>2285</v>
      </c>
      <c r="E30" s="8012" t="s">
        <v>2286</v>
      </c>
      <c r="F30" s="8012" t="s">
        <v>2287</v>
      </c>
      <c r="G30" s="8012" t="s">
        <v>24</v>
      </c>
      <c r="H30" s="8012" t="s">
        <v>24</v>
      </c>
      <c r="I30" s="8012" t="s">
        <v>725</v>
      </c>
    </row>
    <row customHeight="1" ht="11.25">
      <c r="A31" s="8012" t="s">
        <v>2173</v>
      </c>
      <c r="B31" s="8012" t="s">
        <v>14</v>
      </c>
      <c r="C31" s="8012" t="s">
        <v>2288</v>
      </c>
      <c r="D31" s="8012" t="s">
        <v>2289</v>
      </c>
      <c r="E31" s="8012" t="s">
        <v>2290</v>
      </c>
      <c r="F31" s="8012" t="s">
        <v>2291</v>
      </c>
      <c r="G31" s="8012" t="s">
        <v>24</v>
      </c>
      <c r="H31" s="8012" t="s">
        <v>24</v>
      </c>
      <c r="I31" s="8012" t="s">
        <v>725</v>
      </c>
    </row>
    <row customHeight="1" ht="11.25">
      <c r="A32" s="8012" t="s">
        <v>2173</v>
      </c>
      <c r="B32" s="8012" t="s">
        <v>14</v>
      </c>
      <c r="C32" s="8012" t="s">
        <v>2292</v>
      </c>
      <c r="D32" s="8012" t="s">
        <v>2293</v>
      </c>
      <c r="E32" s="8012" t="s">
        <v>2290</v>
      </c>
      <c r="F32" s="8012" t="s">
        <v>2294</v>
      </c>
      <c r="G32" s="8012" t="s">
        <v>24</v>
      </c>
      <c r="H32" s="8012" t="s">
        <v>24</v>
      </c>
      <c r="I32" s="8012" t="s">
        <v>725</v>
      </c>
    </row>
    <row customHeight="1" ht="11.25">
      <c r="A33" s="8012" t="s">
        <v>2173</v>
      </c>
      <c r="B33" s="8012" t="s">
        <v>14</v>
      </c>
      <c r="C33" s="8012" t="s">
        <v>2295</v>
      </c>
      <c r="D33" s="8012" t="s">
        <v>2296</v>
      </c>
      <c r="E33" s="8012" t="s">
        <v>2297</v>
      </c>
      <c r="F33" s="8012" t="s">
        <v>2298</v>
      </c>
      <c r="G33" s="8012" t="s">
        <v>24</v>
      </c>
      <c r="H33" s="8012" t="s">
        <v>24</v>
      </c>
      <c r="I33" s="8012" t="s">
        <v>725</v>
      </c>
    </row>
    <row customHeight="1" ht="11.25">
      <c r="A34" s="8012" t="s">
        <v>2173</v>
      </c>
      <c r="B34" s="8012" t="s">
        <v>14</v>
      </c>
      <c r="C34" s="8012" t="s">
        <v>2299</v>
      </c>
      <c r="D34" s="8012" t="s">
        <v>2300</v>
      </c>
      <c r="E34" s="8012" t="s">
        <v>2301</v>
      </c>
      <c r="F34" s="8012" t="s">
        <v>2261</v>
      </c>
      <c r="G34" s="8012" t="s">
        <v>2302</v>
      </c>
      <c r="H34" s="8012" t="s">
        <v>24</v>
      </c>
      <c r="I34" s="8012" t="s">
        <v>725</v>
      </c>
    </row>
    <row customHeight="1" ht="11.25">
      <c r="A35" s="8012" t="s">
        <v>2173</v>
      </c>
      <c r="B35" s="8012" t="s">
        <v>14</v>
      </c>
      <c r="C35" s="8012" t="s">
        <v>2303</v>
      </c>
      <c r="D35" s="8012" t="s">
        <v>2304</v>
      </c>
      <c r="E35" s="8012" t="s">
        <v>2305</v>
      </c>
      <c r="F35" s="8012" t="s">
        <v>2185</v>
      </c>
      <c r="G35" s="8012" t="s">
        <v>24</v>
      </c>
      <c r="H35" s="8012" t="s">
        <v>24</v>
      </c>
      <c r="I35" s="8012" t="s">
        <v>725</v>
      </c>
    </row>
    <row customHeight="1" ht="11.25">
      <c r="A36" s="8012" t="s">
        <v>2173</v>
      </c>
      <c r="B36" s="8012" t="s">
        <v>14</v>
      </c>
      <c r="C36" s="8012" t="s">
        <v>2306</v>
      </c>
      <c r="D36" s="8012" t="s">
        <v>2307</v>
      </c>
      <c r="E36" s="8012" t="s">
        <v>2308</v>
      </c>
      <c r="F36" s="8012" t="s">
        <v>2233</v>
      </c>
      <c r="G36" s="8012" t="s">
        <v>24</v>
      </c>
      <c r="H36" s="8012" t="s">
        <v>24</v>
      </c>
      <c r="I36" s="8012" t="s">
        <v>725</v>
      </c>
    </row>
    <row customHeight="1" ht="11.25">
      <c r="A37" s="8012" t="s">
        <v>2173</v>
      </c>
      <c r="B37" s="8012" t="s">
        <v>14</v>
      </c>
      <c r="C37" s="8012" t="s">
        <v>2309</v>
      </c>
      <c r="D37" s="8012" t="s">
        <v>2310</v>
      </c>
      <c r="E37" s="8012" t="s">
        <v>2311</v>
      </c>
      <c r="F37" s="8012" t="s">
        <v>2312</v>
      </c>
      <c r="G37" s="8012" t="s">
        <v>24</v>
      </c>
      <c r="H37" s="8012" t="s">
        <v>2313</v>
      </c>
      <c r="I37" s="8012" t="s">
        <v>725</v>
      </c>
    </row>
    <row customHeight="1" ht="11.25">
      <c r="A38" s="8012" t="s">
        <v>2173</v>
      </c>
      <c r="B38" s="8012" t="s">
        <v>14</v>
      </c>
      <c r="C38" s="8012" t="s">
        <v>2314</v>
      </c>
      <c r="D38" s="8012" t="s">
        <v>2315</v>
      </c>
      <c r="E38" s="8012" t="s">
        <v>2316</v>
      </c>
      <c r="F38" s="8012" t="s">
        <v>578</v>
      </c>
      <c r="G38" s="8012" t="s">
        <v>2317</v>
      </c>
      <c r="H38" s="8012" t="s">
        <v>24</v>
      </c>
      <c r="I38" s="8012" t="s">
        <v>725</v>
      </c>
    </row>
    <row customHeight="1" ht="11.25">
      <c r="A39" s="8012" t="s">
        <v>2173</v>
      </c>
      <c r="B39" s="8012" t="s">
        <v>14</v>
      </c>
      <c r="C39" s="8012" t="s">
        <v>2318</v>
      </c>
      <c r="D39" s="8012" t="s">
        <v>2319</v>
      </c>
      <c r="E39" s="8012" t="s">
        <v>2320</v>
      </c>
      <c r="F39" s="8012" t="s">
        <v>2233</v>
      </c>
      <c r="G39" s="8012" t="s">
        <v>24</v>
      </c>
      <c r="H39" s="8012" t="s">
        <v>24</v>
      </c>
      <c r="I39" s="8012" t="s">
        <v>725</v>
      </c>
    </row>
    <row customHeight="1" ht="11.25">
      <c r="A40" s="8012" t="s">
        <v>2173</v>
      </c>
      <c r="B40" s="8012" t="s">
        <v>14</v>
      </c>
      <c r="C40" s="8012" t="s">
        <v>2321</v>
      </c>
      <c r="D40" s="8012" t="s">
        <v>2322</v>
      </c>
      <c r="E40" s="8012" t="s">
        <v>2323</v>
      </c>
      <c r="F40" s="8012" t="s">
        <v>2324</v>
      </c>
      <c r="G40" s="8012" t="s">
        <v>2325</v>
      </c>
      <c r="H40" s="8012" t="s">
        <v>24</v>
      </c>
      <c r="I40" s="8012" t="s">
        <v>725</v>
      </c>
    </row>
    <row customHeight="1" ht="11.25">
      <c r="A41" s="8012" t="s">
        <v>2173</v>
      </c>
      <c r="B41" s="8012" t="s">
        <v>14</v>
      </c>
      <c r="C41" s="8012" t="s">
        <v>2326</v>
      </c>
      <c r="D41" s="8012" t="s">
        <v>2327</v>
      </c>
      <c r="E41" s="8012" t="s">
        <v>2328</v>
      </c>
      <c r="F41" s="8012" t="s">
        <v>2298</v>
      </c>
      <c r="G41" s="8012" t="s">
        <v>24</v>
      </c>
      <c r="H41" s="8012" t="s">
        <v>24</v>
      </c>
      <c r="I41" s="8012" t="s">
        <v>725</v>
      </c>
    </row>
    <row customHeight="1" ht="11.25">
      <c r="A42" s="8012" t="s">
        <v>2173</v>
      </c>
      <c r="B42" s="8012" t="s">
        <v>14</v>
      </c>
      <c r="C42" s="8012" t="s">
        <v>2329</v>
      </c>
      <c r="D42" s="8012" t="s">
        <v>2330</v>
      </c>
      <c r="E42" s="8012" t="s">
        <v>2331</v>
      </c>
      <c r="F42" s="8012" t="s">
        <v>2332</v>
      </c>
      <c r="G42" s="8012" t="s">
        <v>24</v>
      </c>
      <c r="H42" s="8012" t="s">
        <v>24</v>
      </c>
      <c r="I42" s="8012" t="s">
        <v>725</v>
      </c>
    </row>
    <row customHeight="1" ht="11.25">
      <c r="A43" s="8012" t="s">
        <v>2173</v>
      </c>
      <c r="B43" s="8012" t="s">
        <v>14</v>
      </c>
      <c r="C43" s="8012" t="s">
        <v>2333</v>
      </c>
      <c r="D43" s="8012" t="s">
        <v>2334</v>
      </c>
      <c r="E43" s="8012" t="s">
        <v>2335</v>
      </c>
      <c r="F43" s="8012" t="s">
        <v>2298</v>
      </c>
      <c r="G43" s="8012" t="s">
        <v>24</v>
      </c>
      <c r="H43" s="8012" t="s">
        <v>24</v>
      </c>
      <c r="I43" s="8012" t="s">
        <v>725</v>
      </c>
    </row>
    <row customHeight="1" ht="11.25">
      <c r="A44" s="8012" t="s">
        <v>2173</v>
      </c>
      <c r="B44" s="8012" t="s">
        <v>14</v>
      </c>
      <c r="C44" s="8012" t="s">
        <v>2336</v>
      </c>
      <c r="D44" s="8012" t="s">
        <v>2337</v>
      </c>
      <c r="E44" s="8012" t="s">
        <v>2338</v>
      </c>
      <c r="F44" s="8012" t="s">
        <v>2233</v>
      </c>
      <c r="G44" s="8012" t="s">
        <v>24</v>
      </c>
      <c r="H44" s="8012" t="s">
        <v>24</v>
      </c>
      <c r="I44" s="8012" t="s">
        <v>725</v>
      </c>
    </row>
    <row customHeight="1" ht="11.25">
      <c r="A45" s="8012" t="s">
        <v>2173</v>
      </c>
      <c r="B45" s="8012" t="s">
        <v>14</v>
      </c>
      <c r="C45" s="8012" t="s">
        <v>2339</v>
      </c>
      <c r="D45" s="8012" t="s">
        <v>2340</v>
      </c>
      <c r="E45" s="8012" t="s">
        <v>2341</v>
      </c>
      <c r="F45" s="8012" t="s">
        <v>2342</v>
      </c>
      <c r="G45" s="8012" t="s">
        <v>24</v>
      </c>
      <c r="H45" s="8012" t="s">
        <v>2343</v>
      </c>
      <c r="I45" s="8012" t="s">
        <v>725</v>
      </c>
    </row>
    <row customHeight="1" ht="11.25">
      <c r="A46" s="8012" t="s">
        <v>2173</v>
      </c>
      <c r="B46" s="8012" t="s">
        <v>14</v>
      </c>
      <c r="C46" s="8012" t="s">
        <v>2344</v>
      </c>
      <c r="D46" s="8012" t="s">
        <v>2345</v>
      </c>
      <c r="E46" s="8012" t="s">
        <v>2346</v>
      </c>
      <c r="F46" s="8012" t="s">
        <v>2347</v>
      </c>
      <c r="G46" s="8012" t="s">
        <v>24</v>
      </c>
      <c r="H46" s="8012" t="s">
        <v>24</v>
      </c>
      <c r="I46" s="8012" t="s">
        <v>725</v>
      </c>
    </row>
    <row customHeight="1" ht="11.25">
      <c r="A47" s="8012" t="s">
        <v>2173</v>
      </c>
      <c r="B47" s="8012" t="s">
        <v>14</v>
      </c>
      <c r="C47" s="8012" t="s">
        <v>2348</v>
      </c>
      <c r="D47" s="8012" t="s">
        <v>2349</v>
      </c>
      <c r="E47" s="8012" t="s">
        <v>2350</v>
      </c>
      <c r="F47" s="8012" t="s">
        <v>2347</v>
      </c>
      <c r="G47" s="8012" t="s">
        <v>24</v>
      </c>
      <c r="H47" s="8012" t="s">
        <v>24</v>
      </c>
      <c r="I47" s="8012" t="s">
        <v>725</v>
      </c>
    </row>
    <row customHeight="1" ht="11.25">
      <c r="A48" s="8012" t="s">
        <v>2173</v>
      </c>
      <c r="B48" s="8012" t="s">
        <v>14</v>
      </c>
      <c r="C48" s="8012" t="s">
        <v>2351</v>
      </c>
      <c r="D48" s="8012" t="s">
        <v>2352</v>
      </c>
      <c r="E48" s="8012" t="s">
        <v>2350</v>
      </c>
      <c r="F48" s="8012" t="s">
        <v>2353</v>
      </c>
      <c r="G48" s="8012" t="s">
        <v>24</v>
      </c>
      <c r="H48" s="8012" t="s">
        <v>2354</v>
      </c>
      <c r="I48" s="8012" t="s">
        <v>725</v>
      </c>
    </row>
    <row customHeight="1" ht="11.25">
      <c r="A49" s="8012" t="s">
        <v>2173</v>
      </c>
      <c r="B49" s="8012" t="s">
        <v>14</v>
      </c>
      <c r="C49" s="8012" t="s">
        <v>2355</v>
      </c>
      <c r="D49" s="8012" t="s">
        <v>2352</v>
      </c>
      <c r="E49" s="8012" t="s">
        <v>2350</v>
      </c>
      <c r="F49" s="8012" t="s">
        <v>2356</v>
      </c>
      <c r="G49" s="8012" t="s">
        <v>24</v>
      </c>
      <c r="H49" s="8012" t="s">
        <v>2357</v>
      </c>
      <c r="I49" s="8012" t="s">
        <v>725</v>
      </c>
    </row>
    <row customHeight="1" ht="11.25">
      <c r="A50" s="8012" t="s">
        <v>2173</v>
      </c>
      <c r="B50" s="8012" t="s">
        <v>14</v>
      </c>
      <c r="C50" s="8012" t="s">
        <v>2358</v>
      </c>
      <c r="D50" s="8012" t="s">
        <v>2359</v>
      </c>
      <c r="E50" s="8012" t="s">
        <v>2360</v>
      </c>
      <c r="F50" s="8012" t="s">
        <v>2194</v>
      </c>
      <c r="G50" s="8012" t="s">
        <v>2361</v>
      </c>
      <c r="H50" s="8012" t="s">
        <v>24</v>
      </c>
      <c r="I50" s="8012" t="s">
        <v>725</v>
      </c>
    </row>
    <row customHeight="1" ht="11.25">
      <c r="A51" s="8012" t="s">
        <v>2173</v>
      </c>
      <c r="B51" s="8012" t="s">
        <v>14</v>
      </c>
      <c r="C51" s="8012" t="s">
        <v>2362</v>
      </c>
      <c r="D51" s="8012" t="s">
        <v>2363</v>
      </c>
      <c r="E51" s="8012" t="s">
        <v>2364</v>
      </c>
      <c r="F51" s="8012" t="s">
        <v>2365</v>
      </c>
      <c r="G51" s="8012" t="s">
        <v>2366</v>
      </c>
      <c r="H51" s="8012" t="s">
        <v>2361</v>
      </c>
      <c r="I51" s="8012" t="s">
        <v>725</v>
      </c>
    </row>
    <row customHeight="1" ht="11.25">
      <c r="A52" s="8012" t="s">
        <v>2173</v>
      </c>
      <c r="B52" s="8012" t="s">
        <v>14</v>
      </c>
      <c r="C52" s="8012" t="s">
        <v>2367</v>
      </c>
      <c r="D52" s="8012" t="s">
        <v>2368</v>
      </c>
      <c r="E52" s="8012" t="s">
        <v>2369</v>
      </c>
      <c r="F52" s="8012" t="s">
        <v>2370</v>
      </c>
      <c r="G52" s="8012" t="s">
        <v>24</v>
      </c>
      <c r="H52" s="8012" t="s">
        <v>24</v>
      </c>
      <c r="I52" s="8012" t="s">
        <v>725</v>
      </c>
    </row>
    <row customHeight="1" ht="11.25">
      <c r="A53" s="8012" t="s">
        <v>2173</v>
      </c>
      <c r="B53" s="8012" t="s">
        <v>14</v>
      </c>
      <c r="C53" s="8012" t="s">
        <v>2371</v>
      </c>
      <c r="D53" s="8012" t="s">
        <v>2372</v>
      </c>
      <c r="E53" s="8012" t="s">
        <v>2373</v>
      </c>
      <c r="F53" s="8012" t="s">
        <v>2177</v>
      </c>
      <c r="G53" s="8012" t="s">
        <v>24</v>
      </c>
      <c r="H53" s="8012" t="s">
        <v>24</v>
      </c>
      <c r="I53" s="8012" t="s">
        <v>725</v>
      </c>
    </row>
    <row customHeight="1" ht="11.25">
      <c r="A54" s="8012" t="s">
        <v>2173</v>
      </c>
      <c r="B54" s="8012" t="s">
        <v>14</v>
      </c>
      <c r="C54" s="8012" t="s">
        <v>2374</v>
      </c>
      <c r="D54" s="8012" t="s">
        <v>2375</v>
      </c>
      <c r="E54" s="8012" t="s">
        <v>2376</v>
      </c>
      <c r="F54" s="8012" t="s">
        <v>2377</v>
      </c>
      <c r="G54" s="8012" t="s">
        <v>24</v>
      </c>
      <c r="H54" s="8012" t="s">
        <v>24</v>
      </c>
      <c r="I54" s="8012" t="s">
        <v>725</v>
      </c>
    </row>
    <row customHeight="1" ht="11.25">
      <c r="A55" s="8012" t="s">
        <v>2173</v>
      </c>
      <c r="B55" s="8012" t="s">
        <v>14</v>
      </c>
      <c r="C55" s="8012" t="s">
        <v>2378</v>
      </c>
      <c r="D55" s="8012" t="s">
        <v>2379</v>
      </c>
      <c r="E55" s="8012" t="s">
        <v>2380</v>
      </c>
      <c r="F55" s="8012" t="s">
        <v>2381</v>
      </c>
      <c r="G55" s="8012" t="s">
        <v>24</v>
      </c>
      <c r="H55" s="8012" t="s">
        <v>2382</v>
      </c>
      <c r="I55" s="8012" t="s">
        <v>725</v>
      </c>
    </row>
    <row customHeight="1" ht="11.25">
      <c r="A56" s="8012" t="s">
        <v>2173</v>
      </c>
      <c r="B56" s="8012" t="s">
        <v>14</v>
      </c>
      <c r="C56" s="8012" t="s">
        <v>2383</v>
      </c>
      <c r="D56" s="8012" t="s">
        <v>2379</v>
      </c>
      <c r="E56" s="8012" t="s">
        <v>2380</v>
      </c>
      <c r="F56" s="8012" t="s">
        <v>2381</v>
      </c>
      <c r="G56" s="8012" t="s">
        <v>24</v>
      </c>
      <c r="H56" s="8012" t="s">
        <v>24</v>
      </c>
      <c r="I56" s="8012" t="s">
        <v>725</v>
      </c>
    </row>
    <row customHeight="1" ht="11.25">
      <c r="A57" s="8012" t="s">
        <v>2173</v>
      </c>
      <c r="B57" s="8012" t="s">
        <v>14</v>
      </c>
      <c r="C57" s="8012" t="s">
        <v>2384</v>
      </c>
      <c r="D57" s="8012" t="s">
        <v>2385</v>
      </c>
      <c r="E57" s="8012" t="s">
        <v>2386</v>
      </c>
      <c r="F57" s="8012" t="s">
        <v>2381</v>
      </c>
      <c r="G57" s="8012" t="s">
        <v>24</v>
      </c>
      <c r="H57" s="8012" t="s">
        <v>24</v>
      </c>
      <c r="I57" s="8012" t="s">
        <v>725</v>
      </c>
    </row>
    <row customHeight="1" ht="11.25">
      <c r="A58" s="8012" t="s">
        <v>2173</v>
      </c>
      <c r="B58" s="8012" t="s">
        <v>14</v>
      </c>
      <c r="C58" s="8012" t="s">
        <v>2387</v>
      </c>
      <c r="D58" s="8012" t="s">
        <v>2388</v>
      </c>
      <c r="E58" s="8012" t="s">
        <v>2389</v>
      </c>
      <c r="F58" s="8012" t="s">
        <v>2390</v>
      </c>
      <c r="G58" s="8012" t="s">
        <v>24</v>
      </c>
      <c r="H58" s="8012" t="s">
        <v>24</v>
      </c>
      <c r="I58" s="8012" t="s">
        <v>725</v>
      </c>
    </row>
    <row customHeight="1" ht="11.25">
      <c r="A59" s="8012" t="s">
        <v>2173</v>
      </c>
      <c r="B59" s="8012" t="s">
        <v>14</v>
      </c>
      <c r="C59" s="8012" t="s">
        <v>2391</v>
      </c>
      <c r="D59" s="8012" t="s">
        <v>2392</v>
      </c>
      <c r="E59" s="8012" t="s">
        <v>2393</v>
      </c>
      <c r="F59" s="8012" t="s">
        <v>2233</v>
      </c>
      <c r="G59" s="8012" t="s">
        <v>24</v>
      </c>
      <c r="H59" s="8012" t="s">
        <v>24</v>
      </c>
      <c r="I59" s="8012" t="s">
        <v>725</v>
      </c>
    </row>
    <row customHeight="1" ht="11.25">
      <c r="A60" s="8012" t="s">
        <v>2173</v>
      </c>
      <c r="B60" s="8012" t="s">
        <v>14</v>
      </c>
      <c r="C60" s="8012" t="s">
        <v>2394</v>
      </c>
      <c r="D60" s="8012" t="s">
        <v>2395</v>
      </c>
      <c r="E60" s="8012" t="s">
        <v>2396</v>
      </c>
      <c r="F60" s="8012" t="s">
        <v>2377</v>
      </c>
      <c r="G60" s="8012" t="s">
        <v>24</v>
      </c>
      <c r="H60" s="8012" t="s">
        <v>24</v>
      </c>
      <c r="I60" s="8012" t="s">
        <v>725</v>
      </c>
    </row>
    <row customHeight="1" ht="11.25">
      <c r="A61" s="8012" t="s">
        <v>2173</v>
      </c>
      <c r="B61" s="8012" t="s">
        <v>14</v>
      </c>
      <c r="C61" s="8012" t="s">
        <v>2397</v>
      </c>
      <c r="D61" s="8012" t="s">
        <v>2398</v>
      </c>
      <c r="E61" s="8012" t="s">
        <v>2399</v>
      </c>
      <c r="F61" s="8012" t="s">
        <v>2312</v>
      </c>
      <c r="G61" s="8012" t="s">
        <v>24</v>
      </c>
      <c r="H61" s="8012" t="s">
        <v>24</v>
      </c>
      <c r="I61" s="8012" t="s">
        <v>725</v>
      </c>
    </row>
    <row customHeight="1" ht="11.25">
      <c r="A62" s="8012" t="s">
        <v>2173</v>
      </c>
      <c r="B62" s="8012" t="s">
        <v>14</v>
      </c>
      <c r="C62" s="8012" t="s">
        <v>2400</v>
      </c>
      <c r="D62" s="8012" t="s">
        <v>2401</v>
      </c>
      <c r="E62" s="8012" t="s">
        <v>2402</v>
      </c>
      <c r="F62" s="8012" t="s">
        <v>2347</v>
      </c>
      <c r="G62" s="8012" t="s">
        <v>24</v>
      </c>
      <c r="H62" s="8012" t="s">
        <v>24</v>
      </c>
      <c r="I62" s="8012" t="s">
        <v>725</v>
      </c>
    </row>
    <row customHeight="1" ht="11.25">
      <c r="A63" s="8012" t="s">
        <v>2173</v>
      </c>
      <c r="B63" s="8012" t="s">
        <v>14</v>
      </c>
      <c r="C63" s="8012" t="s">
        <v>2403</v>
      </c>
      <c r="D63" s="8012" t="s">
        <v>2404</v>
      </c>
      <c r="E63" s="8012" t="s">
        <v>2405</v>
      </c>
      <c r="F63" s="8012" t="s">
        <v>2406</v>
      </c>
      <c r="G63" s="8012" t="s">
        <v>24</v>
      </c>
      <c r="H63" s="8012" t="s">
        <v>24</v>
      </c>
      <c r="I63" s="8012" t="s">
        <v>725</v>
      </c>
    </row>
    <row customHeight="1" ht="11.25">
      <c r="A64" s="8012" t="s">
        <v>2173</v>
      </c>
      <c r="B64" s="8012" t="s">
        <v>14</v>
      </c>
      <c r="C64" s="8012" t="s">
        <v>2407</v>
      </c>
      <c r="D64" s="8012" t="s">
        <v>2408</v>
      </c>
      <c r="E64" s="8012" t="s">
        <v>2409</v>
      </c>
      <c r="F64" s="8012" t="s">
        <v>2185</v>
      </c>
      <c r="G64" s="8012" t="s">
        <v>24</v>
      </c>
      <c r="H64" s="8012" t="s">
        <v>24</v>
      </c>
      <c r="I64" s="8012" t="s">
        <v>725</v>
      </c>
    </row>
    <row customHeight="1" ht="11.25">
      <c r="A65" s="8012" t="s">
        <v>2173</v>
      </c>
      <c r="B65" s="8012" t="s">
        <v>14</v>
      </c>
      <c r="C65" s="8012" t="s">
        <v>2410</v>
      </c>
      <c r="D65" s="8012" t="s">
        <v>2411</v>
      </c>
      <c r="E65" s="8012" t="s">
        <v>2412</v>
      </c>
      <c r="F65" s="8012" t="s">
        <v>2413</v>
      </c>
      <c r="G65" s="8012" t="s">
        <v>24</v>
      </c>
      <c r="H65" s="8012" t="s">
        <v>24</v>
      </c>
      <c r="I65" s="8012" t="s">
        <v>725</v>
      </c>
    </row>
    <row customHeight="1" ht="11.25">
      <c r="A66" s="8012" t="s">
        <v>2173</v>
      </c>
      <c r="B66" s="8012" t="s">
        <v>14</v>
      </c>
      <c r="C66" s="8012" t="s">
        <v>2414</v>
      </c>
      <c r="D66" s="8012" t="s">
        <v>2415</v>
      </c>
      <c r="E66" s="8012" t="s">
        <v>2212</v>
      </c>
      <c r="F66" s="8012" t="s">
        <v>2416</v>
      </c>
      <c r="G66" s="8012" t="s">
        <v>24</v>
      </c>
      <c r="H66" s="8012" t="s">
        <v>24</v>
      </c>
      <c r="I66" s="8012" t="s">
        <v>725</v>
      </c>
    </row>
    <row customHeight="1" ht="11.25">
      <c r="A67" s="8012" t="s">
        <v>2173</v>
      </c>
      <c r="B67" s="8012" t="s">
        <v>14</v>
      </c>
      <c r="C67" s="8012" t="s">
        <v>2417</v>
      </c>
      <c r="D67" s="8012" t="s">
        <v>2418</v>
      </c>
      <c r="E67" s="8012" t="s">
        <v>2419</v>
      </c>
      <c r="F67" s="8012" t="s">
        <v>2209</v>
      </c>
      <c r="G67" s="8012" t="s">
        <v>24</v>
      </c>
      <c r="H67" s="8012" t="s">
        <v>2205</v>
      </c>
      <c r="I67" s="8012" t="s">
        <v>725</v>
      </c>
    </row>
    <row customHeight="1" ht="11.25">
      <c r="A68" s="8012" t="s">
        <v>2173</v>
      </c>
      <c r="B68" s="8012" t="s">
        <v>14</v>
      </c>
      <c r="C68" s="8012" t="s">
        <v>2420</v>
      </c>
      <c r="D68" s="8012" t="s">
        <v>2421</v>
      </c>
      <c r="E68" s="8012" t="s">
        <v>2422</v>
      </c>
      <c r="F68" s="8012" t="s">
        <v>2342</v>
      </c>
      <c r="G68" s="8012" t="s">
        <v>24</v>
      </c>
      <c r="H68" s="8012" t="s">
        <v>24</v>
      </c>
      <c r="I68" s="8012" t="s">
        <v>725</v>
      </c>
    </row>
    <row customHeight="1" ht="11.25">
      <c r="A69" s="8012" t="s">
        <v>2173</v>
      </c>
      <c r="B69" s="8012" t="s">
        <v>14</v>
      </c>
      <c r="C69" s="8012" t="s">
        <v>2423</v>
      </c>
      <c r="D69" s="8012" t="s">
        <v>2424</v>
      </c>
      <c r="E69" s="8012" t="s">
        <v>2425</v>
      </c>
      <c r="F69" s="8012" t="s">
        <v>2342</v>
      </c>
      <c r="G69" s="8012" t="s">
        <v>24</v>
      </c>
      <c r="H69" s="8012" t="s">
        <v>24</v>
      </c>
      <c r="I69" s="8012" t="s">
        <v>725</v>
      </c>
    </row>
    <row customHeight="1" ht="11.25">
      <c r="A70" s="8012" t="s">
        <v>2173</v>
      </c>
      <c r="B70" s="8012" t="s">
        <v>14</v>
      </c>
      <c r="C70" s="8012" t="s">
        <v>2426</v>
      </c>
      <c r="D70" s="8012" t="s">
        <v>2427</v>
      </c>
      <c r="E70" s="8012" t="s">
        <v>2428</v>
      </c>
      <c r="F70" s="8012" t="s">
        <v>2381</v>
      </c>
      <c r="G70" s="8012" t="s">
        <v>24</v>
      </c>
      <c r="H70" s="8012" t="s">
        <v>24</v>
      </c>
      <c r="I70" s="8012" t="s">
        <v>725</v>
      </c>
    </row>
    <row customHeight="1" ht="11.25">
      <c r="A71" s="8012" t="s">
        <v>2173</v>
      </c>
      <c r="B71" s="8012" t="s">
        <v>14</v>
      </c>
      <c r="C71" s="8012" t="s">
        <v>2429</v>
      </c>
      <c r="D71" s="8012" t="s">
        <v>2430</v>
      </c>
      <c r="E71" s="8012" t="s">
        <v>2431</v>
      </c>
      <c r="F71" s="8012" t="s">
        <v>2233</v>
      </c>
      <c r="G71" s="8012" t="s">
        <v>24</v>
      </c>
      <c r="H71" s="8012" t="s">
        <v>24</v>
      </c>
      <c r="I71" s="8012" t="s">
        <v>725</v>
      </c>
    </row>
    <row customHeight="1" ht="11.25">
      <c r="A72" s="8012" t="s">
        <v>2173</v>
      </c>
      <c r="B72" s="8012" t="s">
        <v>14</v>
      </c>
      <c r="C72" s="8012" t="s">
        <v>2432</v>
      </c>
      <c r="D72" s="8012" t="s">
        <v>2433</v>
      </c>
      <c r="E72" s="8012" t="s">
        <v>2290</v>
      </c>
      <c r="F72" s="8012" t="s">
        <v>2434</v>
      </c>
      <c r="G72" s="8012" t="s">
        <v>24</v>
      </c>
      <c r="H72" s="8012" t="s">
        <v>24</v>
      </c>
      <c r="I72" s="8012" t="s">
        <v>725</v>
      </c>
    </row>
    <row customHeight="1" ht="11.25">
      <c r="A73" s="8012" t="s">
        <v>2173</v>
      </c>
      <c r="B73" s="8012" t="s">
        <v>14</v>
      </c>
      <c r="C73" s="8012" t="s">
        <v>2435</v>
      </c>
      <c r="D73" s="8012" t="s">
        <v>2436</v>
      </c>
      <c r="E73" s="8012" t="s">
        <v>2437</v>
      </c>
      <c r="F73" s="8012" t="s">
        <v>2381</v>
      </c>
      <c r="G73" s="8012" t="s">
        <v>24</v>
      </c>
      <c r="H73" s="8012" t="s">
        <v>24</v>
      </c>
      <c r="I73" s="8012" t="s">
        <v>725</v>
      </c>
    </row>
    <row customHeight="1" ht="11.25">
      <c r="A74" s="8012" t="s">
        <v>2173</v>
      </c>
      <c r="B74" s="8012" t="s">
        <v>14</v>
      </c>
      <c r="C74" s="8012" t="s">
        <v>2438</v>
      </c>
      <c r="D74" s="8012" t="s">
        <v>2439</v>
      </c>
      <c r="E74" s="8012" t="s">
        <v>2440</v>
      </c>
      <c r="F74" s="8012" t="s">
        <v>2215</v>
      </c>
      <c r="G74" s="8012" t="s">
        <v>24</v>
      </c>
      <c r="H74" s="8012" t="s">
        <v>24</v>
      </c>
      <c r="I74" s="8012" t="s">
        <v>725</v>
      </c>
    </row>
    <row customHeight="1" ht="11.25">
      <c r="A75" s="8012" t="s">
        <v>2173</v>
      </c>
      <c r="B75" s="8012" t="s">
        <v>14</v>
      </c>
      <c r="C75" s="8012" t="s">
        <v>2441</v>
      </c>
      <c r="D75" s="8012" t="s">
        <v>2442</v>
      </c>
      <c r="E75" s="8012" t="s">
        <v>2443</v>
      </c>
      <c r="F75" s="8012" t="s">
        <v>2185</v>
      </c>
      <c r="G75" s="8012" t="s">
        <v>24</v>
      </c>
      <c r="H75" s="8012" t="s">
        <v>24</v>
      </c>
      <c r="I75" s="8012" t="s">
        <v>725</v>
      </c>
    </row>
    <row customHeight="1" ht="11.25">
      <c r="A76" s="8012" t="s">
        <v>2173</v>
      </c>
      <c r="B76" s="8012" t="s">
        <v>14</v>
      </c>
      <c r="C76" s="8012" t="s">
        <v>2444</v>
      </c>
      <c r="D76" s="8012" t="s">
        <v>2445</v>
      </c>
      <c r="E76" s="8012" t="s">
        <v>2446</v>
      </c>
      <c r="F76" s="8012" t="s">
        <v>2194</v>
      </c>
      <c r="G76" s="8012" t="s">
        <v>24</v>
      </c>
      <c r="H76" s="8012" t="s">
        <v>2447</v>
      </c>
      <c r="I76" s="8012" t="s">
        <v>725</v>
      </c>
    </row>
    <row customHeight="1" ht="11.25">
      <c r="A77" s="8012" t="s">
        <v>2173</v>
      </c>
      <c r="B77" s="8012" t="s">
        <v>14</v>
      </c>
      <c r="C77" s="8012" t="s">
        <v>2448</v>
      </c>
      <c r="D77" s="8012" t="s">
        <v>2449</v>
      </c>
      <c r="E77" s="8012" t="s">
        <v>2450</v>
      </c>
      <c r="F77" s="8012" t="s">
        <v>2190</v>
      </c>
      <c r="G77" s="8012" t="s">
        <v>24</v>
      </c>
      <c r="H77" s="8012" t="s">
        <v>24</v>
      </c>
      <c r="I77" s="8012" t="s">
        <v>725</v>
      </c>
    </row>
    <row customHeight="1" ht="11.25">
      <c r="A78" s="8012" t="s">
        <v>2173</v>
      </c>
      <c r="B78" s="8012" t="s">
        <v>14</v>
      </c>
      <c r="C78" s="8012" t="s">
        <v>2451</v>
      </c>
      <c r="D78" s="8012" t="s">
        <v>2452</v>
      </c>
      <c r="E78" s="8012" t="s">
        <v>2453</v>
      </c>
      <c r="F78" s="8012" t="s">
        <v>2347</v>
      </c>
      <c r="G78" s="8012" t="s">
        <v>24</v>
      </c>
      <c r="H78" s="8012" t="s">
        <v>24</v>
      </c>
      <c r="I78" s="8012" t="s">
        <v>725</v>
      </c>
    </row>
    <row customHeight="1" ht="11.25">
      <c r="A79" s="8012" t="s">
        <v>2173</v>
      </c>
      <c r="B79" s="8012" t="s">
        <v>14</v>
      </c>
      <c r="C79" s="8012" t="s">
        <v>2454</v>
      </c>
      <c r="D79" s="8012" t="s">
        <v>2455</v>
      </c>
      <c r="E79" s="8012" t="s">
        <v>2456</v>
      </c>
      <c r="F79" s="8012" t="s">
        <v>2457</v>
      </c>
      <c r="G79" s="8012" t="s">
        <v>2458</v>
      </c>
      <c r="H79" s="8012" t="s">
        <v>24</v>
      </c>
      <c r="I79" s="8012" t="s">
        <v>725</v>
      </c>
    </row>
    <row customHeight="1" ht="11.25">
      <c r="A80" s="8012" t="s">
        <v>2173</v>
      </c>
      <c r="B80" s="8012" t="s">
        <v>14</v>
      </c>
      <c r="C80" s="8012" t="s">
        <v>2459</v>
      </c>
      <c r="D80" s="8012" t="s">
        <v>2460</v>
      </c>
      <c r="E80" s="8012" t="s">
        <v>2461</v>
      </c>
      <c r="F80" s="8012" t="s">
        <v>2462</v>
      </c>
      <c r="G80" s="8012" t="s">
        <v>24</v>
      </c>
      <c r="H80" s="8012" t="s">
        <v>2463</v>
      </c>
      <c r="I80" s="8012" t="s">
        <v>725</v>
      </c>
    </row>
    <row customHeight="1" ht="11.25">
      <c r="A81" s="8012" t="s">
        <v>2173</v>
      </c>
      <c r="B81" s="8012" t="s">
        <v>14</v>
      </c>
      <c r="C81" s="8012" t="s">
        <v>2464</v>
      </c>
      <c r="D81" s="8012" t="s">
        <v>2465</v>
      </c>
      <c r="E81" s="8012" t="s">
        <v>2466</v>
      </c>
      <c r="F81" s="8012" t="s">
        <v>2190</v>
      </c>
      <c r="G81" s="8012" t="s">
        <v>2467</v>
      </c>
      <c r="H81" s="8012" t="s">
        <v>24</v>
      </c>
      <c r="I81" s="8012" t="s">
        <v>725</v>
      </c>
    </row>
    <row customHeight="1" ht="11.25">
      <c r="A82" s="8012" t="s">
        <v>2173</v>
      </c>
      <c r="B82" s="8012" t="s">
        <v>14</v>
      </c>
      <c r="C82" s="8012" t="s">
        <v>2468</v>
      </c>
      <c r="D82" s="8012" t="s">
        <v>2469</v>
      </c>
      <c r="E82" s="8012" t="s">
        <v>2470</v>
      </c>
      <c r="F82" s="8012" t="s">
        <v>2471</v>
      </c>
      <c r="G82" s="8012" t="s">
        <v>24</v>
      </c>
      <c r="H82" s="8012" t="s">
        <v>2472</v>
      </c>
      <c r="I82" s="8012" t="s">
        <v>725</v>
      </c>
    </row>
    <row customHeight="1" ht="11.25">
      <c r="A83" s="8012" t="s">
        <v>2173</v>
      </c>
      <c r="B83" s="8012" t="s">
        <v>14</v>
      </c>
      <c r="C83" s="8012" t="s">
        <v>2473</v>
      </c>
      <c r="D83" s="8012" t="s">
        <v>2474</v>
      </c>
      <c r="E83" s="8012" t="s">
        <v>2475</v>
      </c>
      <c r="F83" s="8012" t="s">
        <v>2471</v>
      </c>
      <c r="G83" s="8012" t="s">
        <v>24</v>
      </c>
      <c r="H83" s="8012" t="s">
        <v>2476</v>
      </c>
      <c r="I83" s="8012" t="s">
        <v>725</v>
      </c>
    </row>
    <row customHeight="1" ht="11.25">
      <c r="A84" s="8012" t="s">
        <v>2173</v>
      </c>
      <c r="B84" s="8012" t="s">
        <v>14</v>
      </c>
      <c r="C84" s="8012" t="s">
        <v>2477</v>
      </c>
      <c r="D84" s="8012" t="s">
        <v>2478</v>
      </c>
      <c r="E84" s="8012" t="s">
        <v>2479</v>
      </c>
      <c r="F84" s="8012" t="s">
        <v>2261</v>
      </c>
      <c r="G84" s="8012" t="s">
        <v>24</v>
      </c>
      <c r="H84" s="8012" t="s">
        <v>2480</v>
      </c>
      <c r="I84" s="8012" t="s">
        <v>725</v>
      </c>
    </row>
    <row customHeight="1" ht="11.25">
      <c r="A85" s="8012" t="s">
        <v>2173</v>
      </c>
      <c r="B85" s="8012" t="s">
        <v>14</v>
      </c>
      <c r="C85" s="8012" t="s">
        <v>2481</v>
      </c>
      <c r="D85" s="8012" t="s">
        <v>2482</v>
      </c>
      <c r="E85" s="8012" t="s">
        <v>2483</v>
      </c>
      <c r="F85" s="8012" t="s">
        <v>2261</v>
      </c>
      <c r="G85" s="8012" t="s">
        <v>24</v>
      </c>
      <c r="H85" s="8012" t="s">
        <v>2484</v>
      </c>
      <c r="I85" s="8012" t="s">
        <v>725</v>
      </c>
    </row>
    <row customHeight="1" ht="11.25">
      <c r="A86" s="8012" t="s">
        <v>2173</v>
      </c>
      <c r="B86" s="8012" t="s">
        <v>14</v>
      </c>
      <c r="C86" s="8012" t="s">
        <v>2485</v>
      </c>
      <c r="D86" s="8012" t="s">
        <v>2486</v>
      </c>
      <c r="E86" s="8012" t="s">
        <v>2487</v>
      </c>
      <c r="F86" s="8012" t="s">
        <v>2190</v>
      </c>
      <c r="G86" s="8012" t="s">
        <v>2488</v>
      </c>
      <c r="H86" s="8012" t="s">
        <v>24</v>
      </c>
      <c r="I86" s="8012" t="s">
        <v>725</v>
      </c>
    </row>
    <row customHeight="1" ht="11.25">
      <c r="A87" s="8012" t="s">
        <v>2173</v>
      </c>
      <c r="B87" s="8012" t="s">
        <v>14</v>
      </c>
      <c r="C87" s="8012" t="s">
        <v>2489</v>
      </c>
      <c r="D87" s="8012" t="s">
        <v>2490</v>
      </c>
      <c r="E87" s="8012" t="s">
        <v>2491</v>
      </c>
      <c r="F87" s="8012" t="s">
        <v>2233</v>
      </c>
      <c r="G87" s="8012" t="s">
        <v>24</v>
      </c>
      <c r="H87" s="8012" t="s">
        <v>2492</v>
      </c>
      <c r="I87" s="8012" t="s">
        <v>725</v>
      </c>
    </row>
    <row customHeight="1" ht="11.25">
      <c r="A88" s="8012" t="s">
        <v>2173</v>
      </c>
      <c r="B88" s="8012" t="s">
        <v>14</v>
      </c>
      <c r="C88" s="8012" t="s">
        <v>2493</v>
      </c>
      <c r="D88" s="8012" t="s">
        <v>2494</v>
      </c>
      <c r="E88" s="8012" t="s">
        <v>2495</v>
      </c>
      <c r="F88" s="8012" t="s">
        <v>2496</v>
      </c>
      <c r="G88" s="8012" t="s">
        <v>24</v>
      </c>
      <c r="H88" s="8012" t="s">
        <v>24</v>
      </c>
      <c r="I88" s="8012" t="s">
        <v>725</v>
      </c>
    </row>
    <row customHeight="1" ht="11.25">
      <c r="A89" s="8012" t="s">
        <v>2173</v>
      </c>
      <c r="B89" s="8012" t="s">
        <v>14</v>
      </c>
      <c r="C89" s="8012" t="s">
        <v>2497</v>
      </c>
      <c r="D89" s="8012" t="s">
        <v>2498</v>
      </c>
      <c r="E89" s="8012" t="s">
        <v>2499</v>
      </c>
      <c r="F89" s="8012" t="s">
        <v>2457</v>
      </c>
      <c r="G89" s="8012" t="s">
        <v>24</v>
      </c>
      <c r="H89" s="8012" t="s">
        <v>24</v>
      </c>
      <c r="I89" s="8012" t="s">
        <v>725</v>
      </c>
    </row>
    <row customHeight="1" ht="11.25">
      <c r="A90" s="8012" t="s">
        <v>2173</v>
      </c>
      <c r="B90" s="8012" t="s">
        <v>14</v>
      </c>
      <c r="C90" s="8012" t="s">
        <v>2500</v>
      </c>
      <c r="D90" s="8012" t="s">
        <v>2501</v>
      </c>
      <c r="E90" s="8012" t="s">
        <v>2502</v>
      </c>
      <c r="F90" s="8012" t="s">
        <v>2185</v>
      </c>
      <c r="G90" s="8012" t="s">
        <v>24</v>
      </c>
      <c r="H90" s="8012" t="s">
        <v>24</v>
      </c>
      <c r="I90" s="8012" t="s">
        <v>725</v>
      </c>
    </row>
    <row customHeight="1" ht="11.25">
      <c r="A91" s="8012" t="s">
        <v>2173</v>
      </c>
      <c r="B91" s="8012" t="s">
        <v>14</v>
      </c>
      <c r="C91" s="8012" t="s">
        <v>2503</v>
      </c>
      <c r="D91" s="8012" t="s">
        <v>2504</v>
      </c>
      <c r="E91" s="8012" t="s">
        <v>2505</v>
      </c>
      <c r="F91" s="8012" t="s">
        <v>2457</v>
      </c>
      <c r="G91" s="8012" t="s">
        <v>24</v>
      </c>
      <c r="H91" s="8012" t="s">
        <v>24</v>
      </c>
      <c r="I91" s="8012" t="s">
        <v>725</v>
      </c>
    </row>
    <row customHeight="1" ht="11.25">
      <c r="A92" s="8012" t="s">
        <v>2173</v>
      </c>
      <c r="B92" s="8012" t="s">
        <v>14</v>
      </c>
      <c r="C92" s="8012" t="s">
        <v>2506</v>
      </c>
      <c r="D92" s="8012" t="s">
        <v>2507</v>
      </c>
      <c r="E92" s="8012" t="s">
        <v>2508</v>
      </c>
      <c r="F92" s="8012" t="s">
        <v>2332</v>
      </c>
      <c r="G92" s="8012" t="s">
        <v>2509</v>
      </c>
      <c r="H92" s="8012" t="s">
        <v>24</v>
      </c>
      <c r="I92" s="8012" t="s">
        <v>725</v>
      </c>
    </row>
    <row customHeight="1" ht="11.25">
      <c r="A93" s="8012" t="s">
        <v>2173</v>
      </c>
      <c r="B93" s="8012" t="s">
        <v>14</v>
      </c>
      <c r="C93" s="8012" t="s">
        <v>2510</v>
      </c>
      <c r="D93" s="8012" t="s">
        <v>2511</v>
      </c>
      <c r="E93" s="8012" t="s">
        <v>2512</v>
      </c>
      <c r="F93" s="8012" t="s">
        <v>2513</v>
      </c>
      <c r="G93" s="8012" t="s">
        <v>2514</v>
      </c>
      <c r="H93" s="8012" t="s">
        <v>24</v>
      </c>
      <c r="I93" s="8012" t="s">
        <v>725</v>
      </c>
    </row>
    <row customHeight="1" ht="11.25">
      <c r="A94" s="8012" t="s">
        <v>2173</v>
      </c>
      <c r="B94" s="8012" t="s">
        <v>14</v>
      </c>
      <c r="C94" s="8012" t="s">
        <v>2515</v>
      </c>
      <c r="D94" s="8012" t="s">
        <v>2516</v>
      </c>
      <c r="E94" s="8012" t="s">
        <v>2517</v>
      </c>
      <c r="F94" s="8012" t="s">
        <v>2457</v>
      </c>
      <c r="G94" s="8012" t="s">
        <v>24</v>
      </c>
      <c r="H94" s="8012" t="s">
        <v>24</v>
      </c>
      <c r="I94" s="8012" t="s">
        <v>725</v>
      </c>
    </row>
    <row customHeight="1" ht="11.25">
      <c r="A95" s="8012" t="s">
        <v>2173</v>
      </c>
      <c r="B95" s="8012" t="s">
        <v>14</v>
      </c>
      <c r="C95" s="8012" t="s">
        <v>2518</v>
      </c>
      <c r="D95" s="8012" t="s">
        <v>2519</v>
      </c>
      <c r="E95" s="8012" t="s">
        <v>2520</v>
      </c>
      <c r="F95" s="8012" t="s">
        <v>2457</v>
      </c>
      <c r="G95" s="8012" t="s">
        <v>24</v>
      </c>
      <c r="H95" s="8012" t="s">
        <v>24</v>
      </c>
      <c r="I95" s="8012" t="s">
        <v>725</v>
      </c>
    </row>
    <row customHeight="1" ht="11.25">
      <c r="A96" s="8012" t="s">
        <v>2173</v>
      </c>
      <c r="B96" s="8012" t="s">
        <v>14</v>
      </c>
      <c r="C96" s="8012" t="s">
        <v>2521</v>
      </c>
      <c r="D96" s="8012" t="s">
        <v>2522</v>
      </c>
      <c r="E96" s="8012" t="s">
        <v>2523</v>
      </c>
      <c r="F96" s="8012" t="s">
        <v>2190</v>
      </c>
      <c r="G96" s="8012" t="s">
        <v>24</v>
      </c>
      <c r="H96" s="8012" t="s">
        <v>2524</v>
      </c>
      <c r="I96" s="8012" t="s">
        <v>725</v>
      </c>
    </row>
    <row customHeight="1" ht="11.25">
      <c r="A97" s="8012" t="s">
        <v>2173</v>
      </c>
      <c r="B97" s="8012" t="s">
        <v>14</v>
      </c>
      <c r="C97" s="8012" t="s">
        <v>2525</v>
      </c>
      <c r="D97" s="8012" t="s">
        <v>2526</v>
      </c>
      <c r="E97" s="8012" t="s">
        <v>2527</v>
      </c>
      <c r="F97" s="8012" t="s">
        <v>2528</v>
      </c>
      <c r="G97" s="8012" t="s">
        <v>2529</v>
      </c>
      <c r="H97" s="8012" t="s">
        <v>2530</v>
      </c>
      <c r="I97" s="8012" t="s">
        <v>725</v>
      </c>
    </row>
    <row customHeight="1" ht="11.25">
      <c r="A98" s="8012" t="s">
        <v>2173</v>
      </c>
      <c r="B98" s="8012" t="s">
        <v>14</v>
      </c>
      <c r="C98" s="8012" t="s">
        <v>2531</v>
      </c>
      <c r="D98" s="8012" t="s">
        <v>46</v>
      </c>
      <c r="E98" s="8012" t="s">
        <v>49</v>
      </c>
      <c r="F98" s="8012" t="s">
        <v>51</v>
      </c>
      <c r="G98" s="8012" t="s">
        <v>24</v>
      </c>
      <c r="H98" s="8012" t="s">
        <v>24</v>
      </c>
      <c r="I98" s="8012" t="s">
        <v>725</v>
      </c>
    </row>
    <row customHeight="1" ht="11.25">
      <c r="A99" s="8012" t="s">
        <v>2173</v>
      </c>
      <c r="B99" s="8012" t="s">
        <v>14</v>
      </c>
      <c r="C99" s="8012" t="s">
        <v>2532</v>
      </c>
      <c r="D99" s="8012" t="s">
        <v>2533</v>
      </c>
      <c r="E99" s="8012" t="s">
        <v>2534</v>
      </c>
      <c r="F99" s="8012" t="s">
        <v>2190</v>
      </c>
      <c r="G99" s="8012" t="s">
        <v>24</v>
      </c>
      <c r="H99" s="8012" t="s">
        <v>2535</v>
      </c>
      <c r="I99" s="8012" t="s">
        <v>725</v>
      </c>
    </row>
    <row customHeight="1" ht="11.25">
      <c r="A100" s="8012" t="s">
        <v>2173</v>
      </c>
      <c r="B100" s="8012" t="s">
        <v>14</v>
      </c>
      <c r="C100" s="8012" t="s">
        <v>2536</v>
      </c>
      <c r="D100" s="8012" t="s">
        <v>2537</v>
      </c>
      <c r="E100" s="8012" t="s">
        <v>2538</v>
      </c>
      <c r="F100" s="8012" t="s">
        <v>2347</v>
      </c>
      <c r="G100" s="8012" t="s">
        <v>2539</v>
      </c>
      <c r="H100" s="8012" t="s">
        <v>2205</v>
      </c>
      <c r="I100" s="8012" t="s">
        <v>725</v>
      </c>
    </row>
    <row customHeight="1" ht="11.25">
      <c r="A101" s="8012" t="s">
        <v>2173</v>
      </c>
      <c r="B101" s="8012" t="s">
        <v>14</v>
      </c>
      <c r="C101" s="8012" t="s">
        <v>2540</v>
      </c>
      <c r="D101" s="8012" t="s">
        <v>2541</v>
      </c>
      <c r="E101" s="8012" t="s">
        <v>2542</v>
      </c>
      <c r="F101" s="8012" t="s">
        <v>2181</v>
      </c>
      <c r="G101" s="8012" t="s">
        <v>24</v>
      </c>
      <c r="H101" s="8012" t="s">
        <v>24</v>
      </c>
      <c r="I101" s="8012" t="s">
        <v>725</v>
      </c>
    </row>
    <row customHeight="1" ht="11.25">
      <c r="A102" s="8012" t="s">
        <v>2173</v>
      </c>
      <c r="B102" s="8012" t="s">
        <v>14</v>
      </c>
      <c r="C102" s="8012" t="s">
        <v>2543</v>
      </c>
      <c r="D102" s="8012" t="s">
        <v>2544</v>
      </c>
      <c r="E102" s="8012" t="s">
        <v>2545</v>
      </c>
      <c r="F102" s="8012" t="s">
        <v>2312</v>
      </c>
      <c r="G102" s="8012" t="s">
        <v>2546</v>
      </c>
      <c r="H102" s="8012" t="s">
        <v>2547</v>
      </c>
      <c r="I102" s="8012" t="s">
        <v>725</v>
      </c>
    </row>
    <row customHeight="1" ht="11.25">
      <c r="A103" s="8012" t="s">
        <v>2173</v>
      </c>
      <c r="B103" s="8012" t="s">
        <v>14</v>
      </c>
      <c r="C103" s="8012" t="s">
        <v>2548</v>
      </c>
      <c r="D103" s="8012" t="s">
        <v>2549</v>
      </c>
      <c r="E103" s="8012" t="s">
        <v>2550</v>
      </c>
      <c r="F103" s="8012" t="s">
        <v>2233</v>
      </c>
      <c r="G103" s="8012" t="s">
        <v>24</v>
      </c>
      <c r="H103" s="8012" t="s">
        <v>24</v>
      </c>
      <c r="I103" s="8012" t="s">
        <v>725</v>
      </c>
    </row>
    <row customHeight="1" ht="11.25">
      <c r="A104" s="8012" t="s">
        <v>2173</v>
      </c>
      <c r="B104" s="8012" t="s">
        <v>14</v>
      </c>
      <c r="C104" s="8012" t="s">
        <v>2551</v>
      </c>
      <c r="D104" s="8012" t="s">
        <v>2552</v>
      </c>
      <c r="E104" s="8012" t="s">
        <v>2553</v>
      </c>
      <c r="F104" s="8012" t="s">
        <v>2233</v>
      </c>
      <c r="G104" s="8012" t="s">
        <v>24</v>
      </c>
      <c r="H104" s="8012" t="s">
        <v>2554</v>
      </c>
      <c r="I104" s="8012" t="s">
        <v>725</v>
      </c>
    </row>
    <row customHeight="1" ht="11.25">
      <c r="A105" s="8012" t="s">
        <v>2173</v>
      </c>
      <c r="B105" s="8012" t="s">
        <v>14</v>
      </c>
      <c r="C105" s="8012" t="s">
        <v>2555</v>
      </c>
      <c r="D105" s="8012" t="s">
        <v>2556</v>
      </c>
      <c r="E105" s="8012" t="s">
        <v>2557</v>
      </c>
      <c r="F105" s="8012" t="s">
        <v>2190</v>
      </c>
      <c r="G105" s="8012" t="s">
        <v>24</v>
      </c>
      <c r="H105" s="8012" t="s">
        <v>24</v>
      </c>
      <c r="I105" s="8012" t="s">
        <v>725</v>
      </c>
    </row>
    <row customHeight="1" ht="11.25">
      <c r="A106" s="8012" t="s">
        <v>2173</v>
      </c>
      <c r="B106" s="8012" t="s">
        <v>14</v>
      </c>
      <c r="C106" s="8012" t="s">
        <v>2558</v>
      </c>
      <c r="D106" s="8012" t="s">
        <v>2559</v>
      </c>
      <c r="E106" s="8012" t="s">
        <v>2560</v>
      </c>
      <c r="F106" s="8012" t="s">
        <v>2561</v>
      </c>
      <c r="G106" s="8012" t="s">
        <v>2562</v>
      </c>
      <c r="H106" s="8012" t="s">
        <v>24</v>
      </c>
      <c r="I106" s="8012" t="s">
        <v>725</v>
      </c>
    </row>
    <row customHeight="1" ht="11.25">
      <c r="A107" s="8012" t="s">
        <v>2173</v>
      </c>
      <c r="B107" s="8012" t="s">
        <v>14</v>
      </c>
      <c r="C107" s="8012" t="s">
        <v>2563</v>
      </c>
      <c r="D107" s="8012" t="s">
        <v>2564</v>
      </c>
      <c r="E107" s="8012" t="s">
        <v>2565</v>
      </c>
      <c r="F107" s="8012" t="s">
        <v>2177</v>
      </c>
      <c r="G107" s="8012" t="s">
        <v>2566</v>
      </c>
      <c r="H107" s="8012" t="s">
        <v>24</v>
      </c>
      <c r="I107" s="8012" t="s">
        <v>725</v>
      </c>
    </row>
    <row customHeight="1" ht="11.25">
      <c r="A108" s="8012" t="s">
        <v>2173</v>
      </c>
      <c r="B108" s="8012" t="s">
        <v>14</v>
      </c>
      <c r="C108" s="8012" t="s">
        <v>2567</v>
      </c>
      <c r="D108" s="8012" t="s">
        <v>2568</v>
      </c>
      <c r="E108" s="8012" t="s">
        <v>2569</v>
      </c>
      <c r="F108" s="8012" t="s">
        <v>51</v>
      </c>
      <c r="G108" s="8012" t="s">
        <v>24</v>
      </c>
      <c r="H108" s="8012" t="s">
        <v>24</v>
      </c>
      <c r="I108" s="8012" t="s">
        <v>725</v>
      </c>
    </row>
    <row customHeight="1" ht="11.25">
      <c r="A109" s="8012" t="s">
        <v>2173</v>
      </c>
      <c r="B109" s="8012" t="s">
        <v>14</v>
      </c>
      <c r="C109" s="8012" t="s">
        <v>2570</v>
      </c>
      <c r="D109" s="8012" t="s">
        <v>2571</v>
      </c>
      <c r="E109" s="8012" t="s">
        <v>2572</v>
      </c>
      <c r="F109" s="8012" t="s">
        <v>2342</v>
      </c>
      <c r="G109" s="8012" t="s">
        <v>2573</v>
      </c>
      <c r="H109" s="8012" t="s">
        <v>24</v>
      </c>
      <c r="I109" s="8012" t="s">
        <v>725</v>
      </c>
    </row>
    <row customHeight="1" ht="11.25">
      <c r="A110" s="8012" t="s">
        <v>2173</v>
      </c>
      <c r="B110" s="8012" t="s">
        <v>14</v>
      </c>
      <c r="C110" s="8012" t="s">
        <v>2574</v>
      </c>
      <c r="D110" s="8012" t="s">
        <v>2575</v>
      </c>
      <c r="E110" s="8012" t="s">
        <v>2576</v>
      </c>
      <c r="F110" s="8012" t="s">
        <v>2577</v>
      </c>
      <c r="G110" s="8012" t="s">
        <v>2578</v>
      </c>
      <c r="H110" s="8012" t="s">
        <v>2579</v>
      </c>
      <c r="I110" s="8012" t="s">
        <v>725</v>
      </c>
    </row>
    <row customHeight="1" ht="11.25">
      <c r="A111" s="8012" t="s">
        <v>2173</v>
      </c>
      <c r="B111" s="8012" t="s">
        <v>14</v>
      </c>
      <c r="C111" s="8012" t="s">
        <v>2580</v>
      </c>
      <c r="D111" s="8012" t="s">
        <v>2581</v>
      </c>
      <c r="E111" s="8012" t="s">
        <v>2582</v>
      </c>
      <c r="F111" s="8012" t="s">
        <v>2583</v>
      </c>
      <c r="G111" s="8012" t="s">
        <v>24</v>
      </c>
      <c r="H111" s="8012" t="s">
        <v>2584</v>
      </c>
      <c r="I111" s="8012" t="s">
        <v>725</v>
      </c>
    </row>
    <row customHeight="1" ht="11.25">
      <c r="A112" s="8012" t="s">
        <v>2173</v>
      </c>
      <c r="B112" s="8012" t="s">
        <v>14</v>
      </c>
      <c r="C112" s="8012" t="s">
        <v>2585</v>
      </c>
      <c r="D112" s="8012" t="s">
        <v>2586</v>
      </c>
      <c r="E112" s="8012" t="s">
        <v>2587</v>
      </c>
      <c r="F112" s="8012" t="s">
        <v>2253</v>
      </c>
      <c r="G112" s="8012" t="s">
        <v>24</v>
      </c>
      <c r="H112" s="8012" t="s">
        <v>24</v>
      </c>
      <c r="I112" s="8012" t="s">
        <v>725</v>
      </c>
    </row>
    <row customHeight="1" ht="11.25">
      <c r="A113" s="8012" t="s">
        <v>2173</v>
      </c>
      <c r="B113" s="8012" t="s">
        <v>14</v>
      </c>
      <c r="C113" s="8012" t="s">
        <v>2588</v>
      </c>
      <c r="D113" s="8012" t="s">
        <v>2589</v>
      </c>
      <c r="E113" s="8012" t="s">
        <v>2590</v>
      </c>
      <c r="F113" s="8012" t="s">
        <v>2233</v>
      </c>
      <c r="G113" s="8012" t="s">
        <v>24</v>
      </c>
      <c r="H113" s="8012" t="s">
        <v>24</v>
      </c>
      <c r="I113" s="8012" t="s">
        <v>725</v>
      </c>
    </row>
    <row customHeight="1" ht="11.25">
      <c r="A114" s="8012" t="s">
        <v>2173</v>
      </c>
      <c r="B114" s="8012" t="s">
        <v>14</v>
      </c>
      <c r="C114" s="8012" t="s">
        <v>2591</v>
      </c>
      <c r="D114" s="8012" t="s">
        <v>2592</v>
      </c>
      <c r="E114" s="8012" t="s">
        <v>2593</v>
      </c>
      <c r="F114" s="8012" t="s">
        <v>2594</v>
      </c>
      <c r="G114" s="8012" t="s">
        <v>24</v>
      </c>
      <c r="H114" s="8012" t="s">
        <v>2595</v>
      </c>
      <c r="I114" s="8012" t="s">
        <v>725</v>
      </c>
    </row>
    <row customHeight="1" ht="11.25">
      <c r="A115" s="8012" t="s">
        <v>2173</v>
      </c>
      <c r="B115" s="8012" t="s">
        <v>14</v>
      </c>
      <c r="C115" s="8012" t="s">
        <v>2596</v>
      </c>
      <c r="D115" s="8012" t="s">
        <v>2597</v>
      </c>
      <c r="E115" s="8012" t="s">
        <v>2598</v>
      </c>
      <c r="F115" s="8012" t="s">
        <v>2312</v>
      </c>
      <c r="G115" s="8012" t="s">
        <v>24</v>
      </c>
      <c r="H115" s="8012" t="s">
        <v>24</v>
      </c>
      <c r="I115" s="8012" t="s">
        <v>725</v>
      </c>
    </row>
    <row customHeight="1" ht="11.25">
      <c r="A116" s="8012" t="s">
        <v>2173</v>
      </c>
      <c r="B116" s="8012" t="s">
        <v>14</v>
      </c>
      <c r="C116" s="8012" t="s">
        <v>2599</v>
      </c>
      <c r="D116" s="8012" t="s">
        <v>2600</v>
      </c>
      <c r="E116" s="8012" t="s">
        <v>2601</v>
      </c>
      <c r="F116" s="8012" t="s">
        <v>2602</v>
      </c>
      <c r="G116" s="8012" t="s">
        <v>24</v>
      </c>
      <c r="H116" s="8012" t="s">
        <v>2603</v>
      </c>
      <c r="I116" s="8012" t="s">
        <v>725</v>
      </c>
    </row>
    <row customHeight="1" ht="11.25">
      <c r="A117" s="8012" t="s">
        <v>2173</v>
      </c>
      <c r="B117" s="8012" t="s">
        <v>14</v>
      </c>
      <c r="C117" s="8012" t="s">
        <v>2604</v>
      </c>
      <c r="D117" s="8012" t="s">
        <v>2605</v>
      </c>
      <c r="E117" s="8012" t="s">
        <v>2606</v>
      </c>
      <c r="F117" s="8012" t="s">
        <v>2181</v>
      </c>
      <c r="G117" s="8012" t="s">
        <v>24</v>
      </c>
      <c r="H117" s="8012" t="s">
        <v>2607</v>
      </c>
      <c r="I117" s="8012" t="s">
        <v>725</v>
      </c>
    </row>
    <row customHeight="1" ht="11.25">
      <c r="A118" s="8012" t="s">
        <v>2173</v>
      </c>
      <c r="B118" s="8012" t="s">
        <v>14</v>
      </c>
      <c r="C118" s="8012" t="s">
        <v>2608</v>
      </c>
      <c r="D118" s="8012" t="s">
        <v>2605</v>
      </c>
      <c r="E118" s="8012" t="s">
        <v>2609</v>
      </c>
      <c r="F118" s="8012" t="s">
        <v>2190</v>
      </c>
      <c r="G118" s="8012" t="s">
        <v>24</v>
      </c>
      <c r="H118" s="8012" t="s">
        <v>2610</v>
      </c>
      <c r="I118" s="8012" t="s">
        <v>725</v>
      </c>
    </row>
    <row customHeight="1" ht="11.25">
      <c r="A119" s="8012" t="s">
        <v>2173</v>
      </c>
      <c r="B119" s="8012" t="s">
        <v>14</v>
      </c>
      <c r="C119" s="8012" t="s">
        <v>2611</v>
      </c>
      <c r="D119" s="8012" t="s">
        <v>2612</v>
      </c>
      <c r="E119" s="8012" t="s">
        <v>2613</v>
      </c>
      <c r="F119" s="8012" t="s">
        <v>2190</v>
      </c>
      <c r="G119" s="8012" t="s">
        <v>24</v>
      </c>
      <c r="H119" s="8012" t="s">
        <v>24</v>
      </c>
      <c r="I119" s="8012" t="s">
        <v>725</v>
      </c>
    </row>
    <row customHeight="1" ht="11.25">
      <c r="A120" s="8012" t="s">
        <v>2173</v>
      </c>
      <c r="B120" s="8012" t="s">
        <v>14</v>
      </c>
      <c r="C120" s="8012" t="s">
        <v>2614</v>
      </c>
      <c r="D120" s="8012" t="s">
        <v>2615</v>
      </c>
      <c r="E120" s="8012" t="s">
        <v>2616</v>
      </c>
      <c r="F120" s="8012" t="s">
        <v>2617</v>
      </c>
      <c r="G120" s="8012" t="s">
        <v>24</v>
      </c>
      <c r="H120" s="8012" t="s">
        <v>24</v>
      </c>
      <c r="I120" s="8012" t="s">
        <v>725</v>
      </c>
    </row>
    <row customHeight="1" ht="11.25">
      <c r="A121" s="8012" t="s">
        <v>2173</v>
      </c>
      <c r="B121" s="8012" t="s">
        <v>14</v>
      </c>
      <c r="C121" s="8012" t="s">
        <v>2618</v>
      </c>
      <c r="D121" s="8012" t="s">
        <v>2619</v>
      </c>
      <c r="E121" s="8012" t="s">
        <v>2620</v>
      </c>
      <c r="F121" s="8012" t="s">
        <v>2312</v>
      </c>
      <c r="G121" s="8012" t="s">
        <v>2254</v>
      </c>
      <c r="H121" s="8012" t="s">
        <v>24</v>
      </c>
      <c r="I121" s="8012" t="s">
        <v>725</v>
      </c>
    </row>
    <row customHeight="1" ht="11.25">
      <c r="A122" s="8012" t="s">
        <v>2173</v>
      </c>
      <c r="B122" s="8012" t="s">
        <v>14</v>
      </c>
      <c r="C122" s="8012" t="s">
        <v>2621</v>
      </c>
      <c r="D122" s="8012" t="s">
        <v>2622</v>
      </c>
      <c r="E122" s="8012" t="s">
        <v>2623</v>
      </c>
      <c r="F122" s="8012" t="s">
        <v>2594</v>
      </c>
      <c r="G122" s="8012" t="s">
        <v>24</v>
      </c>
      <c r="H122" s="8012" t="s">
        <v>24</v>
      </c>
      <c r="I122" s="8012" t="s">
        <v>725</v>
      </c>
    </row>
    <row customHeight="1" ht="11.25">
      <c r="A123" s="8012" t="s">
        <v>2173</v>
      </c>
      <c r="B123" s="8012" t="s">
        <v>14</v>
      </c>
      <c r="C123" s="8012" t="s">
        <v>2624</v>
      </c>
      <c r="D123" s="8012" t="s">
        <v>2625</v>
      </c>
      <c r="E123" s="8012" t="s">
        <v>2626</v>
      </c>
      <c r="F123" s="8012" t="s">
        <v>2233</v>
      </c>
      <c r="G123" s="8012" t="s">
        <v>24</v>
      </c>
      <c r="H123" s="8012" t="s">
        <v>2178</v>
      </c>
      <c r="I123" s="8012" t="s">
        <v>725</v>
      </c>
    </row>
    <row customHeight="1" ht="11.25">
      <c r="A124" s="8012" t="s">
        <v>2173</v>
      </c>
      <c r="B124" s="8012" t="s">
        <v>14</v>
      </c>
      <c r="C124" s="8012" t="s">
        <v>2627</v>
      </c>
      <c r="D124" s="8012" t="s">
        <v>2628</v>
      </c>
      <c r="E124" s="8012" t="s">
        <v>2629</v>
      </c>
      <c r="F124" s="8012" t="s">
        <v>2233</v>
      </c>
      <c r="G124" s="8012" t="s">
        <v>24</v>
      </c>
      <c r="H124" s="8012" t="s">
        <v>2630</v>
      </c>
      <c r="I124" s="8012" t="s">
        <v>725</v>
      </c>
    </row>
    <row customHeight="1" ht="11.25">
      <c r="A125" s="8012" t="s">
        <v>2173</v>
      </c>
      <c r="B125" s="8012" t="s">
        <v>14</v>
      </c>
      <c r="C125" s="8012" t="s">
        <v>2631</v>
      </c>
      <c r="D125" s="8012" t="s">
        <v>2632</v>
      </c>
      <c r="E125" s="8012" t="s">
        <v>2633</v>
      </c>
      <c r="F125" s="8012" t="s">
        <v>2261</v>
      </c>
      <c r="G125" s="8012" t="s">
        <v>24</v>
      </c>
      <c r="H125" s="8012" t="s">
        <v>24</v>
      </c>
      <c r="I125" s="8012" t="s">
        <v>725</v>
      </c>
    </row>
    <row customHeight="1" ht="11.25">
      <c r="A126" s="8012" t="s">
        <v>2173</v>
      </c>
      <c r="B126" s="8012" t="s">
        <v>14</v>
      </c>
      <c r="C126" s="8012" t="s">
        <v>2634</v>
      </c>
      <c r="D126" s="8012" t="s">
        <v>2635</v>
      </c>
      <c r="E126" s="8012" t="s">
        <v>2636</v>
      </c>
      <c r="F126" s="8012" t="s">
        <v>2637</v>
      </c>
      <c r="G126" s="8012" t="s">
        <v>24</v>
      </c>
      <c r="H126" s="8012" t="s">
        <v>24</v>
      </c>
      <c r="I126" s="8012" t="s">
        <v>725</v>
      </c>
    </row>
    <row customHeight="1" ht="11.25">
      <c r="A127" s="8012" t="s">
        <v>2173</v>
      </c>
      <c r="B127" s="8012" t="s">
        <v>14</v>
      </c>
      <c r="C127" s="8012" t="s">
        <v>2638</v>
      </c>
      <c r="D127" s="8012" t="s">
        <v>2639</v>
      </c>
      <c r="E127" s="8012" t="s">
        <v>2640</v>
      </c>
      <c r="F127" s="8012" t="s">
        <v>2185</v>
      </c>
      <c r="G127" s="8012" t="s">
        <v>24</v>
      </c>
      <c r="H127" s="8012" t="s">
        <v>24</v>
      </c>
      <c r="I127" s="8012" t="s">
        <v>725</v>
      </c>
    </row>
    <row customHeight="1" ht="11.25">
      <c r="A128" s="8012" t="s">
        <v>2173</v>
      </c>
      <c r="B128" s="8012" t="s">
        <v>14</v>
      </c>
      <c r="C128" s="8012" t="s">
        <v>2641</v>
      </c>
      <c r="D128" s="8012" t="s">
        <v>2642</v>
      </c>
      <c r="E128" s="8012" t="s">
        <v>2643</v>
      </c>
      <c r="F128" s="8012" t="s">
        <v>2190</v>
      </c>
      <c r="G128" s="8012" t="s">
        <v>24</v>
      </c>
      <c r="H128" s="8012" t="s">
        <v>24</v>
      </c>
      <c r="I128" s="8012" t="s">
        <v>725</v>
      </c>
    </row>
    <row customHeight="1" ht="11.25">
      <c r="A129" s="8012" t="s">
        <v>2173</v>
      </c>
      <c r="B129" s="8012" t="s">
        <v>14</v>
      </c>
      <c r="C129" s="8012" t="s">
        <v>2644</v>
      </c>
      <c r="D129" s="8012" t="s">
        <v>2645</v>
      </c>
      <c r="E129" s="8012" t="s">
        <v>2646</v>
      </c>
      <c r="F129" s="8012" t="s">
        <v>2377</v>
      </c>
      <c r="G129" s="8012" t="s">
        <v>24</v>
      </c>
      <c r="H129" s="8012" t="s">
        <v>2647</v>
      </c>
      <c r="I129" s="8012" t="s">
        <v>725</v>
      </c>
    </row>
    <row customHeight="1" ht="11.25">
      <c r="A130" s="8012" t="s">
        <v>2173</v>
      </c>
      <c r="B130" s="8012" t="s">
        <v>14</v>
      </c>
      <c r="C130" s="8012" t="s">
        <v>2648</v>
      </c>
      <c r="D130" s="8012" t="s">
        <v>2649</v>
      </c>
      <c r="E130" s="8012" t="s">
        <v>2650</v>
      </c>
      <c r="F130" s="8012" t="s">
        <v>2185</v>
      </c>
      <c r="G130" s="8012" t="s">
        <v>24</v>
      </c>
      <c r="H130" s="8012" t="s">
        <v>2651</v>
      </c>
      <c r="I130" s="8012" t="s">
        <v>725</v>
      </c>
    </row>
    <row customHeight="1" ht="11.25">
      <c r="A131" s="8012" t="s">
        <v>2173</v>
      </c>
      <c r="B131" s="8012" t="s">
        <v>14</v>
      </c>
      <c r="C131" s="8012" t="s">
        <v>2652</v>
      </c>
      <c r="D131" s="8012" t="s">
        <v>2653</v>
      </c>
      <c r="E131" s="8012" t="s">
        <v>2654</v>
      </c>
      <c r="F131" s="8012" t="s">
        <v>2261</v>
      </c>
      <c r="G131" s="8012" t="s">
        <v>2655</v>
      </c>
      <c r="H131" s="8012" t="s">
        <v>24</v>
      </c>
      <c r="I131" s="8012" t="s">
        <v>725</v>
      </c>
    </row>
    <row customHeight="1" ht="11.25">
      <c r="A132" s="8012" t="s">
        <v>2173</v>
      </c>
      <c r="B132" s="8012" t="s">
        <v>14</v>
      </c>
      <c r="C132" s="8012" t="s">
        <v>2656</v>
      </c>
      <c r="D132" s="8012" t="s">
        <v>2657</v>
      </c>
      <c r="E132" s="8012" t="s">
        <v>2658</v>
      </c>
      <c r="F132" s="8012" t="s">
        <v>2471</v>
      </c>
      <c r="G132" s="8012" t="s">
        <v>24</v>
      </c>
      <c r="H132" s="8012" t="s">
        <v>24</v>
      </c>
      <c r="I132" s="8012" t="s">
        <v>725</v>
      </c>
    </row>
    <row customHeight="1" ht="11.25">
      <c r="A133" s="8012" t="s">
        <v>2173</v>
      </c>
      <c r="B133" s="8012" t="s">
        <v>14</v>
      </c>
      <c r="C133" s="8012" t="s">
        <v>2659</v>
      </c>
      <c r="D133" s="8012" t="s">
        <v>2660</v>
      </c>
      <c r="E133" s="8012" t="s">
        <v>2661</v>
      </c>
      <c r="F133" s="8012" t="s">
        <v>2181</v>
      </c>
      <c r="G133" s="8012" t="s">
        <v>24</v>
      </c>
      <c r="H133" s="8012" t="s">
        <v>24</v>
      </c>
      <c r="I133" s="8012" t="s">
        <v>725</v>
      </c>
    </row>
    <row customHeight="1" ht="11.25">
      <c r="A134" s="8012" t="s">
        <v>2173</v>
      </c>
      <c r="B134" s="8012" t="s">
        <v>14</v>
      </c>
      <c r="C134" s="8012" t="s">
        <v>2662</v>
      </c>
      <c r="D134" s="8012" t="s">
        <v>2663</v>
      </c>
      <c r="E134" s="8012" t="s">
        <v>2664</v>
      </c>
      <c r="F134" s="8012" t="s">
        <v>2312</v>
      </c>
      <c r="G134" s="8012" t="s">
        <v>24</v>
      </c>
      <c r="H134" s="8012" t="s">
        <v>2205</v>
      </c>
      <c r="I134" s="8012" t="s">
        <v>725</v>
      </c>
    </row>
    <row customHeight="1" ht="11.25">
      <c r="A135" s="8012" t="s">
        <v>2173</v>
      </c>
      <c r="B135" s="8012" t="s">
        <v>14</v>
      </c>
      <c r="C135" s="8012" t="s">
        <v>2665</v>
      </c>
      <c r="D135" s="8012" t="s">
        <v>2666</v>
      </c>
      <c r="E135" s="8012" t="s">
        <v>2197</v>
      </c>
      <c r="F135" s="8012" t="s">
        <v>2667</v>
      </c>
      <c r="G135" s="8012" t="s">
        <v>24</v>
      </c>
      <c r="H135" s="8012" t="s">
        <v>2480</v>
      </c>
      <c r="I135" s="8012" t="s">
        <v>725</v>
      </c>
    </row>
    <row customHeight="1" ht="11.25">
      <c r="A136" s="8012" t="s">
        <v>2173</v>
      </c>
      <c r="B136" s="8012" t="s">
        <v>14</v>
      </c>
      <c r="C136" s="8012" t="s">
        <v>2668</v>
      </c>
      <c r="D136" s="8012" t="s">
        <v>2669</v>
      </c>
      <c r="E136" s="8012" t="s">
        <v>2670</v>
      </c>
      <c r="F136" s="8012" t="s">
        <v>2209</v>
      </c>
      <c r="G136" s="8012" t="s">
        <v>24</v>
      </c>
      <c r="H136" s="8012" t="s">
        <v>24</v>
      </c>
      <c r="I136" s="8012" t="s">
        <v>725</v>
      </c>
    </row>
    <row customHeight="1" ht="11.25">
      <c r="A137" s="8012" t="s">
        <v>2173</v>
      </c>
      <c r="B137" s="8012" t="s">
        <v>14</v>
      </c>
      <c r="C137" s="8012" t="s">
        <v>2671</v>
      </c>
      <c r="D137" s="8012" t="s">
        <v>2672</v>
      </c>
      <c r="E137" s="8012" t="s">
        <v>2673</v>
      </c>
      <c r="F137" s="8012" t="s">
        <v>2190</v>
      </c>
      <c r="G137" s="8012" t="s">
        <v>24</v>
      </c>
      <c r="H137" s="8012" t="s">
        <v>24</v>
      </c>
      <c r="I137" s="8012" t="s">
        <v>725</v>
      </c>
    </row>
    <row customHeight="1" ht="11.25">
      <c r="A138" s="8012" t="s">
        <v>2173</v>
      </c>
      <c r="B138" s="8012" t="s">
        <v>14</v>
      </c>
      <c r="C138" s="8012" t="s">
        <v>2674</v>
      </c>
      <c r="D138" s="8012" t="s">
        <v>2675</v>
      </c>
      <c r="E138" s="8012" t="s">
        <v>2676</v>
      </c>
      <c r="F138" s="8012" t="s">
        <v>2677</v>
      </c>
      <c r="G138" s="8012" t="s">
        <v>2678</v>
      </c>
      <c r="H138" s="8012" t="s">
        <v>24</v>
      </c>
      <c r="I138" s="8012" t="s">
        <v>725</v>
      </c>
    </row>
    <row customHeight="1" ht="11.25">
      <c r="A139" s="8012" t="s">
        <v>2173</v>
      </c>
      <c r="B139" s="8012" t="s">
        <v>14</v>
      </c>
      <c r="C139" s="8012" t="s">
        <v>2679</v>
      </c>
      <c r="D139" s="8012" t="s">
        <v>2680</v>
      </c>
      <c r="E139" s="8012" t="s">
        <v>2681</v>
      </c>
      <c r="F139" s="8012" t="s">
        <v>2637</v>
      </c>
      <c r="G139" s="8012" t="s">
        <v>2682</v>
      </c>
      <c r="H139" s="8012" t="s">
        <v>24</v>
      </c>
      <c r="I139" s="8012" t="s">
        <v>725</v>
      </c>
    </row>
    <row customHeight="1" ht="11.25">
      <c r="A140" s="8012" t="s">
        <v>2173</v>
      </c>
      <c r="B140" s="8012" t="s">
        <v>14</v>
      </c>
      <c r="C140" s="8012" t="s">
        <v>2683</v>
      </c>
      <c r="D140" s="8012" t="s">
        <v>2684</v>
      </c>
      <c r="E140" s="8012" t="s">
        <v>2685</v>
      </c>
      <c r="F140" s="8012" t="s">
        <v>2185</v>
      </c>
      <c r="G140" s="8012" t="s">
        <v>2686</v>
      </c>
      <c r="H140" s="8012" t="s">
        <v>24</v>
      </c>
      <c r="I140" s="8012" t="s">
        <v>725</v>
      </c>
    </row>
    <row customHeight="1" ht="11.25">
      <c r="A141" s="8012" t="s">
        <v>2173</v>
      </c>
      <c r="B141" s="8012" t="s">
        <v>14</v>
      </c>
      <c r="C141" s="8012" t="s">
        <v>2687</v>
      </c>
      <c r="D141" s="8012" t="s">
        <v>2688</v>
      </c>
      <c r="E141" s="8012" t="s">
        <v>2689</v>
      </c>
      <c r="F141" s="8012" t="s">
        <v>2690</v>
      </c>
      <c r="G141" s="8012" t="s">
        <v>24</v>
      </c>
      <c r="H141" s="8012" t="s">
        <v>2691</v>
      </c>
      <c r="I141" s="8012" t="s">
        <v>725</v>
      </c>
    </row>
    <row customHeight="1" ht="11.25">
      <c r="A142" s="8012" t="s">
        <v>2173</v>
      </c>
      <c r="B142" s="8012" t="s">
        <v>14</v>
      </c>
      <c r="C142" s="8012" t="s">
        <v>2692</v>
      </c>
      <c r="D142" s="8012" t="s">
        <v>2693</v>
      </c>
      <c r="E142" s="8012" t="s">
        <v>2694</v>
      </c>
      <c r="F142" s="8012" t="s">
        <v>2695</v>
      </c>
      <c r="G142" s="8012" t="s">
        <v>24</v>
      </c>
      <c r="H142" s="8012" t="s">
        <v>24</v>
      </c>
      <c r="I142" s="8012" t="s">
        <v>725</v>
      </c>
    </row>
    <row customHeight="1" ht="11.25">
      <c r="A143" s="8012" t="s">
        <v>2173</v>
      </c>
      <c r="B143" s="8012" t="s">
        <v>14</v>
      </c>
      <c r="C143" s="8012" t="s">
        <v>2696</v>
      </c>
      <c r="D143" s="8012" t="s">
        <v>2697</v>
      </c>
      <c r="E143" s="8012" t="s">
        <v>2698</v>
      </c>
      <c r="F143" s="8012" t="s">
        <v>2181</v>
      </c>
      <c r="G143" s="8012" t="s">
        <v>24</v>
      </c>
      <c r="H143" s="8012" t="s">
        <v>24</v>
      </c>
      <c r="I143" s="8012" t="s">
        <v>725</v>
      </c>
    </row>
    <row customHeight="1" ht="11.25">
      <c r="A144" s="8012" t="s">
        <v>2173</v>
      </c>
      <c r="B144" s="8012" t="s">
        <v>14</v>
      </c>
      <c r="C144" s="8012" t="s">
        <v>2699</v>
      </c>
      <c r="D144" s="8012" t="s">
        <v>2700</v>
      </c>
      <c r="E144" s="8012" t="s">
        <v>2290</v>
      </c>
      <c r="F144" s="8012" t="s">
        <v>2701</v>
      </c>
      <c r="G144" s="8012" t="s">
        <v>24</v>
      </c>
      <c r="H144" s="8012" t="s">
        <v>24</v>
      </c>
      <c r="I144" s="8012" t="s">
        <v>725</v>
      </c>
    </row>
    <row customHeight="1" ht="11.25">
      <c r="A145" s="8012" t="s">
        <v>2173</v>
      </c>
      <c r="B145" s="8012" t="s">
        <v>14</v>
      </c>
      <c r="C145" s="8012" t="s">
        <v>2702</v>
      </c>
      <c r="D145" s="8012" t="s">
        <v>2703</v>
      </c>
      <c r="E145" s="8012" t="s">
        <v>2704</v>
      </c>
      <c r="F145" s="8012" t="s">
        <v>2233</v>
      </c>
      <c r="G145" s="8012" t="s">
        <v>24</v>
      </c>
      <c r="H145" s="8012" t="s">
        <v>2265</v>
      </c>
      <c r="I145" s="8012" t="s">
        <v>725</v>
      </c>
    </row>
    <row customHeight="1" ht="11.25">
      <c r="A146" s="8012" t="s">
        <v>2173</v>
      </c>
      <c r="B146" s="8012" t="s">
        <v>14</v>
      </c>
      <c r="C146" s="8012" t="s">
        <v>2705</v>
      </c>
      <c r="D146" s="8012" t="s">
        <v>2706</v>
      </c>
      <c r="E146" s="8012" t="s">
        <v>2707</v>
      </c>
      <c r="F146" s="8012" t="s">
        <v>2342</v>
      </c>
      <c r="G146" s="8012" t="s">
        <v>24</v>
      </c>
      <c r="H146" s="8012" t="s">
        <v>24</v>
      </c>
      <c r="I146" s="8012" t="s">
        <v>725</v>
      </c>
    </row>
    <row customHeight="1" ht="11.25">
      <c r="A147" s="8012" t="s">
        <v>2173</v>
      </c>
      <c r="B147" s="8012" t="s">
        <v>14</v>
      </c>
      <c r="C147" s="8012" t="s">
        <v>2708</v>
      </c>
      <c r="D147" s="8012" t="s">
        <v>2709</v>
      </c>
      <c r="E147" s="8012" t="s">
        <v>2710</v>
      </c>
      <c r="F147" s="8012" t="s">
        <v>2711</v>
      </c>
      <c r="G147" s="8012" t="s">
        <v>2712</v>
      </c>
      <c r="H147" s="8012" t="s">
        <v>24</v>
      </c>
      <c r="I147" s="8012" t="s">
        <v>725</v>
      </c>
    </row>
    <row customHeight="1" ht="11.25">
      <c r="A148" s="8012" t="s">
        <v>2173</v>
      </c>
      <c r="B148" s="8012" t="s">
        <v>14</v>
      </c>
      <c r="C148" s="8012" t="s">
        <v>2713</v>
      </c>
      <c r="D148" s="8012" t="s">
        <v>2714</v>
      </c>
      <c r="E148" s="8012" t="s">
        <v>2715</v>
      </c>
      <c r="F148" s="8012" t="s">
        <v>2342</v>
      </c>
      <c r="G148" s="8012" t="s">
        <v>24</v>
      </c>
      <c r="H148" s="8012" t="s">
        <v>24</v>
      </c>
      <c r="I148" s="8012" t="s">
        <v>725</v>
      </c>
    </row>
    <row customHeight="1" ht="11.25">
      <c r="A149" s="8012" t="s">
        <v>2173</v>
      </c>
      <c r="B149" s="8012" t="s">
        <v>14</v>
      </c>
      <c r="C149" s="8012" t="s">
        <v>2716</v>
      </c>
      <c r="D149" s="8012" t="s">
        <v>2717</v>
      </c>
      <c r="E149" s="8012" t="s">
        <v>2718</v>
      </c>
      <c r="F149" s="8012" t="s">
        <v>2233</v>
      </c>
      <c r="G149" s="8012" t="s">
        <v>24</v>
      </c>
      <c r="H149" s="8012" t="s">
        <v>2719</v>
      </c>
      <c r="I149" s="8012" t="s">
        <v>725</v>
      </c>
    </row>
    <row customHeight="1" ht="11.25">
      <c r="A150" s="8012" t="s">
        <v>2173</v>
      </c>
      <c r="B150" s="8012" t="s">
        <v>14</v>
      </c>
      <c r="C150" s="8012" t="s">
        <v>2720</v>
      </c>
      <c r="D150" s="8012" t="s">
        <v>2721</v>
      </c>
      <c r="E150" s="8012" t="s">
        <v>2722</v>
      </c>
      <c r="F150" s="8012" t="s">
        <v>2347</v>
      </c>
      <c r="G150" s="8012" t="s">
        <v>24</v>
      </c>
      <c r="H150" s="8012" t="s">
        <v>24</v>
      </c>
      <c r="I150" s="8012" t="s">
        <v>725</v>
      </c>
    </row>
    <row customHeight="1" ht="11.25">
      <c r="A151" s="8012" t="s">
        <v>2173</v>
      </c>
      <c r="B151" s="8012" t="s">
        <v>14</v>
      </c>
      <c r="C151" s="8012" t="s">
        <v>2723</v>
      </c>
      <c r="D151" s="8012" t="s">
        <v>2724</v>
      </c>
      <c r="E151" s="8012" t="s">
        <v>2725</v>
      </c>
      <c r="F151" s="8012" t="s">
        <v>2332</v>
      </c>
      <c r="G151" s="8012" t="s">
        <v>24</v>
      </c>
      <c r="H151" s="8012" t="s">
        <v>24</v>
      </c>
      <c r="I151" s="8012" t="s">
        <v>725</v>
      </c>
    </row>
    <row customHeight="1" ht="11.25">
      <c r="A152" s="8012" t="s">
        <v>2173</v>
      </c>
      <c r="B152" s="8012" t="s">
        <v>14</v>
      </c>
      <c r="C152" s="8012" t="s">
        <v>2726</v>
      </c>
      <c r="D152" s="8012" t="s">
        <v>2727</v>
      </c>
      <c r="E152" s="8012" t="s">
        <v>2728</v>
      </c>
      <c r="F152" s="8012" t="s">
        <v>2342</v>
      </c>
      <c r="G152" s="8012" t="s">
        <v>24</v>
      </c>
      <c r="H152" s="8012" t="s">
        <v>2178</v>
      </c>
      <c r="I152" s="8012" t="s">
        <v>725</v>
      </c>
    </row>
    <row customHeight="1" ht="11.25">
      <c r="A153" s="8012" t="s">
        <v>2173</v>
      </c>
      <c r="B153" s="8012" t="s">
        <v>14</v>
      </c>
      <c r="C153" s="8012" t="s">
        <v>2729</v>
      </c>
      <c r="D153" s="8012" t="s">
        <v>2730</v>
      </c>
      <c r="E153" s="8012" t="s">
        <v>2731</v>
      </c>
      <c r="F153" s="8012" t="s">
        <v>2233</v>
      </c>
      <c r="G153" s="8012" t="s">
        <v>24</v>
      </c>
      <c r="H153" s="8012" t="s">
        <v>2354</v>
      </c>
      <c r="I153" s="8012" t="s">
        <v>725</v>
      </c>
    </row>
    <row customHeight="1" ht="11.25">
      <c r="A154" s="8012" t="s">
        <v>2173</v>
      </c>
      <c r="B154" s="8012" t="s">
        <v>14</v>
      </c>
      <c r="C154" s="8012" t="s">
        <v>2732</v>
      </c>
      <c r="D154" s="8012" t="s">
        <v>2733</v>
      </c>
      <c r="E154" s="8012" t="s">
        <v>2734</v>
      </c>
      <c r="F154" s="8012" t="s">
        <v>2365</v>
      </c>
      <c r="G154" s="8012" t="s">
        <v>24</v>
      </c>
      <c r="H154" s="8012" t="s">
        <v>2735</v>
      </c>
      <c r="I154" s="8012" t="s">
        <v>725</v>
      </c>
    </row>
    <row customHeight="1" ht="11.25">
      <c r="A155" s="8012" t="s">
        <v>2173</v>
      </c>
      <c r="B155" s="8012" t="s">
        <v>14</v>
      </c>
      <c r="C155" s="8012" t="s">
        <v>2736</v>
      </c>
      <c r="D155" s="8012" t="s">
        <v>2737</v>
      </c>
      <c r="E155" s="8012" t="s">
        <v>2738</v>
      </c>
      <c r="F155" s="8012" t="s">
        <v>2194</v>
      </c>
      <c r="G155" s="8012" t="s">
        <v>24</v>
      </c>
      <c r="H155" s="8012" t="s">
        <v>24</v>
      </c>
      <c r="I155" s="8012" t="s">
        <v>725</v>
      </c>
    </row>
    <row customHeight="1" ht="11.25">
      <c r="A156" s="8012" t="s">
        <v>2173</v>
      </c>
      <c r="B156" s="8012" t="s">
        <v>14</v>
      </c>
      <c r="C156" s="8012" t="s">
        <v>2739</v>
      </c>
      <c r="D156" s="8012" t="s">
        <v>2740</v>
      </c>
      <c r="E156" s="8012" t="s">
        <v>2741</v>
      </c>
      <c r="F156" s="8012" t="s">
        <v>2365</v>
      </c>
      <c r="G156" s="8012" t="s">
        <v>24</v>
      </c>
      <c r="H156" s="8012" t="s">
        <v>24</v>
      </c>
      <c r="I156" s="8012" t="s">
        <v>725</v>
      </c>
    </row>
    <row customHeight="1" ht="11.25">
      <c r="A157" s="8012" t="s">
        <v>2173</v>
      </c>
      <c r="B157" s="8012" t="s">
        <v>14</v>
      </c>
      <c r="C157" s="8012" t="s">
        <v>2742</v>
      </c>
      <c r="D157" s="8012" t="s">
        <v>2743</v>
      </c>
      <c r="E157" s="8012" t="s">
        <v>2744</v>
      </c>
      <c r="F157" s="8012" t="s">
        <v>2253</v>
      </c>
      <c r="G157" s="8012" t="s">
        <v>24</v>
      </c>
      <c r="H157" s="8012" t="s">
        <v>24</v>
      </c>
      <c r="I157" s="8012" t="s">
        <v>725</v>
      </c>
    </row>
    <row customHeight="1" ht="11.25">
      <c r="A158" s="8012" t="s">
        <v>2173</v>
      </c>
      <c r="B158" s="8012" t="s">
        <v>14</v>
      </c>
      <c r="C158" s="8012" t="s">
        <v>2745</v>
      </c>
      <c r="D158" s="8012" t="s">
        <v>2746</v>
      </c>
      <c r="E158" s="8012" t="s">
        <v>2747</v>
      </c>
      <c r="F158" s="8012" t="s">
        <v>2233</v>
      </c>
      <c r="G158" s="8012" t="s">
        <v>24</v>
      </c>
      <c r="H158" s="8012" t="s">
        <v>24</v>
      </c>
      <c r="I158" s="8012" t="s">
        <v>725</v>
      </c>
    </row>
    <row customHeight="1" ht="11.25">
      <c r="A159" s="8012" t="s">
        <v>2173</v>
      </c>
      <c r="B159" s="8012" t="s">
        <v>14</v>
      </c>
      <c r="C159" s="8012" t="s">
        <v>2748</v>
      </c>
      <c r="D159" s="8012" t="s">
        <v>2749</v>
      </c>
      <c r="E159" s="8012" t="s">
        <v>2750</v>
      </c>
      <c r="F159" s="8012" t="s">
        <v>2347</v>
      </c>
      <c r="G159" s="8012" t="s">
        <v>24</v>
      </c>
      <c r="H159" s="8012" t="s">
        <v>24</v>
      </c>
      <c r="I159" s="8012" t="s">
        <v>725</v>
      </c>
    </row>
    <row customHeight="1" ht="11.25">
      <c r="A160" s="8012" t="s">
        <v>2173</v>
      </c>
      <c r="B160" s="8012" t="s">
        <v>14</v>
      </c>
      <c r="C160" s="8012" t="s">
        <v>2751</v>
      </c>
      <c r="D160" s="8012" t="s">
        <v>2752</v>
      </c>
      <c r="E160" s="8012" t="s">
        <v>2753</v>
      </c>
      <c r="F160" s="8012" t="s">
        <v>2233</v>
      </c>
      <c r="G160" s="8012" t="s">
        <v>24</v>
      </c>
      <c r="H160" s="8012" t="s">
        <v>24</v>
      </c>
      <c r="I160" s="8012" t="s">
        <v>725</v>
      </c>
    </row>
    <row customHeight="1" ht="11.25">
      <c r="A161" s="8012" t="s">
        <v>2173</v>
      </c>
      <c r="B161" s="8012" t="s">
        <v>14</v>
      </c>
      <c r="C161" s="8012" t="s">
        <v>2754</v>
      </c>
      <c r="D161" s="8012" t="s">
        <v>2755</v>
      </c>
      <c r="E161" s="8012" t="s">
        <v>2756</v>
      </c>
      <c r="F161" s="8012" t="s">
        <v>2233</v>
      </c>
      <c r="G161" s="8012" t="s">
        <v>24</v>
      </c>
      <c r="H161" s="8012" t="s">
        <v>24</v>
      </c>
      <c r="I161" s="8012" t="s">
        <v>725</v>
      </c>
    </row>
    <row customHeight="1" ht="11.25">
      <c r="A162" s="8012" t="s">
        <v>2173</v>
      </c>
      <c r="B162" s="8012" t="s">
        <v>14</v>
      </c>
      <c r="C162" s="8012" t="s">
        <v>2757</v>
      </c>
      <c r="D162" s="8012" t="s">
        <v>2758</v>
      </c>
      <c r="E162" s="8012" t="s">
        <v>2759</v>
      </c>
      <c r="F162" s="8012" t="s">
        <v>2342</v>
      </c>
      <c r="G162" s="8012" t="s">
        <v>24</v>
      </c>
      <c r="H162" s="8012" t="s">
        <v>24</v>
      </c>
      <c r="I162" s="8012" t="s">
        <v>725</v>
      </c>
    </row>
    <row customHeight="1" ht="11.25">
      <c r="A163" s="8012" t="s">
        <v>2173</v>
      </c>
      <c r="B163" s="8012" t="s">
        <v>14</v>
      </c>
      <c r="C163" s="8012" t="s">
        <v>2760</v>
      </c>
      <c r="D163" s="8012" t="s">
        <v>2761</v>
      </c>
      <c r="E163" s="8012" t="s">
        <v>2762</v>
      </c>
      <c r="F163" s="8012" t="s">
        <v>2763</v>
      </c>
      <c r="G163" s="8012" t="s">
        <v>24</v>
      </c>
      <c r="H163" s="8012" t="s">
        <v>24</v>
      </c>
      <c r="I163" s="8012" t="s">
        <v>725</v>
      </c>
    </row>
    <row customHeight="1" ht="11.25">
      <c r="A164" s="8012" t="s">
        <v>2173</v>
      </c>
      <c r="B164" s="8012" t="s">
        <v>14</v>
      </c>
      <c r="C164" s="8012" t="s">
        <v>2764</v>
      </c>
      <c r="D164" s="8012" t="s">
        <v>2765</v>
      </c>
      <c r="E164" s="8012" t="s">
        <v>2766</v>
      </c>
      <c r="F164" s="8012" t="s">
        <v>2513</v>
      </c>
      <c r="G164" s="8012" t="s">
        <v>24</v>
      </c>
      <c r="H164" s="8012" t="s">
        <v>2178</v>
      </c>
      <c r="I164" s="8012" t="s">
        <v>725</v>
      </c>
    </row>
    <row customHeight="1" ht="11.25">
      <c r="A165" s="8012" t="s">
        <v>2173</v>
      </c>
      <c r="B165" s="8012" t="s">
        <v>14</v>
      </c>
      <c r="C165" s="8012" t="s">
        <v>2767</v>
      </c>
      <c r="D165" s="8012" t="s">
        <v>2768</v>
      </c>
      <c r="E165" s="8012" t="s">
        <v>2769</v>
      </c>
      <c r="F165" s="8012" t="s">
        <v>2770</v>
      </c>
      <c r="G165" s="8012" t="s">
        <v>24</v>
      </c>
      <c r="H165" s="8012" t="s">
        <v>24</v>
      </c>
      <c r="I165" s="8012" t="s">
        <v>725</v>
      </c>
    </row>
    <row customHeight="1" ht="11.25">
      <c r="A166" s="8012" t="s">
        <v>2173</v>
      </c>
      <c r="B166" s="8012" t="s">
        <v>14</v>
      </c>
      <c r="C166" s="8012" t="s">
        <v>2771</v>
      </c>
      <c r="D166" s="8012" t="s">
        <v>2772</v>
      </c>
      <c r="E166" s="8012" t="s">
        <v>2773</v>
      </c>
      <c r="F166" s="8012" t="s">
        <v>2177</v>
      </c>
      <c r="G166" s="8012" t="s">
        <v>24</v>
      </c>
      <c r="H166" s="8012" t="s">
        <v>24</v>
      </c>
      <c r="I166" s="8012" t="s">
        <v>725</v>
      </c>
    </row>
    <row customHeight="1" ht="11.25">
      <c r="A167" s="8012" t="s">
        <v>2173</v>
      </c>
      <c r="B167" s="8012" t="s">
        <v>14</v>
      </c>
      <c r="C167" s="8012" t="s">
        <v>2774</v>
      </c>
      <c r="D167" s="8012" t="s">
        <v>2775</v>
      </c>
      <c r="E167" s="8012" t="s">
        <v>2776</v>
      </c>
      <c r="F167" s="8012" t="s">
        <v>2229</v>
      </c>
      <c r="G167" s="8012" t="s">
        <v>24</v>
      </c>
      <c r="H167" s="8012" t="s">
        <v>24</v>
      </c>
      <c r="I167" s="8012" t="s">
        <v>725</v>
      </c>
    </row>
    <row customHeight="1" ht="11.25">
      <c r="A168" s="8012" t="s">
        <v>2173</v>
      </c>
      <c r="B168" s="8012" t="s">
        <v>14</v>
      </c>
      <c r="C168" s="8012" t="s">
        <v>24</v>
      </c>
      <c r="D168" s="8012" t="s">
        <v>2179</v>
      </c>
      <c r="E168" s="8012" t="s">
        <v>2180</v>
      </c>
      <c r="F168" s="8012" t="s">
        <v>2181</v>
      </c>
      <c r="G168" s="8012" t="s">
        <v>24</v>
      </c>
      <c r="H168" s="8012" t="s">
        <v>24</v>
      </c>
      <c r="I168" s="8012" t="s">
        <v>812</v>
      </c>
    </row>
    <row customHeight="1" ht="11.25">
      <c r="A169" s="8012" t="s">
        <v>2173</v>
      </c>
      <c r="B169" s="8012" t="s">
        <v>14</v>
      </c>
      <c r="C169" s="8012" t="s">
        <v>2195</v>
      </c>
      <c r="D169" s="8012" t="s">
        <v>2196</v>
      </c>
      <c r="E169" s="8012" t="s">
        <v>2197</v>
      </c>
      <c r="F169" s="8012" t="s">
        <v>2198</v>
      </c>
      <c r="G169" s="8012" t="s">
        <v>24</v>
      </c>
      <c r="H169" s="8012" t="s">
        <v>2199</v>
      </c>
      <c r="I169" s="8012" t="s">
        <v>812</v>
      </c>
    </row>
    <row customHeight="1" ht="11.25">
      <c r="A170" s="8012" t="s">
        <v>2173</v>
      </c>
      <c r="B170" s="8012" t="s">
        <v>14</v>
      </c>
      <c r="C170" s="8012" t="s">
        <v>2206</v>
      </c>
      <c r="D170" s="8012" t="s">
        <v>2207</v>
      </c>
      <c r="E170" s="8012" t="s">
        <v>2208</v>
      </c>
      <c r="F170" s="8012" t="s">
        <v>2209</v>
      </c>
      <c r="G170" s="8012" t="s">
        <v>24</v>
      </c>
      <c r="H170" s="8012" t="s">
        <v>24</v>
      </c>
      <c r="I170" s="8012" t="s">
        <v>812</v>
      </c>
    </row>
    <row customHeight="1" ht="11.25">
      <c r="A171" s="8012" t="s">
        <v>2173</v>
      </c>
      <c r="B171" s="8012" t="s">
        <v>14</v>
      </c>
      <c r="C171" s="8012" t="s">
        <v>2210</v>
      </c>
      <c r="D171" s="8012" t="s">
        <v>2211</v>
      </c>
      <c r="E171" s="8012" t="s">
        <v>2212</v>
      </c>
      <c r="F171" s="8012" t="s">
        <v>2213</v>
      </c>
      <c r="G171" s="8012" t="s">
        <v>24</v>
      </c>
      <c r="H171" s="8012" t="s">
        <v>24</v>
      </c>
      <c r="I171" s="8012" t="s">
        <v>812</v>
      </c>
    </row>
    <row customHeight="1" ht="11.25">
      <c r="A172" s="8012" t="s">
        <v>2173</v>
      </c>
      <c r="B172" s="8012" t="s">
        <v>14</v>
      </c>
      <c r="C172" s="8012" t="s">
        <v>2217</v>
      </c>
      <c r="D172" s="8012" t="s">
        <v>2218</v>
      </c>
      <c r="E172" s="8012" t="s">
        <v>2212</v>
      </c>
      <c r="F172" s="8012" t="s">
        <v>2219</v>
      </c>
      <c r="G172" s="8012" t="s">
        <v>24</v>
      </c>
      <c r="H172" s="8012" t="s">
        <v>24</v>
      </c>
      <c r="I172" s="8012" t="s">
        <v>812</v>
      </c>
    </row>
    <row customHeight="1" ht="11.25">
      <c r="A173" s="8012" t="s">
        <v>2173</v>
      </c>
      <c r="B173" s="8012" t="s">
        <v>14</v>
      </c>
      <c r="C173" s="8012" t="s">
        <v>2220</v>
      </c>
      <c r="D173" s="8012" t="s">
        <v>2221</v>
      </c>
      <c r="E173" s="8012" t="s">
        <v>2212</v>
      </c>
      <c r="F173" s="8012" t="s">
        <v>2222</v>
      </c>
      <c r="G173" s="8012" t="s">
        <v>24</v>
      </c>
      <c r="H173" s="8012" t="s">
        <v>24</v>
      </c>
      <c r="I173" s="8012" t="s">
        <v>812</v>
      </c>
    </row>
    <row customHeight="1" ht="11.25">
      <c r="A174" s="8012" t="s">
        <v>2173</v>
      </c>
      <c r="B174" s="8012" t="s">
        <v>14</v>
      </c>
      <c r="C174" s="8012" t="s">
        <v>2226</v>
      </c>
      <c r="D174" s="8012" t="s">
        <v>2227</v>
      </c>
      <c r="E174" s="8012" t="s">
        <v>2228</v>
      </c>
      <c r="F174" s="8012" t="s">
        <v>2229</v>
      </c>
      <c r="G174" s="8012" t="s">
        <v>24</v>
      </c>
      <c r="H174" s="8012" t="s">
        <v>24</v>
      </c>
      <c r="I174" s="8012" t="s">
        <v>812</v>
      </c>
    </row>
    <row customHeight="1" ht="11.25">
      <c r="A175" s="8012" t="s">
        <v>2173</v>
      </c>
      <c r="B175" s="8012" t="s">
        <v>14</v>
      </c>
      <c r="C175" s="8012" t="s">
        <v>2234</v>
      </c>
      <c r="D175" s="8012" t="s">
        <v>2235</v>
      </c>
      <c r="E175" s="8012" t="s">
        <v>2236</v>
      </c>
      <c r="F175" s="8012" t="s">
        <v>2237</v>
      </c>
      <c r="G175" s="8012" t="s">
        <v>2238</v>
      </c>
      <c r="H175" s="8012" t="s">
        <v>24</v>
      </c>
      <c r="I175" s="8012" t="s">
        <v>812</v>
      </c>
    </row>
    <row customHeight="1" ht="11.25">
      <c r="A176" s="8012" t="s">
        <v>2173</v>
      </c>
      <c r="B176" s="8012" t="s">
        <v>14</v>
      </c>
      <c r="C176" s="8012" t="s">
        <v>2250</v>
      </c>
      <c r="D176" s="8012" t="s">
        <v>2251</v>
      </c>
      <c r="E176" s="8012" t="s">
        <v>2252</v>
      </c>
      <c r="F176" s="8012" t="s">
        <v>2253</v>
      </c>
      <c r="G176" s="8012" t="s">
        <v>2254</v>
      </c>
      <c r="H176" s="8012" t="s">
        <v>24</v>
      </c>
      <c r="I176" s="8012" t="s">
        <v>812</v>
      </c>
    </row>
    <row customHeight="1" ht="11.25">
      <c r="A177" s="8012" t="s">
        <v>2173</v>
      </c>
      <c r="B177" s="8012" t="s">
        <v>14</v>
      </c>
      <c r="C177" s="8012" t="s">
        <v>2255</v>
      </c>
      <c r="D177" s="8012" t="s">
        <v>2256</v>
      </c>
      <c r="E177" s="8012" t="s">
        <v>2257</v>
      </c>
      <c r="F177" s="8012" t="s">
        <v>2177</v>
      </c>
      <c r="G177" s="8012" t="s">
        <v>24</v>
      </c>
      <c r="H177" s="8012" t="s">
        <v>24</v>
      </c>
      <c r="I177" s="8012" t="s">
        <v>812</v>
      </c>
    </row>
    <row customHeight="1" ht="11.25">
      <c r="A178" s="8012" t="s">
        <v>2173</v>
      </c>
      <c r="B178" s="8012" t="s">
        <v>14</v>
      </c>
      <c r="C178" s="8012" t="s">
        <v>2262</v>
      </c>
      <c r="D178" s="8012" t="s">
        <v>2263</v>
      </c>
      <c r="E178" s="8012" t="s">
        <v>2264</v>
      </c>
      <c r="F178" s="8012" t="s">
        <v>2233</v>
      </c>
      <c r="G178" s="8012" t="s">
        <v>2265</v>
      </c>
      <c r="H178" s="8012" t="s">
        <v>24</v>
      </c>
      <c r="I178" s="8012" t="s">
        <v>812</v>
      </c>
    </row>
    <row customHeight="1" ht="11.25">
      <c r="A179" s="8012" t="s">
        <v>2173</v>
      </c>
      <c r="B179" s="8012" t="s">
        <v>14</v>
      </c>
      <c r="C179" s="8012" t="s">
        <v>2274</v>
      </c>
      <c r="D179" s="8012" t="s">
        <v>2275</v>
      </c>
      <c r="E179" s="8012" t="s">
        <v>2276</v>
      </c>
      <c r="F179" s="8012" t="s">
        <v>2277</v>
      </c>
      <c r="G179" s="8012" t="s">
        <v>24</v>
      </c>
      <c r="H179" s="8012" t="s">
        <v>24</v>
      </c>
      <c r="I179" s="8012" t="s">
        <v>812</v>
      </c>
    </row>
    <row customHeight="1" ht="11.25">
      <c r="A180" s="8012" t="s">
        <v>2173</v>
      </c>
      <c r="B180" s="8012" t="s">
        <v>14</v>
      </c>
      <c r="C180" s="8012" t="s">
        <v>2292</v>
      </c>
      <c r="D180" s="8012" t="s">
        <v>2293</v>
      </c>
      <c r="E180" s="8012" t="s">
        <v>2290</v>
      </c>
      <c r="F180" s="8012" t="s">
        <v>2294</v>
      </c>
      <c r="G180" s="8012" t="s">
        <v>24</v>
      </c>
      <c r="H180" s="8012" t="s">
        <v>24</v>
      </c>
      <c r="I180" s="8012" t="s">
        <v>812</v>
      </c>
    </row>
    <row customHeight="1" ht="11.25">
      <c r="A181" s="8012" t="s">
        <v>2173</v>
      </c>
      <c r="B181" s="8012" t="s">
        <v>14</v>
      </c>
      <c r="C181" s="8012" t="s">
        <v>2777</v>
      </c>
      <c r="D181" s="8012" t="s">
        <v>2349</v>
      </c>
      <c r="E181" s="8012" t="s">
        <v>2350</v>
      </c>
      <c r="F181" s="8012" t="s">
        <v>2778</v>
      </c>
      <c r="G181" s="8012" t="s">
        <v>24</v>
      </c>
      <c r="H181" s="8012" t="s">
        <v>24</v>
      </c>
      <c r="I181" s="8012" t="s">
        <v>812</v>
      </c>
    </row>
    <row customHeight="1" ht="11.25">
      <c r="A182" s="8012" t="s">
        <v>2173</v>
      </c>
      <c r="B182" s="8012" t="s">
        <v>14</v>
      </c>
      <c r="C182" s="8012" t="s">
        <v>2779</v>
      </c>
      <c r="D182" s="8012" t="s">
        <v>2349</v>
      </c>
      <c r="E182" s="8012" t="s">
        <v>2350</v>
      </c>
      <c r="F182" s="8012" t="s">
        <v>2780</v>
      </c>
      <c r="G182" s="8012" t="s">
        <v>24</v>
      </c>
      <c r="H182" s="8012" t="s">
        <v>24</v>
      </c>
      <c r="I182" s="8012" t="s">
        <v>812</v>
      </c>
    </row>
    <row customHeight="1" ht="11.25">
      <c r="A183" s="8012" t="s">
        <v>2173</v>
      </c>
      <c r="B183" s="8012" t="s">
        <v>14</v>
      </c>
      <c r="C183" s="8012" t="s">
        <v>2781</v>
      </c>
      <c r="D183" s="8012" t="s">
        <v>2349</v>
      </c>
      <c r="E183" s="8012" t="s">
        <v>2350</v>
      </c>
      <c r="F183" s="8012" t="s">
        <v>2782</v>
      </c>
      <c r="G183" s="8012" t="s">
        <v>24</v>
      </c>
      <c r="H183" s="8012" t="s">
        <v>24</v>
      </c>
      <c r="I183" s="8012" t="s">
        <v>812</v>
      </c>
    </row>
    <row customHeight="1" ht="11.25">
      <c r="A184" s="8012" t="s">
        <v>2173</v>
      </c>
      <c r="B184" s="8012" t="s">
        <v>14</v>
      </c>
      <c r="C184" s="8012" t="s">
        <v>2783</v>
      </c>
      <c r="D184" s="8012" t="s">
        <v>2349</v>
      </c>
      <c r="E184" s="8012" t="s">
        <v>2350</v>
      </c>
      <c r="F184" s="8012" t="s">
        <v>2784</v>
      </c>
      <c r="G184" s="8012" t="s">
        <v>24</v>
      </c>
      <c r="H184" s="8012" t="s">
        <v>24</v>
      </c>
      <c r="I184" s="8012" t="s">
        <v>812</v>
      </c>
    </row>
    <row customHeight="1" ht="11.25">
      <c r="A185" s="8012" t="s">
        <v>2173</v>
      </c>
      <c r="B185" s="8012" t="s">
        <v>14</v>
      </c>
      <c r="C185" s="8012" t="s">
        <v>2785</v>
      </c>
      <c r="D185" s="8012" t="s">
        <v>2349</v>
      </c>
      <c r="E185" s="8012" t="s">
        <v>2350</v>
      </c>
      <c r="F185" s="8012" t="s">
        <v>2786</v>
      </c>
      <c r="G185" s="8012" t="s">
        <v>24</v>
      </c>
      <c r="H185" s="8012" t="s">
        <v>24</v>
      </c>
      <c r="I185" s="8012" t="s">
        <v>812</v>
      </c>
    </row>
    <row customHeight="1" ht="11.25">
      <c r="A186" s="8012" t="s">
        <v>2173</v>
      </c>
      <c r="B186" s="8012" t="s">
        <v>14</v>
      </c>
      <c r="C186" s="8012" t="s">
        <v>2787</v>
      </c>
      <c r="D186" s="8012" t="s">
        <v>2349</v>
      </c>
      <c r="E186" s="8012" t="s">
        <v>2350</v>
      </c>
      <c r="F186" s="8012" t="s">
        <v>2788</v>
      </c>
      <c r="G186" s="8012" t="s">
        <v>24</v>
      </c>
      <c r="H186" s="8012" t="s">
        <v>24</v>
      </c>
      <c r="I186" s="8012" t="s">
        <v>812</v>
      </c>
    </row>
    <row customHeight="1" ht="11.25">
      <c r="A187" s="8012" t="s">
        <v>2173</v>
      </c>
      <c r="B187" s="8012" t="s">
        <v>14</v>
      </c>
      <c r="C187" s="8012" t="s">
        <v>2789</v>
      </c>
      <c r="D187" s="8012" t="s">
        <v>2349</v>
      </c>
      <c r="E187" s="8012" t="s">
        <v>2350</v>
      </c>
      <c r="F187" s="8012" t="s">
        <v>2790</v>
      </c>
      <c r="G187" s="8012" t="s">
        <v>24</v>
      </c>
      <c r="H187" s="8012" t="s">
        <v>24</v>
      </c>
      <c r="I187" s="8012" t="s">
        <v>812</v>
      </c>
    </row>
    <row customHeight="1" ht="11.25">
      <c r="A188" s="8012" t="s">
        <v>2173</v>
      </c>
      <c r="B188" s="8012" t="s">
        <v>14</v>
      </c>
      <c r="C188" s="8012" t="s">
        <v>2791</v>
      </c>
      <c r="D188" s="8012" t="s">
        <v>2349</v>
      </c>
      <c r="E188" s="8012" t="s">
        <v>2350</v>
      </c>
      <c r="F188" s="8012" t="s">
        <v>2792</v>
      </c>
      <c r="G188" s="8012" t="s">
        <v>24</v>
      </c>
      <c r="H188" s="8012" t="s">
        <v>24</v>
      </c>
      <c r="I188" s="8012" t="s">
        <v>812</v>
      </c>
    </row>
    <row customHeight="1" ht="11.25">
      <c r="A189" s="8012" t="s">
        <v>2173</v>
      </c>
      <c r="B189" s="8012" t="s">
        <v>14</v>
      </c>
      <c r="C189" s="8012" t="s">
        <v>2348</v>
      </c>
      <c r="D189" s="8012" t="s">
        <v>2349</v>
      </c>
      <c r="E189" s="8012" t="s">
        <v>2350</v>
      </c>
      <c r="F189" s="8012" t="s">
        <v>2347</v>
      </c>
      <c r="G189" s="8012" t="s">
        <v>24</v>
      </c>
      <c r="H189" s="8012" t="s">
        <v>24</v>
      </c>
      <c r="I189" s="8012" t="s">
        <v>812</v>
      </c>
    </row>
    <row customHeight="1" ht="11.25">
      <c r="A190" s="8012" t="s">
        <v>2173</v>
      </c>
      <c r="B190" s="8012" t="s">
        <v>14</v>
      </c>
      <c r="C190" s="8012" t="s">
        <v>2355</v>
      </c>
      <c r="D190" s="8012" t="s">
        <v>2352</v>
      </c>
      <c r="E190" s="8012" t="s">
        <v>2350</v>
      </c>
      <c r="F190" s="8012" t="s">
        <v>2356</v>
      </c>
      <c r="G190" s="8012" t="s">
        <v>24</v>
      </c>
      <c r="H190" s="8012" t="s">
        <v>2357</v>
      </c>
      <c r="I190" s="8012" t="s">
        <v>812</v>
      </c>
    </row>
    <row customHeight="1" ht="11.25">
      <c r="A191" s="8012" t="s">
        <v>2173</v>
      </c>
      <c r="B191" s="8012" t="s">
        <v>14</v>
      </c>
      <c r="C191" s="8012" t="s">
        <v>2793</v>
      </c>
      <c r="D191" s="8012" t="s">
        <v>2352</v>
      </c>
      <c r="E191" s="8012" t="s">
        <v>2350</v>
      </c>
      <c r="F191" s="8012" t="s">
        <v>2794</v>
      </c>
      <c r="G191" s="8012" t="s">
        <v>24</v>
      </c>
      <c r="H191" s="8012" t="s">
        <v>24</v>
      </c>
      <c r="I191" s="8012" t="s">
        <v>812</v>
      </c>
    </row>
    <row customHeight="1" ht="11.25">
      <c r="A192" s="8012" t="s">
        <v>2173</v>
      </c>
      <c r="B192" s="8012" t="s">
        <v>14</v>
      </c>
      <c r="C192" s="8012" t="s">
        <v>2371</v>
      </c>
      <c r="D192" s="8012" t="s">
        <v>2372</v>
      </c>
      <c r="E192" s="8012" t="s">
        <v>2373</v>
      </c>
      <c r="F192" s="8012" t="s">
        <v>2177</v>
      </c>
      <c r="G192" s="8012" t="s">
        <v>24</v>
      </c>
      <c r="H192" s="8012" t="s">
        <v>24</v>
      </c>
      <c r="I192" s="8012" t="s">
        <v>812</v>
      </c>
    </row>
    <row customHeight="1" ht="11.25">
      <c r="A193" s="8012" t="s">
        <v>2173</v>
      </c>
      <c r="B193" s="8012" t="s">
        <v>14</v>
      </c>
      <c r="C193" s="8012" t="s">
        <v>2383</v>
      </c>
      <c r="D193" s="8012" t="s">
        <v>2379</v>
      </c>
      <c r="E193" s="8012" t="s">
        <v>2380</v>
      </c>
      <c r="F193" s="8012" t="s">
        <v>2381</v>
      </c>
      <c r="G193" s="8012" t="s">
        <v>24</v>
      </c>
      <c r="H193" s="8012" t="s">
        <v>24</v>
      </c>
      <c r="I193" s="8012" t="s">
        <v>812</v>
      </c>
    </row>
    <row customHeight="1" ht="11.25">
      <c r="A194" s="8012" t="s">
        <v>2173</v>
      </c>
      <c r="B194" s="8012" t="s">
        <v>14</v>
      </c>
      <c r="C194" s="8012" t="s">
        <v>2400</v>
      </c>
      <c r="D194" s="8012" t="s">
        <v>2401</v>
      </c>
      <c r="E194" s="8012" t="s">
        <v>2402</v>
      </c>
      <c r="F194" s="8012" t="s">
        <v>2347</v>
      </c>
      <c r="G194" s="8012" t="s">
        <v>24</v>
      </c>
      <c r="H194" s="8012" t="s">
        <v>24</v>
      </c>
      <c r="I194" s="8012" t="s">
        <v>812</v>
      </c>
    </row>
    <row customHeight="1" ht="11.25">
      <c r="A195" s="8012" t="s">
        <v>2173</v>
      </c>
      <c r="B195" s="8012" t="s">
        <v>14</v>
      </c>
      <c r="C195" s="8012" t="s">
        <v>2795</v>
      </c>
      <c r="D195" s="8012" t="s">
        <v>2796</v>
      </c>
      <c r="E195" s="8012" t="s">
        <v>2212</v>
      </c>
      <c r="F195" s="8012" t="s">
        <v>2797</v>
      </c>
      <c r="G195" s="8012" t="s">
        <v>24</v>
      </c>
      <c r="H195" s="8012" t="s">
        <v>2354</v>
      </c>
      <c r="I195" s="8012" t="s">
        <v>812</v>
      </c>
    </row>
    <row customHeight="1" ht="11.25">
      <c r="A196" s="8012" t="s">
        <v>2173</v>
      </c>
      <c r="B196" s="8012" t="s">
        <v>14</v>
      </c>
      <c r="C196" s="8012" t="s">
        <v>2429</v>
      </c>
      <c r="D196" s="8012" t="s">
        <v>2430</v>
      </c>
      <c r="E196" s="8012" t="s">
        <v>2431</v>
      </c>
      <c r="F196" s="8012" t="s">
        <v>2233</v>
      </c>
      <c r="G196" s="8012" t="s">
        <v>24</v>
      </c>
      <c r="H196" s="8012" t="s">
        <v>24</v>
      </c>
      <c r="I196" s="8012" t="s">
        <v>812</v>
      </c>
    </row>
    <row customHeight="1" ht="11.25">
      <c r="A197" s="8012" t="s">
        <v>2173</v>
      </c>
      <c r="B197" s="8012" t="s">
        <v>14</v>
      </c>
      <c r="C197" s="8012" t="s">
        <v>2432</v>
      </c>
      <c r="D197" s="8012" t="s">
        <v>2433</v>
      </c>
      <c r="E197" s="8012" t="s">
        <v>2290</v>
      </c>
      <c r="F197" s="8012" t="s">
        <v>2434</v>
      </c>
      <c r="G197" s="8012" t="s">
        <v>24</v>
      </c>
      <c r="H197" s="8012" t="s">
        <v>24</v>
      </c>
      <c r="I197" s="8012" t="s">
        <v>812</v>
      </c>
    </row>
    <row customHeight="1" ht="11.25">
      <c r="A198" s="8012" t="s">
        <v>2173</v>
      </c>
      <c r="B198" s="8012" t="s">
        <v>14</v>
      </c>
      <c r="C198" s="8012" t="s">
        <v>2510</v>
      </c>
      <c r="D198" s="8012" t="s">
        <v>2511</v>
      </c>
      <c r="E198" s="8012" t="s">
        <v>2512</v>
      </c>
      <c r="F198" s="8012" t="s">
        <v>2513</v>
      </c>
      <c r="G198" s="8012" t="s">
        <v>2514</v>
      </c>
      <c r="H198" s="8012" t="s">
        <v>24</v>
      </c>
      <c r="I198" s="8012" t="s">
        <v>812</v>
      </c>
    </row>
    <row customHeight="1" ht="11.25">
      <c r="A199" s="8012" t="s">
        <v>2173</v>
      </c>
      <c r="B199" s="8012" t="s">
        <v>14</v>
      </c>
      <c r="C199" s="8012" t="s">
        <v>2531</v>
      </c>
      <c r="D199" s="8012" t="s">
        <v>46</v>
      </c>
      <c r="E199" s="8012" t="s">
        <v>49</v>
      </c>
      <c r="F199" s="8012" t="s">
        <v>51</v>
      </c>
      <c r="G199" s="8012" t="s">
        <v>24</v>
      </c>
      <c r="H199" s="8012" t="s">
        <v>24</v>
      </c>
      <c r="I199" s="8012" t="s">
        <v>812</v>
      </c>
    </row>
    <row customHeight="1" ht="11.25">
      <c r="A200" s="8012" t="s">
        <v>2173</v>
      </c>
      <c r="B200" s="8012" t="s">
        <v>14</v>
      </c>
      <c r="C200" s="8012" t="s">
        <v>2543</v>
      </c>
      <c r="D200" s="8012" t="s">
        <v>2544</v>
      </c>
      <c r="E200" s="8012" t="s">
        <v>2545</v>
      </c>
      <c r="F200" s="8012" t="s">
        <v>2312</v>
      </c>
      <c r="G200" s="8012" t="s">
        <v>2546</v>
      </c>
      <c r="H200" s="8012" t="s">
        <v>2547</v>
      </c>
      <c r="I200" s="8012" t="s">
        <v>812</v>
      </c>
    </row>
    <row customHeight="1" ht="11.25">
      <c r="A201" s="8012" t="s">
        <v>2173</v>
      </c>
      <c r="B201" s="8012" t="s">
        <v>14</v>
      </c>
      <c r="C201" s="8012" t="s">
        <v>2798</v>
      </c>
      <c r="D201" s="8012" t="s">
        <v>2799</v>
      </c>
      <c r="E201" s="8012" t="s">
        <v>2800</v>
      </c>
      <c r="F201" s="8012" t="s">
        <v>2253</v>
      </c>
      <c r="G201" s="8012" t="s">
        <v>24</v>
      </c>
      <c r="H201" s="8012" t="s">
        <v>2354</v>
      </c>
      <c r="I201" s="8012" t="s">
        <v>812</v>
      </c>
    </row>
    <row customHeight="1" ht="11.25">
      <c r="A202" s="8012" t="s">
        <v>2173</v>
      </c>
      <c r="B202" s="8012" t="s">
        <v>14</v>
      </c>
      <c r="C202" s="8012" t="s">
        <v>2591</v>
      </c>
      <c r="D202" s="8012" t="s">
        <v>2592</v>
      </c>
      <c r="E202" s="8012" t="s">
        <v>2593</v>
      </c>
      <c r="F202" s="8012" t="s">
        <v>2594</v>
      </c>
      <c r="G202" s="8012" t="s">
        <v>24</v>
      </c>
      <c r="H202" s="8012" t="s">
        <v>2595</v>
      </c>
      <c r="I202" s="8012" t="s">
        <v>812</v>
      </c>
    </row>
    <row customHeight="1" ht="11.25">
      <c r="A203" s="8012" t="s">
        <v>2173</v>
      </c>
      <c r="B203" s="8012" t="s">
        <v>14</v>
      </c>
      <c r="C203" s="8012" t="s">
        <v>2621</v>
      </c>
      <c r="D203" s="8012" t="s">
        <v>2622</v>
      </c>
      <c r="E203" s="8012" t="s">
        <v>2623</v>
      </c>
      <c r="F203" s="8012" t="s">
        <v>2594</v>
      </c>
      <c r="G203" s="8012" t="s">
        <v>24</v>
      </c>
      <c r="H203" s="8012" t="s">
        <v>24</v>
      </c>
      <c r="I203" s="8012" t="s">
        <v>812</v>
      </c>
    </row>
    <row customHeight="1" ht="11.25">
      <c r="A204" s="8012" t="s">
        <v>2173</v>
      </c>
      <c r="B204" s="8012" t="s">
        <v>14</v>
      </c>
      <c r="C204" s="8012" t="s">
        <v>2696</v>
      </c>
      <c r="D204" s="8012" t="s">
        <v>2697</v>
      </c>
      <c r="E204" s="8012" t="s">
        <v>2698</v>
      </c>
      <c r="F204" s="8012" t="s">
        <v>2181</v>
      </c>
      <c r="G204" s="8012" t="s">
        <v>24</v>
      </c>
      <c r="H204" s="8012" t="s">
        <v>24</v>
      </c>
      <c r="I204" s="8012" t="s">
        <v>812</v>
      </c>
    </row>
    <row customHeight="1" ht="11.25">
      <c r="A205" s="8012" t="s">
        <v>2173</v>
      </c>
      <c r="B205" s="8012" t="s">
        <v>14</v>
      </c>
      <c r="C205" s="8012" t="s">
        <v>2702</v>
      </c>
      <c r="D205" s="8012" t="s">
        <v>2703</v>
      </c>
      <c r="E205" s="8012" t="s">
        <v>2704</v>
      </c>
      <c r="F205" s="8012" t="s">
        <v>2233</v>
      </c>
      <c r="G205" s="8012" t="s">
        <v>24</v>
      </c>
      <c r="H205" s="8012" t="s">
        <v>2265</v>
      </c>
      <c r="I205" s="8012" t="s">
        <v>812</v>
      </c>
    </row>
    <row customHeight="1" ht="11.25">
      <c r="A206" s="8012" t="s">
        <v>2173</v>
      </c>
      <c r="B206" s="8012" t="s">
        <v>14</v>
      </c>
      <c r="C206" s="8012" t="s">
        <v>2705</v>
      </c>
      <c r="D206" s="8012" t="s">
        <v>2706</v>
      </c>
      <c r="E206" s="8012" t="s">
        <v>2707</v>
      </c>
      <c r="F206" s="8012" t="s">
        <v>2342</v>
      </c>
      <c r="G206" s="8012" t="s">
        <v>24</v>
      </c>
      <c r="H206" s="8012" t="s">
        <v>24</v>
      </c>
      <c r="I206" s="8012" t="s">
        <v>812</v>
      </c>
    </row>
    <row customHeight="1" ht="11.25">
      <c r="A207" s="8012" t="s">
        <v>2173</v>
      </c>
      <c r="B207" s="8012" t="s">
        <v>14</v>
      </c>
      <c r="C207" s="8012" t="s">
        <v>2708</v>
      </c>
      <c r="D207" s="8012" t="s">
        <v>2709</v>
      </c>
      <c r="E207" s="8012" t="s">
        <v>2710</v>
      </c>
      <c r="F207" s="8012" t="s">
        <v>2711</v>
      </c>
      <c r="G207" s="8012" t="s">
        <v>2712</v>
      </c>
      <c r="H207" s="8012" t="s">
        <v>24</v>
      </c>
      <c r="I207" s="8012" t="s">
        <v>812</v>
      </c>
    </row>
    <row customHeight="1" ht="11.25">
      <c r="A208" s="8012" t="s">
        <v>2173</v>
      </c>
      <c r="B208" s="8012" t="s">
        <v>14</v>
      </c>
      <c r="C208" s="8012" t="s">
        <v>2757</v>
      </c>
      <c r="D208" s="8012" t="s">
        <v>2758</v>
      </c>
      <c r="E208" s="8012" t="s">
        <v>2759</v>
      </c>
      <c r="F208" s="8012" t="s">
        <v>2342</v>
      </c>
      <c r="G208" s="8012" t="s">
        <v>24</v>
      </c>
      <c r="H208" s="8012" t="s">
        <v>24</v>
      </c>
      <c r="I208" s="8012" t="s">
        <v>812</v>
      </c>
    </row>
    <row customHeight="1" ht="11.25">
      <c r="A209" s="8012" t="s">
        <v>2173</v>
      </c>
      <c r="B209" s="8012" t="s">
        <v>14</v>
      </c>
      <c r="C209" s="8012" t="s">
        <v>2771</v>
      </c>
      <c r="D209" s="8012" t="s">
        <v>2772</v>
      </c>
      <c r="E209" s="8012" t="s">
        <v>2773</v>
      </c>
      <c r="F209" s="8012" t="s">
        <v>2177</v>
      </c>
      <c r="G209" s="8012" t="s">
        <v>24</v>
      </c>
      <c r="H209" s="8012" t="s">
        <v>24</v>
      </c>
      <c r="I209" s="8012" t="s">
        <v>812</v>
      </c>
    </row>
    <row customHeight="1" ht="11.25">
      <c r="A210" s="8012" t="s">
        <v>2173</v>
      </c>
      <c r="B210" s="8012" t="s">
        <v>14</v>
      </c>
      <c r="C210" s="8012" t="s">
        <v>24</v>
      </c>
      <c r="D210" s="8012" t="s">
        <v>2179</v>
      </c>
      <c r="E210" s="8012" t="s">
        <v>2180</v>
      </c>
      <c r="F210" s="8012" t="s">
        <v>2181</v>
      </c>
      <c r="G210" s="8012" t="s">
        <v>24</v>
      </c>
      <c r="H210" s="8012" t="s">
        <v>24</v>
      </c>
      <c r="I210" s="8012" t="s">
        <v>771</v>
      </c>
    </row>
    <row customHeight="1" ht="11.25">
      <c r="A211" s="8012" t="s">
        <v>2173</v>
      </c>
      <c r="B211" s="8012" t="s">
        <v>14</v>
      </c>
      <c r="C211" s="8012" t="s">
        <v>2187</v>
      </c>
      <c r="D211" s="8012" t="s">
        <v>2188</v>
      </c>
      <c r="E211" s="8012" t="s">
        <v>2189</v>
      </c>
      <c r="F211" s="8012" t="s">
        <v>2190</v>
      </c>
      <c r="G211" s="8012" t="s">
        <v>24</v>
      </c>
      <c r="H211" s="8012" t="s">
        <v>24</v>
      </c>
      <c r="I211" s="8012" t="s">
        <v>771</v>
      </c>
    </row>
    <row customHeight="1" ht="11.25">
      <c r="A212" s="8012" t="s">
        <v>2173</v>
      </c>
      <c r="B212" s="8012" t="s">
        <v>14</v>
      </c>
      <c r="C212" s="8012" t="s">
        <v>2195</v>
      </c>
      <c r="D212" s="8012" t="s">
        <v>2196</v>
      </c>
      <c r="E212" s="8012" t="s">
        <v>2197</v>
      </c>
      <c r="F212" s="8012" t="s">
        <v>2198</v>
      </c>
      <c r="G212" s="8012" t="s">
        <v>24</v>
      </c>
      <c r="H212" s="8012" t="s">
        <v>2199</v>
      </c>
      <c r="I212" s="8012" t="s">
        <v>771</v>
      </c>
    </row>
    <row customHeight="1" ht="11.25">
      <c r="A213" s="8012" t="s">
        <v>2173</v>
      </c>
      <c r="B213" s="8012" t="s">
        <v>14</v>
      </c>
      <c r="C213" s="8012" t="s">
        <v>2200</v>
      </c>
      <c r="D213" s="8012" t="s">
        <v>2201</v>
      </c>
      <c r="E213" s="8012" t="s">
        <v>2202</v>
      </c>
      <c r="F213" s="8012" t="s">
        <v>2203</v>
      </c>
      <c r="G213" s="8012" t="s">
        <v>2204</v>
      </c>
      <c r="H213" s="8012" t="s">
        <v>2205</v>
      </c>
      <c r="I213" s="8012" t="s">
        <v>771</v>
      </c>
    </row>
    <row customHeight="1" ht="11.25">
      <c r="A214" s="8012" t="s">
        <v>2173</v>
      </c>
      <c r="B214" s="8012" t="s">
        <v>14</v>
      </c>
      <c r="C214" s="8012" t="s">
        <v>2206</v>
      </c>
      <c r="D214" s="8012" t="s">
        <v>2207</v>
      </c>
      <c r="E214" s="8012" t="s">
        <v>2208</v>
      </c>
      <c r="F214" s="8012" t="s">
        <v>2209</v>
      </c>
      <c r="G214" s="8012" t="s">
        <v>24</v>
      </c>
      <c r="H214" s="8012" t="s">
        <v>24</v>
      </c>
      <c r="I214" s="8012" t="s">
        <v>771</v>
      </c>
    </row>
    <row customHeight="1" ht="11.25">
      <c r="A215" s="8012" t="s">
        <v>2173</v>
      </c>
      <c r="B215" s="8012" t="s">
        <v>14</v>
      </c>
      <c r="C215" s="8012" t="s">
        <v>2210</v>
      </c>
      <c r="D215" s="8012" t="s">
        <v>2211</v>
      </c>
      <c r="E215" s="8012" t="s">
        <v>2212</v>
      </c>
      <c r="F215" s="8012" t="s">
        <v>2213</v>
      </c>
      <c r="G215" s="8012" t="s">
        <v>24</v>
      </c>
      <c r="H215" s="8012" t="s">
        <v>24</v>
      </c>
      <c r="I215" s="8012" t="s">
        <v>771</v>
      </c>
    </row>
    <row customHeight="1" ht="11.25">
      <c r="A216" s="8012" t="s">
        <v>2173</v>
      </c>
      <c r="B216" s="8012" t="s">
        <v>14</v>
      </c>
      <c r="C216" s="8012" t="s">
        <v>2214</v>
      </c>
      <c r="D216" s="8012" t="s">
        <v>2211</v>
      </c>
      <c r="E216" s="8012" t="s">
        <v>2212</v>
      </c>
      <c r="F216" s="8012" t="s">
        <v>2215</v>
      </c>
      <c r="G216" s="8012" t="s">
        <v>2216</v>
      </c>
      <c r="H216" s="8012" t="s">
        <v>24</v>
      </c>
      <c r="I216" s="8012" t="s">
        <v>771</v>
      </c>
    </row>
    <row customHeight="1" ht="11.25">
      <c r="A217" s="8012" t="s">
        <v>2173</v>
      </c>
      <c r="B217" s="8012" t="s">
        <v>14</v>
      </c>
      <c r="C217" s="8012" t="s">
        <v>2220</v>
      </c>
      <c r="D217" s="8012" t="s">
        <v>2221</v>
      </c>
      <c r="E217" s="8012" t="s">
        <v>2212</v>
      </c>
      <c r="F217" s="8012" t="s">
        <v>2222</v>
      </c>
      <c r="G217" s="8012" t="s">
        <v>24</v>
      </c>
      <c r="H217" s="8012" t="s">
        <v>24</v>
      </c>
      <c r="I217" s="8012" t="s">
        <v>771</v>
      </c>
    </row>
    <row customHeight="1" ht="11.25">
      <c r="A218" s="8012" t="s">
        <v>2173</v>
      </c>
      <c r="B218" s="8012" t="s">
        <v>14</v>
      </c>
      <c r="C218" s="8012" t="s">
        <v>2223</v>
      </c>
      <c r="D218" s="8012" t="s">
        <v>2224</v>
      </c>
      <c r="E218" s="8012" t="s">
        <v>2225</v>
      </c>
      <c r="F218" s="8012" t="s">
        <v>2177</v>
      </c>
      <c r="G218" s="8012" t="s">
        <v>24</v>
      </c>
      <c r="H218" s="8012" t="s">
        <v>24</v>
      </c>
      <c r="I218" s="8012" t="s">
        <v>771</v>
      </c>
    </row>
    <row customHeight="1" ht="11.25">
      <c r="A219" s="8012" t="s">
        <v>2173</v>
      </c>
      <c r="B219" s="8012" t="s">
        <v>14</v>
      </c>
      <c r="C219" s="8012" t="s">
        <v>2230</v>
      </c>
      <c r="D219" s="8012" t="s">
        <v>2231</v>
      </c>
      <c r="E219" s="8012" t="s">
        <v>2232</v>
      </c>
      <c r="F219" s="8012" t="s">
        <v>2233</v>
      </c>
      <c r="G219" s="8012" t="s">
        <v>24</v>
      </c>
      <c r="H219" s="8012" t="s">
        <v>24</v>
      </c>
      <c r="I219" s="8012" t="s">
        <v>771</v>
      </c>
    </row>
    <row customHeight="1" ht="11.25">
      <c r="A220" s="8012" t="s">
        <v>2173</v>
      </c>
      <c r="B220" s="8012" t="s">
        <v>14</v>
      </c>
      <c r="C220" s="8012" t="s">
        <v>2801</v>
      </c>
      <c r="D220" s="8012" t="s">
        <v>2802</v>
      </c>
      <c r="E220" s="8012" t="s">
        <v>2803</v>
      </c>
      <c r="F220" s="8012" t="s">
        <v>2496</v>
      </c>
      <c r="G220" s="8012" t="s">
        <v>2804</v>
      </c>
      <c r="H220" s="8012" t="s">
        <v>24</v>
      </c>
      <c r="I220" s="8012" t="s">
        <v>771</v>
      </c>
    </row>
    <row customHeight="1" ht="11.25">
      <c r="A221" s="8012" t="s">
        <v>2173</v>
      </c>
      <c r="B221" s="8012" t="s">
        <v>14</v>
      </c>
      <c r="C221" s="8012" t="s">
        <v>2239</v>
      </c>
      <c r="D221" s="8012" t="s">
        <v>2240</v>
      </c>
      <c r="E221" s="8012" t="s">
        <v>2241</v>
      </c>
      <c r="F221" s="8012" t="s">
        <v>2194</v>
      </c>
      <c r="G221" s="8012" t="s">
        <v>24</v>
      </c>
      <c r="H221" s="8012" t="s">
        <v>24</v>
      </c>
      <c r="I221" s="8012" t="s">
        <v>771</v>
      </c>
    </row>
    <row customHeight="1" ht="11.25">
      <c r="A222" s="8012" t="s">
        <v>2173</v>
      </c>
      <c r="B222" s="8012" t="s">
        <v>14</v>
      </c>
      <c r="C222" s="8012" t="s">
        <v>2805</v>
      </c>
      <c r="D222" s="8012" t="s">
        <v>2806</v>
      </c>
      <c r="E222" s="8012" t="s">
        <v>2807</v>
      </c>
      <c r="F222" s="8012" t="s">
        <v>2177</v>
      </c>
      <c r="G222" s="8012" t="s">
        <v>2808</v>
      </c>
      <c r="H222" s="8012" t="s">
        <v>24</v>
      </c>
      <c r="I222" s="8012" t="s">
        <v>771</v>
      </c>
    </row>
    <row customHeight="1" ht="11.25">
      <c r="A223" s="8012" t="s">
        <v>2173</v>
      </c>
      <c r="B223" s="8012" t="s">
        <v>14</v>
      </c>
      <c r="C223" s="8012" t="s">
        <v>2250</v>
      </c>
      <c r="D223" s="8012" t="s">
        <v>2251</v>
      </c>
      <c r="E223" s="8012" t="s">
        <v>2252</v>
      </c>
      <c r="F223" s="8012" t="s">
        <v>2253</v>
      </c>
      <c r="G223" s="8012" t="s">
        <v>2254</v>
      </c>
      <c r="H223" s="8012" t="s">
        <v>24</v>
      </c>
      <c r="I223" s="8012" t="s">
        <v>771</v>
      </c>
    </row>
    <row customHeight="1" ht="11.25">
      <c r="A224" s="8012" t="s">
        <v>2173</v>
      </c>
      <c r="B224" s="8012" t="s">
        <v>14</v>
      </c>
      <c r="C224" s="8012" t="s">
        <v>2809</v>
      </c>
      <c r="D224" s="8012" t="s">
        <v>2810</v>
      </c>
      <c r="E224" s="8012" t="s">
        <v>2811</v>
      </c>
      <c r="F224" s="8012" t="s">
        <v>2194</v>
      </c>
      <c r="G224" s="8012" t="s">
        <v>24</v>
      </c>
      <c r="H224" s="8012" t="s">
        <v>24</v>
      </c>
      <c r="I224" s="8012" t="s">
        <v>771</v>
      </c>
    </row>
    <row customHeight="1" ht="11.25">
      <c r="A225" s="8012" t="s">
        <v>2173</v>
      </c>
      <c r="B225" s="8012" t="s">
        <v>14</v>
      </c>
      <c r="C225" s="8012" t="s">
        <v>2258</v>
      </c>
      <c r="D225" s="8012" t="s">
        <v>2259</v>
      </c>
      <c r="E225" s="8012" t="s">
        <v>2260</v>
      </c>
      <c r="F225" s="8012" t="s">
        <v>2261</v>
      </c>
      <c r="G225" s="8012" t="s">
        <v>24</v>
      </c>
      <c r="H225" s="8012" t="s">
        <v>24</v>
      </c>
      <c r="I225" s="8012" t="s">
        <v>771</v>
      </c>
    </row>
    <row customHeight="1" ht="11.25">
      <c r="A226" s="8012" t="s">
        <v>2173</v>
      </c>
      <c r="B226" s="8012" t="s">
        <v>14</v>
      </c>
      <c r="C226" s="8012" t="s">
        <v>2812</v>
      </c>
      <c r="D226" s="8012" t="s">
        <v>2813</v>
      </c>
      <c r="E226" s="8012" t="s">
        <v>2814</v>
      </c>
      <c r="F226" s="8012" t="s">
        <v>2770</v>
      </c>
      <c r="G226" s="8012" t="s">
        <v>2815</v>
      </c>
      <c r="H226" s="8012" t="s">
        <v>24</v>
      </c>
      <c r="I226" s="8012" t="s">
        <v>771</v>
      </c>
    </row>
    <row customHeight="1" ht="11.25">
      <c r="A227" s="8012" t="s">
        <v>2173</v>
      </c>
      <c r="B227" s="8012" t="s">
        <v>14</v>
      </c>
      <c r="C227" s="8012" t="s">
        <v>2270</v>
      </c>
      <c r="D227" s="8012" t="s">
        <v>2271</v>
      </c>
      <c r="E227" s="8012" t="s">
        <v>2272</v>
      </c>
      <c r="F227" s="8012" t="s">
        <v>2181</v>
      </c>
      <c r="G227" s="8012" t="s">
        <v>2273</v>
      </c>
      <c r="H227" s="8012" t="s">
        <v>24</v>
      </c>
      <c r="I227" s="8012" t="s">
        <v>771</v>
      </c>
    </row>
    <row customHeight="1" ht="11.25">
      <c r="A228" s="8012" t="s">
        <v>2173</v>
      </c>
      <c r="B228" s="8012" t="s">
        <v>14</v>
      </c>
      <c r="C228" s="8012" t="s">
        <v>2816</v>
      </c>
      <c r="D228" s="8012" t="s">
        <v>2817</v>
      </c>
      <c r="E228" s="8012" t="s">
        <v>2818</v>
      </c>
      <c r="F228" s="8012" t="s">
        <v>2819</v>
      </c>
      <c r="G228" s="8012" t="s">
        <v>24</v>
      </c>
      <c r="H228" s="8012" t="s">
        <v>24</v>
      </c>
      <c r="I228" s="8012" t="s">
        <v>771</v>
      </c>
    </row>
    <row customHeight="1" ht="11.25">
      <c r="A229" s="8012" t="s">
        <v>2173</v>
      </c>
      <c r="B229" s="8012" t="s">
        <v>14</v>
      </c>
      <c r="C229" s="8012" t="s">
        <v>2292</v>
      </c>
      <c r="D229" s="8012" t="s">
        <v>2293</v>
      </c>
      <c r="E229" s="8012" t="s">
        <v>2290</v>
      </c>
      <c r="F229" s="8012" t="s">
        <v>2294</v>
      </c>
      <c r="G229" s="8012" t="s">
        <v>24</v>
      </c>
      <c r="H229" s="8012" t="s">
        <v>24</v>
      </c>
      <c r="I229" s="8012" t="s">
        <v>771</v>
      </c>
    </row>
    <row customHeight="1" ht="11.25">
      <c r="A230" s="8012" t="s">
        <v>2173</v>
      </c>
      <c r="B230" s="8012" t="s">
        <v>14</v>
      </c>
      <c r="C230" s="8012" t="s">
        <v>2820</v>
      </c>
      <c r="D230" s="8012" t="s">
        <v>2821</v>
      </c>
      <c r="E230" s="8012" t="s">
        <v>2822</v>
      </c>
      <c r="F230" s="8012" t="s">
        <v>2332</v>
      </c>
      <c r="G230" s="8012" t="s">
        <v>24</v>
      </c>
      <c r="H230" s="8012" t="s">
        <v>24</v>
      </c>
      <c r="I230" s="8012" t="s">
        <v>771</v>
      </c>
    </row>
    <row customHeight="1" ht="11.25">
      <c r="A231" s="8012" t="s">
        <v>2173</v>
      </c>
      <c r="B231" s="8012" t="s">
        <v>14</v>
      </c>
      <c r="C231" s="8012" t="s">
        <v>2303</v>
      </c>
      <c r="D231" s="8012" t="s">
        <v>2304</v>
      </c>
      <c r="E231" s="8012" t="s">
        <v>2305</v>
      </c>
      <c r="F231" s="8012" t="s">
        <v>2185</v>
      </c>
      <c r="G231" s="8012" t="s">
        <v>24</v>
      </c>
      <c r="H231" s="8012" t="s">
        <v>24</v>
      </c>
      <c r="I231" s="8012" t="s">
        <v>771</v>
      </c>
    </row>
    <row customHeight="1" ht="11.25">
      <c r="A232" s="8012" t="s">
        <v>2173</v>
      </c>
      <c r="B232" s="8012" t="s">
        <v>14</v>
      </c>
      <c r="C232" s="8012" t="s">
        <v>2823</v>
      </c>
      <c r="D232" s="8012" t="s">
        <v>2824</v>
      </c>
      <c r="E232" s="8012" t="s">
        <v>2825</v>
      </c>
      <c r="F232" s="8012" t="s">
        <v>2233</v>
      </c>
      <c r="G232" s="8012" t="s">
        <v>24</v>
      </c>
      <c r="H232" s="8012" t="s">
        <v>2826</v>
      </c>
      <c r="I232" s="8012" t="s">
        <v>771</v>
      </c>
    </row>
    <row customHeight="1" ht="11.25">
      <c r="A233" s="8012" t="s">
        <v>2173</v>
      </c>
      <c r="B233" s="8012" t="s">
        <v>14</v>
      </c>
      <c r="C233" s="8012" t="s">
        <v>2309</v>
      </c>
      <c r="D233" s="8012" t="s">
        <v>2310</v>
      </c>
      <c r="E233" s="8012" t="s">
        <v>2311</v>
      </c>
      <c r="F233" s="8012" t="s">
        <v>2312</v>
      </c>
      <c r="G233" s="8012" t="s">
        <v>24</v>
      </c>
      <c r="H233" s="8012" t="s">
        <v>2313</v>
      </c>
      <c r="I233" s="8012" t="s">
        <v>771</v>
      </c>
    </row>
    <row customHeight="1" ht="11.25">
      <c r="A234" s="8012" t="s">
        <v>2173</v>
      </c>
      <c r="B234" s="8012" t="s">
        <v>14</v>
      </c>
      <c r="C234" s="8012" t="s">
        <v>2827</v>
      </c>
      <c r="D234" s="8012" t="s">
        <v>2828</v>
      </c>
      <c r="E234" s="8012" t="s">
        <v>2829</v>
      </c>
      <c r="F234" s="8012" t="s">
        <v>578</v>
      </c>
      <c r="G234" s="8012" t="s">
        <v>24</v>
      </c>
      <c r="H234" s="8012" t="s">
        <v>24</v>
      </c>
      <c r="I234" s="8012" t="s">
        <v>771</v>
      </c>
    </row>
    <row customHeight="1" ht="11.25">
      <c r="A235" s="8012" t="s">
        <v>2173</v>
      </c>
      <c r="B235" s="8012" t="s">
        <v>14</v>
      </c>
      <c r="C235" s="8012" t="s">
        <v>2830</v>
      </c>
      <c r="D235" s="8012" t="s">
        <v>2831</v>
      </c>
      <c r="E235" s="8012" t="s">
        <v>2832</v>
      </c>
      <c r="F235" s="8012" t="s">
        <v>578</v>
      </c>
      <c r="G235" s="8012" t="s">
        <v>24</v>
      </c>
      <c r="H235" s="8012" t="s">
        <v>24</v>
      </c>
      <c r="I235" s="8012" t="s">
        <v>771</v>
      </c>
    </row>
    <row customHeight="1" ht="11.25">
      <c r="A236" s="8012" t="s">
        <v>2173</v>
      </c>
      <c r="B236" s="8012" t="s">
        <v>14</v>
      </c>
      <c r="C236" s="8012" t="s">
        <v>2833</v>
      </c>
      <c r="D236" s="8012" t="s">
        <v>2834</v>
      </c>
      <c r="E236" s="8012" t="s">
        <v>2835</v>
      </c>
      <c r="F236" s="8012" t="s">
        <v>578</v>
      </c>
      <c r="G236" s="8012" t="s">
        <v>24</v>
      </c>
      <c r="H236" s="8012" t="s">
        <v>24</v>
      </c>
      <c r="I236" s="8012" t="s">
        <v>771</v>
      </c>
    </row>
    <row customHeight="1" ht="11.25">
      <c r="A237" s="8012" t="s">
        <v>2173</v>
      </c>
      <c r="B237" s="8012" t="s">
        <v>14</v>
      </c>
      <c r="C237" s="8012" t="s">
        <v>2333</v>
      </c>
      <c r="D237" s="8012" t="s">
        <v>2334</v>
      </c>
      <c r="E237" s="8012" t="s">
        <v>2335</v>
      </c>
      <c r="F237" s="8012" t="s">
        <v>2298</v>
      </c>
      <c r="G237" s="8012" t="s">
        <v>24</v>
      </c>
      <c r="H237" s="8012" t="s">
        <v>24</v>
      </c>
      <c r="I237" s="8012" t="s">
        <v>771</v>
      </c>
    </row>
    <row customHeight="1" ht="11.25">
      <c r="A238" s="8012" t="s">
        <v>2173</v>
      </c>
      <c r="B238" s="8012" t="s">
        <v>14</v>
      </c>
      <c r="C238" s="8012" t="s">
        <v>2836</v>
      </c>
      <c r="D238" s="8012" t="s">
        <v>2349</v>
      </c>
      <c r="E238" s="8012" t="s">
        <v>2350</v>
      </c>
      <c r="F238" s="8012" t="s">
        <v>2837</v>
      </c>
      <c r="G238" s="8012" t="s">
        <v>24</v>
      </c>
      <c r="H238" s="8012" t="s">
        <v>24</v>
      </c>
      <c r="I238" s="8012" t="s">
        <v>771</v>
      </c>
    </row>
    <row customHeight="1" ht="11.25">
      <c r="A239" s="8012" t="s">
        <v>2173</v>
      </c>
      <c r="B239" s="8012" t="s">
        <v>14</v>
      </c>
      <c r="C239" s="8012" t="s">
        <v>2777</v>
      </c>
      <c r="D239" s="8012" t="s">
        <v>2349</v>
      </c>
      <c r="E239" s="8012" t="s">
        <v>2350</v>
      </c>
      <c r="F239" s="8012" t="s">
        <v>2778</v>
      </c>
      <c r="G239" s="8012" t="s">
        <v>24</v>
      </c>
      <c r="H239" s="8012" t="s">
        <v>24</v>
      </c>
      <c r="I239" s="8012" t="s">
        <v>771</v>
      </c>
    </row>
    <row customHeight="1" ht="11.25">
      <c r="A240" s="8012" t="s">
        <v>2173</v>
      </c>
      <c r="B240" s="8012" t="s">
        <v>14</v>
      </c>
      <c r="C240" s="8012" t="s">
        <v>2779</v>
      </c>
      <c r="D240" s="8012" t="s">
        <v>2349</v>
      </c>
      <c r="E240" s="8012" t="s">
        <v>2350</v>
      </c>
      <c r="F240" s="8012" t="s">
        <v>2780</v>
      </c>
      <c r="G240" s="8012" t="s">
        <v>24</v>
      </c>
      <c r="H240" s="8012" t="s">
        <v>24</v>
      </c>
      <c r="I240" s="8012" t="s">
        <v>771</v>
      </c>
    </row>
    <row customHeight="1" ht="11.25">
      <c r="A241" s="8012" t="s">
        <v>2173</v>
      </c>
      <c r="B241" s="8012" t="s">
        <v>14</v>
      </c>
      <c r="C241" s="8012" t="s">
        <v>2781</v>
      </c>
      <c r="D241" s="8012" t="s">
        <v>2349</v>
      </c>
      <c r="E241" s="8012" t="s">
        <v>2350</v>
      </c>
      <c r="F241" s="8012" t="s">
        <v>2782</v>
      </c>
      <c r="G241" s="8012" t="s">
        <v>24</v>
      </c>
      <c r="H241" s="8012" t="s">
        <v>24</v>
      </c>
      <c r="I241" s="8012" t="s">
        <v>771</v>
      </c>
    </row>
    <row customHeight="1" ht="11.25">
      <c r="A242" s="8012" t="s">
        <v>2173</v>
      </c>
      <c r="B242" s="8012" t="s">
        <v>14</v>
      </c>
      <c r="C242" s="8012" t="s">
        <v>2838</v>
      </c>
      <c r="D242" s="8012" t="s">
        <v>2349</v>
      </c>
      <c r="E242" s="8012" t="s">
        <v>2350</v>
      </c>
      <c r="F242" s="8012" t="s">
        <v>2839</v>
      </c>
      <c r="G242" s="8012" t="s">
        <v>24</v>
      </c>
      <c r="H242" s="8012" t="s">
        <v>24</v>
      </c>
      <c r="I242" s="8012" t="s">
        <v>771</v>
      </c>
    </row>
    <row customHeight="1" ht="11.25">
      <c r="A243" s="8012" t="s">
        <v>2173</v>
      </c>
      <c r="B243" s="8012" t="s">
        <v>14</v>
      </c>
      <c r="C243" s="8012" t="s">
        <v>2783</v>
      </c>
      <c r="D243" s="8012" t="s">
        <v>2349</v>
      </c>
      <c r="E243" s="8012" t="s">
        <v>2350</v>
      </c>
      <c r="F243" s="8012" t="s">
        <v>2784</v>
      </c>
      <c r="G243" s="8012" t="s">
        <v>24</v>
      </c>
      <c r="H243" s="8012" t="s">
        <v>24</v>
      </c>
      <c r="I243" s="8012" t="s">
        <v>771</v>
      </c>
    </row>
    <row customHeight="1" ht="11.25">
      <c r="A244" s="8012" t="s">
        <v>2173</v>
      </c>
      <c r="B244" s="8012" t="s">
        <v>14</v>
      </c>
      <c r="C244" s="8012" t="s">
        <v>2785</v>
      </c>
      <c r="D244" s="8012" t="s">
        <v>2349</v>
      </c>
      <c r="E244" s="8012" t="s">
        <v>2350</v>
      </c>
      <c r="F244" s="8012" t="s">
        <v>2786</v>
      </c>
      <c r="G244" s="8012" t="s">
        <v>24</v>
      </c>
      <c r="H244" s="8012" t="s">
        <v>24</v>
      </c>
      <c r="I244" s="8012" t="s">
        <v>771</v>
      </c>
    </row>
    <row customHeight="1" ht="11.25">
      <c r="A245" s="8012" t="s">
        <v>2173</v>
      </c>
      <c r="B245" s="8012" t="s">
        <v>14</v>
      </c>
      <c r="C245" s="8012" t="s">
        <v>2787</v>
      </c>
      <c r="D245" s="8012" t="s">
        <v>2349</v>
      </c>
      <c r="E245" s="8012" t="s">
        <v>2350</v>
      </c>
      <c r="F245" s="8012" t="s">
        <v>2788</v>
      </c>
      <c r="G245" s="8012" t="s">
        <v>24</v>
      </c>
      <c r="H245" s="8012" t="s">
        <v>24</v>
      </c>
      <c r="I245" s="8012" t="s">
        <v>771</v>
      </c>
    </row>
    <row customHeight="1" ht="11.25">
      <c r="A246" s="8012" t="s">
        <v>2173</v>
      </c>
      <c r="B246" s="8012" t="s">
        <v>14</v>
      </c>
      <c r="C246" s="8012" t="s">
        <v>2789</v>
      </c>
      <c r="D246" s="8012" t="s">
        <v>2349</v>
      </c>
      <c r="E246" s="8012" t="s">
        <v>2350</v>
      </c>
      <c r="F246" s="8012" t="s">
        <v>2790</v>
      </c>
      <c r="G246" s="8012" t="s">
        <v>24</v>
      </c>
      <c r="H246" s="8012" t="s">
        <v>24</v>
      </c>
      <c r="I246" s="8012" t="s">
        <v>771</v>
      </c>
    </row>
    <row customHeight="1" ht="11.25">
      <c r="A247" s="8012" t="s">
        <v>2173</v>
      </c>
      <c r="B247" s="8012" t="s">
        <v>14</v>
      </c>
      <c r="C247" s="8012" t="s">
        <v>2791</v>
      </c>
      <c r="D247" s="8012" t="s">
        <v>2349</v>
      </c>
      <c r="E247" s="8012" t="s">
        <v>2350</v>
      </c>
      <c r="F247" s="8012" t="s">
        <v>2792</v>
      </c>
      <c r="G247" s="8012" t="s">
        <v>24</v>
      </c>
      <c r="H247" s="8012" t="s">
        <v>24</v>
      </c>
      <c r="I247" s="8012" t="s">
        <v>771</v>
      </c>
    </row>
    <row customHeight="1" ht="11.25">
      <c r="A248" s="8012" t="s">
        <v>2173</v>
      </c>
      <c r="B248" s="8012" t="s">
        <v>14</v>
      </c>
      <c r="C248" s="8012" t="s">
        <v>2348</v>
      </c>
      <c r="D248" s="8012" t="s">
        <v>2349</v>
      </c>
      <c r="E248" s="8012" t="s">
        <v>2350</v>
      </c>
      <c r="F248" s="8012" t="s">
        <v>2347</v>
      </c>
      <c r="G248" s="8012" t="s">
        <v>24</v>
      </c>
      <c r="H248" s="8012" t="s">
        <v>24</v>
      </c>
      <c r="I248" s="8012" t="s">
        <v>771</v>
      </c>
    </row>
    <row customHeight="1" ht="11.25">
      <c r="A249" s="8012" t="s">
        <v>2173</v>
      </c>
      <c r="B249" s="8012" t="s">
        <v>14</v>
      </c>
      <c r="C249" s="8012" t="s">
        <v>2840</v>
      </c>
      <c r="D249" s="8012" t="s">
        <v>2841</v>
      </c>
      <c r="E249" s="8012" t="s">
        <v>2842</v>
      </c>
      <c r="F249" s="8012" t="s">
        <v>2177</v>
      </c>
      <c r="G249" s="8012" t="s">
        <v>24</v>
      </c>
      <c r="H249" s="8012" t="s">
        <v>24</v>
      </c>
      <c r="I249" s="8012" t="s">
        <v>771</v>
      </c>
    </row>
    <row customHeight="1" ht="11.25">
      <c r="A250" s="8012" t="s">
        <v>2173</v>
      </c>
      <c r="B250" s="8012" t="s">
        <v>14</v>
      </c>
      <c r="C250" s="8012" t="s">
        <v>2843</v>
      </c>
      <c r="D250" s="8012" t="s">
        <v>2841</v>
      </c>
      <c r="E250" s="8012" t="s">
        <v>2842</v>
      </c>
      <c r="F250" s="8012" t="s">
        <v>2844</v>
      </c>
      <c r="G250" s="8012" t="s">
        <v>24</v>
      </c>
      <c r="H250" s="8012" t="s">
        <v>24</v>
      </c>
      <c r="I250" s="8012" t="s">
        <v>771</v>
      </c>
    </row>
    <row customHeight="1" ht="11.25">
      <c r="A251" s="8012" t="s">
        <v>2173</v>
      </c>
      <c r="B251" s="8012" t="s">
        <v>14</v>
      </c>
      <c r="C251" s="8012" t="s">
        <v>2355</v>
      </c>
      <c r="D251" s="8012" t="s">
        <v>2352</v>
      </c>
      <c r="E251" s="8012" t="s">
        <v>2350</v>
      </c>
      <c r="F251" s="8012" t="s">
        <v>2356</v>
      </c>
      <c r="G251" s="8012" t="s">
        <v>24</v>
      </c>
      <c r="H251" s="8012" t="s">
        <v>2357</v>
      </c>
      <c r="I251" s="8012" t="s">
        <v>771</v>
      </c>
    </row>
    <row customHeight="1" ht="11.25">
      <c r="A252" s="8012" t="s">
        <v>2173</v>
      </c>
      <c r="B252" s="8012" t="s">
        <v>14</v>
      </c>
      <c r="C252" s="8012" t="s">
        <v>2845</v>
      </c>
      <c r="D252" s="8012" t="s">
        <v>2352</v>
      </c>
      <c r="E252" s="8012" t="s">
        <v>2350</v>
      </c>
      <c r="F252" s="8012" t="s">
        <v>2846</v>
      </c>
      <c r="G252" s="8012" t="s">
        <v>24</v>
      </c>
      <c r="H252" s="8012" t="s">
        <v>24</v>
      </c>
      <c r="I252" s="8012" t="s">
        <v>771</v>
      </c>
    </row>
    <row customHeight="1" ht="11.25">
      <c r="A253" s="8012" t="s">
        <v>2173</v>
      </c>
      <c r="B253" s="8012" t="s">
        <v>14</v>
      </c>
      <c r="C253" s="8012" t="s">
        <v>2793</v>
      </c>
      <c r="D253" s="8012" t="s">
        <v>2352</v>
      </c>
      <c r="E253" s="8012" t="s">
        <v>2350</v>
      </c>
      <c r="F253" s="8012" t="s">
        <v>2794</v>
      </c>
      <c r="G253" s="8012" t="s">
        <v>24</v>
      </c>
      <c r="H253" s="8012" t="s">
        <v>24</v>
      </c>
      <c r="I253" s="8012" t="s">
        <v>771</v>
      </c>
    </row>
    <row customHeight="1" ht="11.25">
      <c r="A254" s="8012" t="s">
        <v>2173</v>
      </c>
      <c r="B254" s="8012" t="s">
        <v>14</v>
      </c>
      <c r="C254" s="8012" t="s">
        <v>2847</v>
      </c>
      <c r="D254" s="8012" t="s">
        <v>2848</v>
      </c>
      <c r="E254" s="8012" t="s">
        <v>2849</v>
      </c>
      <c r="F254" s="8012" t="s">
        <v>2233</v>
      </c>
      <c r="G254" s="8012" t="s">
        <v>24</v>
      </c>
      <c r="H254" s="8012" t="s">
        <v>24</v>
      </c>
      <c r="I254" s="8012" t="s">
        <v>771</v>
      </c>
    </row>
    <row customHeight="1" ht="11.25">
      <c r="A255" s="8012" t="s">
        <v>2173</v>
      </c>
      <c r="B255" s="8012" t="s">
        <v>14</v>
      </c>
      <c r="C255" s="8012" t="s">
        <v>2850</v>
      </c>
      <c r="D255" s="8012" t="s">
        <v>2851</v>
      </c>
      <c r="E255" s="8012" t="s">
        <v>2852</v>
      </c>
      <c r="F255" s="8012" t="s">
        <v>2457</v>
      </c>
      <c r="G255" s="8012" t="s">
        <v>24</v>
      </c>
      <c r="H255" s="8012" t="s">
        <v>24</v>
      </c>
      <c r="I255" s="8012" t="s">
        <v>771</v>
      </c>
    </row>
    <row customHeight="1" ht="11.25">
      <c r="A256" s="8012" t="s">
        <v>2173</v>
      </c>
      <c r="B256" s="8012" t="s">
        <v>14</v>
      </c>
      <c r="C256" s="8012" t="s">
        <v>2853</v>
      </c>
      <c r="D256" s="8012" t="s">
        <v>2854</v>
      </c>
      <c r="E256" s="8012" t="s">
        <v>2855</v>
      </c>
      <c r="F256" s="8012" t="s">
        <v>2471</v>
      </c>
      <c r="G256" s="8012" t="s">
        <v>24</v>
      </c>
      <c r="H256" s="8012" t="s">
        <v>24</v>
      </c>
      <c r="I256" s="8012" t="s">
        <v>771</v>
      </c>
    </row>
    <row customHeight="1" ht="11.25">
      <c r="A257" s="8012" t="s">
        <v>2173</v>
      </c>
      <c r="B257" s="8012" t="s">
        <v>14</v>
      </c>
      <c r="C257" s="8012" t="s">
        <v>2856</v>
      </c>
      <c r="D257" s="8012" t="s">
        <v>2857</v>
      </c>
      <c r="E257" s="8012" t="s">
        <v>2858</v>
      </c>
      <c r="F257" s="8012" t="s">
        <v>2253</v>
      </c>
      <c r="G257" s="8012" t="s">
        <v>24</v>
      </c>
      <c r="H257" s="8012" t="s">
        <v>24</v>
      </c>
      <c r="I257" s="8012" t="s">
        <v>771</v>
      </c>
    </row>
    <row customHeight="1" ht="11.25">
      <c r="A258" s="8012" t="s">
        <v>2173</v>
      </c>
      <c r="B258" s="8012" t="s">
        <v>14</v>
      </c>
      <c r="C258" s="8012" t="s">
        <v>2859</v>
      </c>
      <c r="D258" s="8012" t="s">
        <v>2860</v>
      </c>
      <c r="E258" s="8012" t="s">
        <v>2861</v>
      </c>
      <c r="F258" s="8012" t="s">
        <v>2370</v>
      </c>
      <c r="G258" s="8012" t="s">
        <v>24</v>
      </c>
      <c r="H258" s="8012" t="s">
        <v>24</v>
      </c>
      <c r="I258" s="8012" t="s">
        <v>771</v>
      </c>
    </row>
    <row customHeight="1" ht="11.25">
      <c r="A259" s="8012" t="s">
        <v>2173</v>
      </c>
      <c r="B259" s="8012" t="s">
        <v>14</v>
      </c>
      <c r="C259" s="8012" t="s">
        <v>2862</v>
      </c>
      <c r="D259" s="8012" t="s">
        <v>2863</v>
      </c>
      <c r="E259" s="8012" t="s">
        <v>2864</v>
      </c>
      <c r="F259" s="8012" t="s">
        <v>2865</v>
      </c>
      <c r="G259" s="8012" t="s">
        <v>24</v>
      </c>
      <c r="H259" s="8012" t="s">
        <v>24</v>
      </c>
      <c r="I259" s="8012" t="s">
        <v>771</v>
      </c>
    </row>
    <row customHeight="1" ht="11.25">
      <c r="A260" s="8012" t="s">
        <v>2173</v>
      </c>
      <c r="B260" s="8012" t="s">
        <v>14</v>
      </c>
      <c r="C260" s="8012" t="s">
        <v>2866</v>
      </c>
      <c r="D260" s="8012" t="s">
        <v>2867</v>
      </c>
      <c r="E260" s="8012" t="s">
        <v>2868</v>
      </c>
      <c r="F260" s="8012" t="s">
        <v>2390</v>
      </c>
      <c r="G260" s="8012" t="s">
        <v>24</v>
      </c>
      <c r="H260" s="8012" t="s">
        <v>2869</v>
      </c>
      <c r="I260" s="8012" t="s">
        <v>771</v>
      </c>
    </row>
    <row customHeight="1" ht="11.25">
      <c r="A261" s="8012" t="s">
        <v>2173</v>
      </c>
      <c r="B261" s="8012" t="s">
        <v>14</v>
      </c>
      <c r="C261" s="8012" t="s">
        <v>2870</v>
      </c>
      <c r="D261" s="8012" t="s">
        <v>2871</v>
      </c>
      <c r="E261" s="8012" t="s">
        <v>2872</v>
      </c>
      <c r="F261" s="8012" t="s">
        <v>2253</v>
      </c>
      <c r="G261" s="8012" t="s">
        <v>24</v>
      </c>
      <c r="H261" s="8012" t="s">
        <v>24</v>
      </c>
      <c r="I261" s="8012" t="s">
        <v>771</v>
      </c>
    </row>
    <row customHeight="1" ht="11.25">
      <c r="A262" s="8012" t="s">
        <v>2173</v>
      </c>
      <c r="B262" s="8012" t="s">
        <v>14</v>
      </c>
      <c r="C262" s="8012" t="s">
        <v>2873</v>
      </c>
      <c r="D262" s="8012" t="s">
        <v>2874</v>
      </c>
      <c r="E262" s="8012" t="s">
        <v>2875</v>
      </c>
      <c r="F262" s="8012" t="s">
        <v>2390</v>
      </c>
      <c r="G262" s="8012" t="s">
        <v>24</v>
      </c>
      <c r="H262" s="8012" t="s">
        <v>2876</v>
      </c>
      <c r="I262" s="8012" t="s">
        <v>771</v>
      </c>
    </row>
    <row customHeight="1" ht="11.25">
      <c r="A263" s="8012" t="s">
        <v>2173</v>
      </c>
      <c r="B263" s="8012" t="s">
        <v>14</v>
      </c>
      <c r="C263" s="8012" t="s">
        <v>2367</v>
      </c>
      <c r="D263" s="8012" t="s">
        <v>2368</v>
      </c>
      <c r="E263" s="8012" t="s">
        <v>2369</v>
      </c>
      <c r="F263" s="8012" t="s">
        <v>2370</v>
      </c>
      <c r="G263" s="8012" t="s">
        <v>24</v>
      </c>
      <c r="H263" s="8012" t="s">
        <v>24</v>
      </c>
      <c r="I263" s="8012" t="s">
        <v>771</v>
      </c>
    </row>
    <row customHeight="1" ht="11.25">
      <c r="A264" s="8012" t="s">
        <v>2173</v>
      </c>
      <c r="B264" s="8012" t="s">
        <v>14</v>
      </c>
      <c r="C264" s="8012" t="s">
        <v>2877</v>
      </c>
      <c r="D264" s="8012" t="s">
        <v>2878</v>
      </c>
      <c r="E264" s="8012" t="s">
        <v>2879</v>
      </c>
      <c r="F264" s="8012" t="s">
        <v>2390</v>
      </c>
      <c r="G264" s="8012" t="s">
        <v>2880</v>
      </c>
      <c r="H264" s="8012" t="s">
        <v>24</v>
      </c>
      <c r="I264" s="8012" t="s">
        <v>771</v>
      </c>
    </row>
    <row customHeight="1" ht="11.25">
      <c r="A265" s="8012" t="s">
        <v>2173</v>
      </c>
      <c r="B265" s="8012" t="s">
        <v>14</v>
      </c>
      <c r="C265" s="8012" t="s">
        <v>2881</v>
      </c>
      <c r="D265" s="8012" t="s">
        <v>2882</v>
      </c>
      <c r="E265" s="8012" t="s">
        <v>2883</v>
      </c>
      <c r="F265" s="8012" t="s">
        <v>2884</v>
      </c>
      <c r="G265" s="8012" t="s">
        <v>24</v>
      </c>
      <c r="H265" s="8012" t="s">
        <v>24</v>
      </c>
      <c r="I265" s="8012" t="s">
        <v>771</v>
      </c>
    </row>
    <row customHeight="1" ht="11.25">
      <c r="A266" s="8012" t="s">
        <v>2173</v>
      </c>
      <c r="B266" s="8012" t="s">
        <v>14</v>
      </c>
      <c r="C266" s="8012" t="s">
        <v>2885</v>
      </c>
      <c r="D266" s="8012" t="s">
        <v>2886</v>
      </c>
      <c r="E266" s="8012" t="s">
        <v>2887</v>
      </c>
      <c r="F266" s="8012" t="s">
        <v>2390</v>
      </c>
      <c r="G266" s="8012" t="s">
        <v>24</v>
      </c>
      <c r="H266" s="8012" t="s">
        <v>24</v>
      </c>
      <c r="I266" s="8012" t="s">
        <v>771</v>
      </c>
    </row>
    <row customHeight="1" ht="11.25">
      <c r="A267" s="8012" t="s">
        <v>2173</v>
      </c>
      <c r="B267" s="8012" t="s">
        <v>14</v>
      </c>
      <c r="C267" s="8012" t="s">
        <v>2888</v>
      </c>
      <c r="D267" s="8012" t="s">
        <v>2889</v>
      </c>
      <c r="E267" s="8012" t="s">
        <v>2890</v>
      </c>
      <c r="F267" s="8012" t="s">
        <v>2233</v>
      </c>
      <c r="G267" s="8012" t="s">
        <v>2891</v>
      </c>
      <c r="H267" s="8012" t="s">
        <v>24</v>
      </c>
      <c r="I267" s="8012" t="s">
        <v>771</v>
      </c>
    </row>
    <row customHeight="1" ht="11.25">
      <c r="A268" s="8012" t="s">
        <v>2173</v>
      </c>
      <c r="B268" s="8012" t="s">
        <v>14</v>
      </c>
      <c r="C268" s="8012" t="s">
        <v>2892</v>
      </c>
      <c r="D268" s="8012" t="s">
        <v>2893</v>
      </c>
      <c r="E268" s="8012" t="s">
        <v>2894</v>
      </c>
      <c r="F268" s="8012" t="s">
        <v>2233</v>
      </c>
      <c r="G268" s="8012" t="s">
        <v>2895</v>
      </c>
      <c r="H268" s="8012" t="s">
        <v>24</v>
      </c>
      <c r="I268" s="8012" t="s">
        <v>771</v>
      </c>
    </row>
    <row customHeight="1" ht="11.25">
      <c r="A269" s="8012" t="s">
        <v>2173</v>
      </c>
      <c r="B269" s="8012" t="s">
        <v>14</v>
      </c>
      <c r="C269" s="8012" t="s">
        <v>2896</v>
      </c>
      <c r="D269" s="8012" t="s">
        <v>2897</v>
      </c>
      <c r="E269" s="8012" t="s">
        <v>2898</v>
      </c>
      <c r="F269" s="8012" t="s">
        <v>2390</v>
      </c>
      <c r="G269" s="8012" t="s">
        <v>24</v>
      </c>
      <c r="H269" s="8012" t="s">
        <v>2354</v>
      </c>
      <c r="I269" s="8012" t="s">
        <v>771</v>
      </c>
    </row>
    <row customHeight="1" ht="11.25">
      <c r="A270" s="8012" t="s">
        <v>2173</v>
      </c>
      <c r="B270" s="8012" t="s">
        <v>14</v>
      </c>
      <c r="C270" s="8012" t="s">
        <v>2374</v>
      </c>
      <c r="D270" s="8012" t="s">
        <v>2375</v>
      </c>
      <c r="E270" s="8012" t="s">
        <v>2376</v>
      </c>
      <c r="F270" s="8012" t="s">
        <v>2377</v>
      </c>
      <c r="G270" s="8012" t="s">
        <v>24</v>
      </c>
      <c r="H270" s="8012" t="s">
        <v>24</v>
      </c>
      <c r="I270" s="8012" t="s">
        <v>771</v>
      </c>
    </row>
    <row customHeight="1" ht="11.25">
      <c r="A271" s="8012" t="s">
        <v>2173</v>
      </c>
      <c r="B271" s="8012" t="s">
        <v>14</v>
      </c>
      <c r="C271" s="8012" t="s">
        <v>2899</v>
      </c>
      <c r="D271" s="8012" t="s">
        <v>2900</v>
      </c>
      <c r="E271" s="8012" t="s">
        <v>2901</v>
      </c>
      <c r="F271" s="8012" t="s">
        <v>2253</v>
      </c>
      <c r="G271" s="8012" t="s">
        <v>24</v>
      </c>
      <c r="H271" s="8012" t="s">
        <v>2902</v>
      </c>
      <c r="I271" s="8012" t="s">
        <v>771</v>
      </c>
    </row>
    <row customHeight="1" ht="11.25">
      <c r="A272" s="8012" t="s">
        <v>2173</v>
      </c>
      <c r="B272" s="8012" t="s">
        <v>14</v>
      </c>
      <c r="C272" s="8012" t="s">
        <v>2903</v>
      </c>
      <c r="D272" s="8012" t="s">
        <v>2904</v>
      </c>
      <c r="E272" s="8012" t="s">
        <v>2905</v>
      </c>
      <c r="F272" s="8012" t="s">
        <v>2770</v>
      </c>
      <c r="G272" s="8012" t="s">
        <v>24</v>
      </c>
      <c r="H272" s="8012" t="s">
        <v>2354</v>
      </c>
      <c r="I272" s="8012" t="s">
        <v>771</v>
      </c>
    </row>
    <row customHeight="1" ht="11.25">
      <c r="A273" s="8012" t="s">
        <v>2173</v>
      </c>
      <c r="B273" s="8012" t="s">
        <v>14</v>
      </c>
      <c r="C273" s="8012" t="s">
        <v>2378</v>
      </c>
      <c r="D273" s="8012" t="s">
        <v>2379</v>
      </c>
      <c r="E273" s="8012" t="s">
        <v>2380</v>
      </c>
      <c r="F273" s="8012" t="s">
        <v>2381</v>
      </c>
      <c r="G273" s="8012" t="s">
        <v>24</v>
      </c>
      <c r="H273" s="8012" t="s">
        <v>2382</v>
      </c>
      <c r="I273" s="8012" t="s">
        <v>771</v>
      </c>
    </row>
    <row customHeight="1" ht="11.25">
      <c r="A274" s="8012" t="s">
        <v>2173</v>
      </c>
      <c r="B274" s="8012" t="s">
        <v>14</v>
      </c>
      <c r="C274" s="8012" t="s">
        <v>2383</v>
      </c>
      <c r="D274" s="8012" t="s">
        <v>2379</v>
      </c>
      <c r="E274" s="8012" t="s">
        <v>2380</v>
      </c>
      <c r="F274" s="8012" t="s">
        <v>2381</v>
      </c>
      <c r="G274" s="8012" t="s">
        <v>24</v>
      </c>
      <c r="H274" s="8012" t="s">
        <v>24</v>
      </c>
      <c r="I274" s="8012" t="s">
        <v>771</v>
      </c>
    </row>
    <row customHeight="1" ht="11.25">
      <c r="A275" s="8012" t="s">
        <v>2173</v>
      </c>
      <c r="B275" s="8012" t="s">
        <v>14</v>
      </c>
      <c r="C275" s="8012" t="s">
        <v>2384</v>
      </c>
      <c r="D275" s="8012" t="s">
        <v>2385</v>
      </c>
      <c r="E275" s="8012" t="s">
        <v>2386</v>
      </c>
      <c r="F275" s="8012" t="s">
        <v>2381</v>
      </c>
      <c r="G275" s="8012" t="s">
        <v>24</v>
      </c>
      <c r="H275" s="8012" t="s">
        <v>24</v>
      </c>
      <c r="I275" s="8012" t="s">
        <v>771</v>
      </c>
    </row>
    <row customHeight="1" ht="11.25">
      <c r="A276" s="8012" t="s">
        <v>2173</v>
      </c>
      <c r="B276" s="8012" t="s">
        <v>14</v>
      </c>
      <c r="C276" s="8012" t="s">
        <v>2387</v>
      </c>
      <c r="D276" s="8012" t="s">
        <v>2388</v>
      </c>
      <c r="E276" s="8012" t="s">
        <v>2389</v>
      </c>
      <c r="F276" s="8012" t="s">
        <v>2390</v>
      </c>
      <c r="G276" s="8012" t="s">
        <v>24</v>
      </c>
      <c r="H276" s="8012" t="s">
        <v>24</v>
      </c>
      <c r="I276" s="8012" t="s">
        <v>771</v>
      </c>
    </row>
    <row customHeight="1" ht="11.25">
      <c r="A277" s="8012" t="s">
        <v>2173</v>
      </c>
      <c r="B277" s="8012" t="s">
        <v>14</v>
      </c>
      <c r="C277" s="8012" t="s">
        <v>2906</v>
      </c>
      <c r="D277" s="8012" t="s">
        <v>2907</v>
      </c>
      <c r="E277" s="8012" t="s">
        <v>2908</v>
      </c>
      <c r="F277" s="8012" t="s">
        <v>2298</v>
      </c>
      <c r="G277" s="8012" t="s">
        <v>24</v>
      </c>
      <c r="H277" s="8012" t="s">
        <v>24</v>
      </c>
      <c r="I277" s="8012" t="s">
        <v>771</v>
      </c>
    </row>
    <row customHeight="1" ht="11.25">
      <c r="A278" s="8012" t="s">
        <v>2173</v>
      </c>
      <c r="B278" s="8012" t="s">
        <v>14</v>
      </c>
      <c r="C278" s="8012" t="s">
        <v>2909</v>
      </c>
      <c r="D278" s="8012" t="s">
        <v>2910</v>
      </c>
      <c r="E278" s="8012" t="s">
        <v>2911</v>
      </c>
      <c r="F278" s="8012" t="s">
        <v>2770</v>
      </c>
      <c r="G278" s="8012" t="s">
        <v>24</v>
      </c>
      <c r="H278" s="8012" t="s">
        <v>2912</v>
      </c>
      <c r="I278" s="8012" t="s">
        <v>771</v>
      </c>
    </row>
    <row customHeight="1" ht="11.25">
      <c r="A279" s="8012" t="s">
        <v>2173</v>
      </c>
      <c r="B279" s="8012" t="s">
        <v>14</v>
      </c>
      <c r="C279" s="8012" t="s">
        <v>2913</v>
      </c>
      <c r="D279" s="8012" t="s">
        <v>2914</v>
      </c>
      <c r="E279" s="8012" t="s">
        <v>2915</v>
      </c>
      <c r="F279" s="8012" t="s">
        <v>2324</v>
      </c>
      <c r="G279" s="8012" t="s">
        <v>2916</v>
      </c>
      <c r="H279" s="8012" t="s">
        <v>24</v>
      </c>
      <c r="I279" s="8012" t="s">
        <v>771</v>
      </c>
    </row>
    <row customHeight="1" ht="11.25">
      <c r="A280" s="8012" t="s">
        <v>2173</v>
      </c>
      <c r="B280" s="8012" t="s">
        <v>14</v>
      </c>
      <c r="C280" s="8012" t="s">
        <v>2917</v>
      </c>
      <c r="D280" s="8012" t="s">
        <v>2918</v>
      </c>
      <c r="E280" s="8012" t="s">
        <v>2919</v>
      </c>
      <c r="F280" s="8012" t="s">
        <v>2884</v>
      </c>
      <c r="G280" s="8012" t="s">
        <v>24</v>
      </c>
      <c r="H280" s="8012" t="s">
        <v>2354</v>
      </c>
      <c r="I280" s="8012" t="s">
        <v>771</v>
      </c>
    </row>
    <row customHeight="1" ht="11.25">
      <c r="A281" s="8012" t="s">
        <v>2173</v>
      </c>
      <c r="B281" s="8012" t="s">
        <v>14</v>
      </c>
      <c r="C281" s="8012" t="s">
        <v>2920</v>
      </c>
      <c r="D281" s="8012" t="s">
        <v>2921</v>
      </c>
      <c r="E281" s="8012" t="s">
        <v>2922</v>
      </c>
      <c r="F281" s="8012" t="s">
        <v>2770</v>
      </c>
      <c r="G281" s="8012" t="s">
        <v>24</v>
      </c>
      <c r="H281" s="8012" t="s">
        <v>2923</v>
      </c>
      <c r="I281" s="8012" t="s">
        <v>771</v>
      </c>
    </row>
    <row customHeight="1" ht="11.25">
      <c r="A282" s="8012" t="s">
        <v>2173</v>
      </c>
      <c r="B282" s="8012" t="s">
        <v>14</v>
      </c>
      <c r="C282" s="8012" t="s">
        <v>2391</v>
      </c>
      <c r="D282" s="8012" t="s">
        <v>2392</v>
      </c>
      <c r="E282" s="8012" t="s">
        <v>2393</v>
      </c>
      <c r="F282" s="8012" t="s">
        <v>2233</v>
      </c>
      <c r="G282" s="8012" t="s">
        <v>24</v>
      </c>
      <c r="H282" s="8012" t="s">
        <v>24</v>
      </c>
      <c r="I282" s="8012" t="s">
        <v>771</v>
      </c>
    </row>
    <row customHeight="1" ht="11.25">
      <c r="A283" s="8012" t="s">
        <v>2173</v>
      </c>
      <c r="B283" s="8012" t="s">
        <v>14</v>
      </c>
      <c r="C283" s="8012" t="s">
        <v>2924</v>
      </c>
      <c r="D283" s="8012" t="s">
        <v>2925</v>
      </c>
      <c r="E283" s="8012" t="s">
        <v>2926</v>
      </c>
      <c r="F283" s="8012" t="s">
        <v>2261</v>
      </c>
      <c r="G283" s="8012" t="s">
        <v>24</v>
      </c>
      <c r="H283" s="8012" t="s">
        <v>2927</v>
      </c>
      <c r="I283" s="8012" t="s">
        <v>771</v>
      </c>
    </row>
    <row customHeight="1" ht="11.25">
      <c r="A284" s="8012" t="s">
        <v>2173</v>
      </c>
      <c r="B284" s="8012" t="s">
        <v>14</v>
      </c>
      <c r="C284" s="8012" t="s">
        <v>2928</v>
      </c>
      <c r="D284" s="8012" t="s">
        <v>2929</v>
      </c>
      <c r="E284" s="8012" t="s">
        <v>2930</v>
      </c>
      <c r="F284" s="8012" t="s">
        <v>2865</v>
      </c>
      <c r="G284" s="8012" t="s">
        <v>24</v>
      </c>
      <c r="H284" s="8012" t="s">
        <v>24</v>
      </c>
      <c r="I284" s="8012" t="s">
        <v>771</v>
      </c>
    </row>
    <row customHeight="1" ht="11.25">
      <c r="A285" s="8012" t="s">
        <v>2173</v>
      </c>
      <c r="B285" s="8012" t="s">
        <v>14</v>
      </c>
      <c r="C285" s="8012" t="s">
        <v>2394</v>
      </c>
      <c r="D285" s="8012" t="s">
        <v>2395</v>
      </c>
      <c r="E285" s="8012" t="s">
        <v>2396</v>
      </c>
      <c r="F285" s="8012" t="s">
        <v>2377</v>
      </c>
      <c r="G285" s="8012" t="s">
        <v>24</v>
      </c>
      <c r="H285" s="8012" t="s">
        <v>24</v>
      </c>
      <c r="I285" s="8012" t="s">
        <v>771</v>
      </c>
    </row>
    <row customHeight="1" ht="11.25">
      <c r="A286" s="8012" t="s">
        <v>2173</v>
      </c>
      <c r="B286" s="8012" t="s">
        <v>14</v>
      </c>
      <c r="C286" s="8012" t="s">
        <v>2931</v>
      </c>
      <c r="D286" s="8012" t="s">
        <v>2932</v>
      </c>
      <c r="E286" s="8012" t="s">
        <v>2933</v>
      </c>
      <c r="F286" s="8012" t="s">
        <v>2934</v>
      </c>
      <c r="G286" s="8012" t="s">
        <v>24</v>
      </c>
      <c r="H286" s="8012" t="s">
        <v>2354</v>
      </c>
      <c r="I286" s="8012" t="s">
        <v>771</v>
      </c>
    </row>
    <row customHeight="1" ht="11.25">
      <c r="A287" s="8012" t="s">
        <v>2173</v>
      </c>
      <c r="B287" s="8012" t="s">
        <v>14</v>
      </c>
      <c r="C287" s="8012" t="s">
        <v>2935</v>
      </c>
      <c r="D287" s="8012" t="s">
        <v>2936</v>
      </c>
      <c r="E287" s="8012" t="s">
        <v>2937</v>
      </c>
      <c r="F287" s="8012" t="s">
        <v>2312</v>
      </c>
      <c r="G287" s="8012" t="s">
        <v>24</v>
      </c>
      <c r="H287" s="8012" t="s">
        <v>2354</v>
      </c>
      <c r="I287" s="8012" t="s">
        <v>771</v>
      </c>
    </row>
    <row customHeight="1" ht="11.25">
      <c r="A288" s="8012" t="s">
        <v>2173</v>
      </c>
      <c r="B288" s="8012" t="s">
        <v>14</v>
      </c>
      <c r="C288" s="8012" t="s">
        <v>2938</v>
      </c>
      <c r="D288" s="8012" t="s">
        <v>2939</v>
      </c>
      <c r="E288" s="8012" t="s">
        <v>2940</v>
      </c>
      <c r="F288" s="8012" t="s">
        <v>2941</v>
      </c>
      <c r="G288" s="8012" t="s">
        <v>24</v>
      </c>
      <c r="H288" s="8012" t="s">
        <v>2343</v>
      </c>
      <c r="I288" s="8012" t="s">
        <v>771</v>
      </c>
    </row>
    <row customHeight="1" ht="11.25">
      <c r="A289" s="8012" t="s">
        <v>2173</v>
      </c>
      <c r="B289" s="8012" t="s">
        <v>14</v>
      </c>
      <c r="C289" s="8012" t="s">
        <v>2942</v>
      </c>
      <c r="D289" s="8012" t="s">
        <v>2943</v>
      </c>
      <c r="E289" s="8012" t="s">
        <v>2944</v>
      </c>
      <c r="F289" s="8012" t="s">
        <v>2865</v>
      </c>
      <c r="G289" s="8012" t="s">
        <v>24</v>
      </c>
      <c r="H289" s="8012" t="s">
        <v>2927</v>
      </c>
      <c r="I289" s="8012" t="s">
        <v>771</v>
      </c>
    </row>
    <row customHeight="1" ht="11.25">
      <c r="A290" s="8012" t="s">
        <v>2173</v>
      </c>
      <c r="B290" s="8012" t="s">
        <v>14</v>
      </c>
      <c r="C290" s="8012" t="s">
        <v>2945</v>
      </c>
      <c r="D290" s="8012" t="s">
        <v>2946</v>
      </c>
      <c r="E290" s="8012" t="s">
        <v>2947</v>
      </c>
      <c r="F290" s="8012" t="s">
        <v>2865</v>
      </c>
      <c r="G290" s="8012" t="s">
        <v>24</v>
      </c>
      <c r="H290" s="8012" t="s">
        <v>2354</v>
      </c>
      <c r="I290" s="8012" t="s">
        <v>771</v>
      </c>
    </row>
    <row customHeight="1" ht="11.25">
      <c r="A291" s="8012" t="s">
        <v>2173</v>
      </c>
      <c r="B291" s="8012" t="s">
        <v>14</v>
      </c>
      <c r="C291" s="8012" t="s">
        <v>2948</v>
      </c>
      <c r="D291" s="8012" t="s">
        <v>2949</v>
      </c>
      <c r="E291" s="8012" t="s">
        <v>2950</v>
      </c>
      <c r="F291" s="8012" t="s">
        <v>2261</v>
      </c>
      <c r="G291" s="8012" t="s">
        <v>24</v>
      </c>
      <c r="H291" s="8012" t="s">
        <v>24</v>
      </c>
      <c r="I291" s="8012" t="s">
        <v>771</v>
      </c>
    </row>
    <row customHeight="1" ht="11.25">
      <c r="A292" s="8012" t="s">
        <v>2173</v>
      </c>
      <c r="B292" s="8012" t="s">
        <v>14</v>
      </c>
      <c r="C292" s="8012" t="s">
        <v>2951</v>
      </c>
      <c r="D292" s="8012" t="s">
        <v>2952</v>
      </c>
      <c r="E292" s="8012" t="s">
        <v>2953</v>
      </c>
      <c r="F292" s="8012" t="s">
        <v>2770</v>
      </c>
      <c r="G292" s="8012" t="s">
        <v>24</v>
      </c>
      <c r="H292" s="8012" t="s">
        <v>24</v>
      </c>
      <c r="I292" s="8012" t="s">
        <v>771</v>
      </c>
    </row>
    <row customHeight="1" ht="11.25">
      <c r="A293" s="8012" t="s">
        <v>2173</v>
      </c>
      <c r="B293" s="8012" t="s">
        <v>14</v>
      </c>
      <c r="C293" s="8012" t="s">
        <v>2954</v>
      </c>
      <c r="D293" s="8012" t="s">
        <v>2955</v>
      </c>
      <c r="E293" s="8012" t="s">
        <v>2956</v>
      </c>
      <c r="F293" s="8012" t="s">
        <v>2190</v>
      </c>
      <c r="G293" s="8012" t="s">
        <v>24</v>
      </c>
      <c r="H293" s="8012" t="s">
        <v>24</v>
      </c>
      <c r="I293" s="8012" t="s">
        <v>771</v>
      </c>
    </row>
    <row customHeight="1" ht="11.25">
      <c r="A294" s="8012" t="s">
        <v>2173</v>
      </c>
      <c r="B294" s="8012" t="s">
        <v>14</v>
      </c>
      <c r="C294" s="8012" t="s">
        <v>2397</v>
      </c>
      <c r="D294" s="8012" t="s">
        <v>2398</v>
      </c>
      <c r="E294" s="8012" t="s">
        <v>2399</v>
      </c>
      <c r="F294" s="8012" t="s">
        <v>2312</v>
      </c>
      <c r="G294" s="8012" t="s">
        <v>24</v>
      </c>
      <c r="H294" s="8012" t="s">
        <v>24</v>
      </c>
      <c r="I294" s="8012" t="s">
        <v>771</v>
      </c>
    </row>
    <row customHeight="1" ht="11.25">
      <c r="A295" s="8012" t="s">
        <v>2173</v>
      </c>
      <c r="B295" s="8012" t="s">
        <v>14</v>
      </c>
      <c r="C295" s="8012" t="s">
        <v>2957</v>
      </c>
      <c r="D295" s="8012" t="s">
        <v>2958</v>
      </c>
      <c r="E295" s="8012" t="s">
        <v>2959</v>
      </c>
      <c r="F295" s="8012" t="s">
        <v>2770</v>
      </c>
      <c r="G295" s="8012" t="s">
        <v>24</v>
      </c>
      <c r="H295" s="8012" t="s">
        <v>24</v>
      </c>
      <c r="I295" s="8012" t="s">
        <v>771</v>
      </c>
    </row>
    <row customHeight="1" ht="11.25">
      <c r="A296" s="8012" t="s">
        <v>2173</v>
      </c>
      <c r="B296" s="8012" t="s">
        <v>14</v>
      </c>
      <c r="C296" s="8012" t="s">
        <v>2960</v>
      </c>
      <c r="D296" s="8012" t="s">
        <v>2961</v>
      </c>
      <c r="E296" s="8012" t="s">
        <v>2962</v>
      </c>
      <c r="F296" s="8012" t="s">
        <v>2370</v>
      </c>
      <c r="G296" s="8012" t="s">
        <v>24</v>
      </c>
      <c r="H296" s="8012" t="s">
        <v>2963</v>
      </c>
      <c r="I296" s="8012" t="s">
        <v>771</v>
      </c>
    </row>
    <row customHeight="1" ht="11.25">
      <c r="A297" s="8012" t="s">
        <v>2173</v>
      </c>
      <c r="B297" s="8012" t="s">
        <v>14</v>
      </c>
      <c r="C297" s="8012" t="s">
        <v>2964</v>
      </c>
      <c r="D297" s="8012" t="s">
        <v>2965</v>
      </c>
      <c r="E297" s="8012" t="s">
        <v>2966</v>
      </c>
      <c r="F297" s="8012" t="s">
        <v>2370</v>
      </c>
      <c r="G297" s="8012" t="s">
        <v>24</v>
      </c>
      <c r="H297" s="8012" t="s">
        <v>2354</v>
      </c>
      <c r="I297" s="8012" t="s">
        <v>771</v>
      </c>
    </row>
    <row customHeight="1" ht="11.25">
      <c r="A298" s="8012" t="s">
        <v>2173</v>
      </c>
      <c r="B298" s="8012" t="s">
        <v>14</v>
      </c>
      <c r="C298" s="8012" t="s">
        <v>2967</v>
      </c>
      <c r="D298" s="8012" t="s">
        <v>2968</v>
      </c>
      <c r="E298" s="8012" t="s">
        <v>2969</v>
      </c>
      <c r="F298" s="8012" t="s">
        <v>2261</v>
      </c>
      <c r="G298" s="8012" t="s">
        <v>2970</v>
      </c>
      <c r="H298" s="8012" t="s">
        <v>24</v>
      </c>
      <c r="I298" s="8012" t="s">
        <v>771</v>
      </c>
    </row>
    <row customHeight="1" ht="11.25">
      <c r="A299" s="8012" t="s">
        <v>2173</v>
      </c>
      <c r="B299" s="8012" t="s">
        <v>14</v>
      </c>
      <c r="C299" s="8012" t="s">
        <v>2400</v>
      </c>
      <c r="D299" s="8012" t="s">
        <v>2401</v>
      </c>
      <c r="E299" s="8012" t="s">
        <v>2402</v>
      </c>
      <c r="F299" s="8012" t="s">
        <v>2347</v>
      </c>
      <c r="G299" s="8012" t="s">
        <v>24</v>
      </c>
      <c r="H299" s="8012" t="s">
        <v>24</v>
      </c>
      <c r="I299" s="8012" t="s">
        <v>771</v>
      </c>
    </row>
    <row customHeight="1" ht="11.25">
      <c r="A300" s="8012" t="s">
        <v>2173</v>
      </c>
      <c r="B300" s="8012" t="s">
        <v>14</v>
      </c>
      <c r="C300" s="8012" t="s">
        <v>2971</v>
      </c>
      <c r="D300" s="8012" t="s">
        <v>2972</v>
      </c>
      <c r="E300" s="8012" t="s">
        <v>2973</v>
      </c>
      <c r="F300" s="8012" t="s">
        <v>2312</v>
      </c>
      <c r="G300" s="8012" t="s">
        <v>24</v>
      </c>
      <c r="H300" s="8012" t="s">
        <v>2354</v>
      </c>
      <c r="I300" s="8012" t="s">
        <v>771</v>
      </c>
    </row>
    <row customHeight="1" ht="11.25">
      <c r="A301" s="8012" t="s">
        <v>2173</v>
      </c>
      <c r="B301" s="8012" t="s">
        <v>14</v>
      </c>
      <c r="C301" s="8012" t="s">
        <v>2410</v>
      </c>
      <c r="D301" s="8012" t="s">
        <v>2411</v>
      </c>
      <c r="E301" s="8012" t="s">
        <v>2412</v>
      </c>
      <c r="F301" s="8012" t="s">
        <v>2413</v>
      </c>
      <c r="G301" s="8012" t="s">
        <v>24</v>
      </c>
      <c r="H301" s="8012" t="s">
        <v>24</v>
      </c>
      <c r="I301" s="8012" t="s">
        <v>771</v>
      </c>
    </row>
    <row customHeight="1" ht="11.25">
      <c r="A302" s="8012" t="s">
        <v>2173</v>
      </c>
      <c r="B302" s="8012" t="s">
        <v>14</v>
      </c>
      <c r="C302" s="8012" t="s">
        <v>2974</v>
      </c>
      <c r="D302" s="8012" t="s">
        <v>2975</v>
      </c>
      <c r="E302" s="8012" t="s">
        <v>2976</v>
      </c>
      <c r="F302" s="8012" t="s">
        <v>2347</v>
      </c>
      <c r="G302" s="8012" t="s">
        <v>24</v>
      </c>
      <c r="H302" s="8012" t="s">
        <v>2977</v>
      </c>
      <c r="I302" s="8012" t="s">
        <v>771</v>
      </c>
    </row>
    <row customHeight="1" ht="11.25">
      <c r="A303" s="8012" t="s">
        <v>2173</v>
      </c>
      <c r="B303" s="8012" t="s">
        <v>14</v>
      </c>
      <c r="C303" s="8012" t="s">
        <v>2978</v>
      </c>
      <c r="D303" s="8012" t="s">
        <v>2979</v>
      </c>
      <c r="E303" s="8012" t="s">
        <v>2212</v>
      </c>
      <c r="F303" s="8012" t="s">
        <v>2980</v>
      </c>
      <c r="G303" s="8012" t="s">
        <v>24</v>
      </c>
      <c r="H303" s="8012" t="s">
        <v>24</v>
      </c>
      <c r="I303" s="8012" t="s">
        <v>771</v>
      </c>
    </row>
    <row customHeight="1" ht="11.25">
      <c r="A304" s="8012" t="s">
        <v>2173</v>
      </c>
      <c r="B304" s="8012" t="s">
        <v>14</v>
      </c>
      <c r="C304" s="8012" t="s">
        <v>2417</v>
      </c>
      <c r="D304" s="8012" t="s">
        <v>2418</v>
      </c>
      <c r="E304" s="8012" t="s">
        <v>2419</v>
      </c>
      <c r="F304" s="8012" t="s">
        <v>2209</v>
      </c>
      <c r="G304" s="8012" t="s">
        <v>24</v>
      </c>
      <c r="H304" s="8012" t="s">
        <v>2205</v>
      </c>
      <c r="I304" s="8012" t="s">
        <v>771</v>
      </c>
    </row>
    <row customHeight="1" ht="11.25">
      <c r="A305" s="8012" t="s">
        <v>2173</v>
      </c>
      <c r="B305" s="8012" t="s">
        <v>14</v>
      </c>
      <c r="C305" s="8012" t="s">
        <v>2981</v>
      </c>
      <c r="D305" s="8012" t="s">
        <v>2982</v>
      </c>
      <c r="E305" s="8012" t="s">
        <v>2983</v>
      </c>
      <c r="F305" s="8012" t="s">
        <v>2190</v>
      </c>
      <c r="G305" s="8012" t="s">
        <v>24</v>
      </c>
      <c r="H305" s="8012" t="s">
        <v>24</v>
      </c>
      <c r="I305" s="8012" t="s">
        <v>771</v>
      </c>
    </row>
    <row customHeight="1" ht="11.25">
      <c r="A306" s="8012" t="s">
        <v>2173</v>
      </c>
      <c r="B306" s="8012" t="s">
        <v>14</v>
      </c>
      <c r="C306" s="8012" t="s">
        <v>2435</v>
      </c>
      <c r="D306" s="8012" t="s">
        <v>2436</v>
      </c>
      <c r="E306" s="8012" t="s">
        <v>2437</v>
      </c>
      <c r="F306" s="8012" t="s">
        <v>2381</v>
      </c>
      <c r="G306" s="8012" t="s">
        <v>24</v>
      </c>
      <c r="H306" s="8012" t="s">
        <v>24</v>
      </c>
      <c r="I306" s="8012" t="s">
        <v>771</v>
      </c>
    </row>
    <row customHeight="1" ht="11.25">
      <c r="A307" s="8012" t="s">
        <v>2173</v>
      </c>
      <c r="B307" s="8012" t="s">
        <v>14</v>
      </c>
      <c r="C307" s="8012" t="s">
        <v>2984</v>
      </c>
      <c r="D307" s="8012" t="s">
        <v>2985</v>
      </c>
      <c r="E307" s="8012" t="s">
        <v>2986</v>
      </c>
      <c r="F307" s="8012" t="s">
        <v>2594</v>
      </c>
      <c r="G307" s="8012" t="s">
        <v>2987</v>
      </c>
      <c r="H307" s="8012" t="s">
        <v>24</v>
      </c>
      <c r="I307" s="8012" t="s">
        <v>771</v>
      </c>
    </row>
    <row customHeight="1" ht="11.25">
      <c r="A308" s="8012" t="s">
        <v>2173</v>
      </c>
      <c r="B308" s="8012" t="s">
        <v>14</v>
      </c>
      <c r="C308" s="8012" t="s">
        <v>2988</v>
      </c>
      <c r="D308" s="8012" t="s">
        <v>2989</v>
      </c>
      <c r="E308" s="8012" t="s">
        <v>2990</v>
      </c>
      <c r="F308" s="8012" t="s">
        <v>2991</v>
      </c>
      <c r="G308" s="8012" t="s">
        <v>24</v>
      </c>
      <c r="H308" s="8012" t="s">
        <v>2992</v>
      </c>
      <c r="I308" s="8012" t="s">
        <v>771</v>
      </c>
    </row>
    <row customHeight="1" ht="11.25">
      <c r="A309" s="8012" t="s">
        <v>2173</v>
      </c>
      <c r="B309" s="8012" t="s">
        <v>14</v>
      </c>
      <c r="C309" s="8012" t="s">
        <v>2993</v>
      </c>
      <c r="D309" s="8012" t="s">
        <v>2994</v>
      </c>
      <c r="E309" s="8012" t="s">
        <v>2995</v>
      </c>
      <c r="F309" s="8012" t="s">
        <v>2332</v>
      </c>
      <c r="G309" s="8012" t="s">
        <v>24</v>
      </c>
      <c r="H309" s="8012" t="s">
        <v>2996</v>
      </c>
      <c r="I309" s="8012" t="s">
        <v>771</v>
      </c>
    </row>
    <row customHeight="1" ht="11.25">
      <c r="A310" s="8012" t="s">
        <v>2173</v>
      </c>
      <c r="B310" s="8012" t="s">
        <v>14</v>
      </c>
      <c r="C310" s="8012" t="s">
        <v>2997</v>
      </c>
      <c r="D310" s="8012" t="s">
        <v>2998</v>
      </c>
      <c r="E310" s="8012" t="s">
        <v>2999</v>
      </c>
      <c r="F310" s="8012" t="s">
        <v>2991</v>
      </c>
      <c r="G310" s="8012" t="s">
        <v>24</v>
      </c>
      <c r="H310" s="8012" t="s">
        <v>24</v>
      </c>
      <c r="I310" s="8012" t="s">
        <v>771</v>
      </c>
    </row>
    <row customHeight="1" ht="11.25">
      <c r="A311" s="8012" t="s">
        <v>2173</v>
      </c>
      <c r="B311" s="8012" t="s">
        <v>14</v>
      </c>
      <c r="C311" s="8012" t="s">
        <v>3000</v>
      </c>
      <c r="D311" s="8012" t="s">
        <v>3001</v>
      </c>
      <c r="E311" s="8012" t="s">
        <v>3002</v>
      </c>
      <c r="F311" s="8012" t="s">
        <v>3003</v>
      </c>
      <c r="G311" s="8012" t="s">
        <v>24</v>
      </c>
      <c r="H311" s="8012" t="s">
        <v>3004</v>
      </c>
      <c r="I311" s="8012" t="s">
        <v>771</v>
      </c>
    </row>
    <row customHeight="1" ht="11.25">
      <c r="A312" s="8012" t="s">
        <v>2173</v>
      </c>
      <c r="B312" s="8012" t="s">
        <v>14</v>
      </c>
      <c r="C312" s="8012" t="s">
        <v>3005</v>
      </c>
      <c r="D312" s="8012" t="s">
        <v>3006</v>
      </c>
      <c r="E312" s="8012" t="s">
        <v>3007</v>
      </c>
      <c r="F312" s="8012" t="s">
        <v>2194</v>
      </c>
      <c r="G312" s="8012" t="s">
        <v>3008</v>
      </c>
      <c r="H312" s="8012" t="s">
        <v>24</v>
      </c>
      <c r="I312" s="8012" t="s">
        <v>771</v>
      </c>
    </row>
    <row customHeight="1" ht="11.25">
      <c r="A313" s="8012" t="s">
        <v>2173</v>
      </c>
      <c r="B313" s="8012" t="s">
        <v>14</v>
      </c>
      <c r="C313" s="8012" t="s">
        <v>3009</v>
      </c>
      <c r="D313" s="8012" t="s">
        <v>3010</v>
      </c>
      <c r="E313" s="8012" t="s">
        <v>3011</v>
      </c>
      <c r="F313" s="8012" t="s">
        <v>2177</v>
      </c>
      <c r="G313" s="8012" t="s">
        <v>24</v>
      </c>
      <c r="H313" s="8012" t="s">
        <v>24</v>
      </c>
      <c r="I313" s="8012" t="s">
        <v>771</v>
      </c>
    </row>
    <row customHeight="1" ht="11.25">
      <c r="A314" s="8012" t="s">
        <v>2173</v>
      </c>
      <c r="B314" s="8012" t="s">
        <v>14</v>
      </c>
      <c r="C314" s="8012" t="s">
        <v>3012</v>
      </c>
      <c r="D314" s="8012" t="s">
        <v>3013</v>
      </c>
      <c r="E314" s="8012" t="s">
        <v>3014</v>
      </c>
      <c r="F314" s="8012" t="s">
        <v>3003</v>
      </c>
      <c r="G314" s="8012" t="s">
        <v>24</v>
      </c>
      <c r="H314" s="8012" t="s">
        <v>24</v>
      </c>
      <c r="I314" s="8012" t="s">
        <v>771</v>
      </c>
    </row>
    <row customHeight="1" ht="11.25">
      <c r="A315" s="8012" t="s">
        <v>2173</v>
      </c>
      <c r="B315" s="8012" t="s">
        <v>14</v>
      </c>
      <c r="C315" s="8012" t="s">
        <v>3015</v>
      </c>
      <c r="D315" s="8012" t="s">
        <v>3016</v>
      </c>
      <c r="E315" s="8012" t="s">
        <v>3017</v>
      </c>
      <c r="F315" s="8012" t="s">
        <v>2365</v>
      </c>
      <c r="G315" s="8012" t="s">
        <v>24</v>
      </c>
      <c r="H315" s="8012" t="s">
        <v>24</v>
      </c>
      <c r="I315" s="8012" t="s">
        <v>771</v>
      </c>
    </row>
    <row customHeight="1" ht="11.25">
      <c r="A316" s="8012" t="s">
        <v>2173</v>
      </c>
      <c r="B316" s="8012" t="s">
        <v>14</v>
      </c>
      <c r="C316" s="8012" t="s">
        <v>3018</v>
      </c>
      <c r="D316" s="8012" t="s">
        <v>3019</v>
      </c>
      <c r="E316" s="8012" t="s">
        <v>3020</v>
      </c>
      <c r="F316" s="8012" t="s">
        <v>2770</v>
      </c>
      <c r="G316" s="8012" t="s">
        <v>3021</v>
      </c>
      <c r="H316" s="8012" t="s">
        <v>24</v>
      </c>
      <c r="I316" s="8012" t="s">
        <v>771</v>
      </c>
    </row>
    <row customHeight="1" ht="11.25">
      <c r="A317" s="8012" t="s">
        <v>2173</v>
      </c>
      <c r="B317" s="8012" t="s">
        <v>14</v>
      </c>
      <c r="C317" s="8012" t="s">
        <v>2454</v>
      </c>
      <c r="D317" s="8012" t="s">
        <v>2455</v>
      </c>
      <c r="E317" s="8012" t="s">
        <v>2456</v>
      </c>
      <c r="F317" s="8012" t="s">
        <v>2457</v>
      </c>
      <c r="G317" s="8012" t="s">
        <v>2458</v>
      </c>
      <c r="H317" s="8012" t="s">
        <v>24</v>
      </c>
      <c r="I317" s="8012" t="s">
        <v>771</v>
      </c>
    </row>
    <row customHeight="1" ht="11.25">
      <c r="A318" s="8012" t="s">
        <v>2173</v>
      </c>
      <c r="B318" s="8012" t="s">
        <v>14</v>
      </c>
      <c r="C318" s="8012" t="s">
        <v>3022</v>
      </c>
      <c r="D318" s="8012" t="s">
        <v>3023</v>
      </c>
      <c r="E318" s="8012" t="s">
        <v>3024</v>
      </c>
      <c r="F318" s="8012" t="s">
        <v>2233</v>
      </c>
      <c r="G318" s="8012" t="s">
        <v>24</v>
      </c>
      <c r="H318" s="8012" t="s">
        <v>24</v>
      </c>
      <c r="I318" s="8012" t="s">
        <v>771</v>
      </c>
    </row>
    <row customHeight="1" ht="11.25">
      <c r="A319" s="8012" t="s">
        <v>2173</v>
      </c>
      <c r="B319" s="8012" t="s">
        <v>14</v>
      </c>
      <c r="C319" s="8012" t="s">
        <v>3025</v>
      </c>
      <c r="D319" s="8012" t="s">
        <v>3026</v>
      </c>
      <c r="E319" s="8012" t="s">
        <v>3027</v>
      </c>
      <c r="F319" s="8012" t="s">
        <v>2457</v>
      </c>
      <c r="G319" s="8012" t="s">
        <v>24</v>
      </c>
      <c r="H319" s="8012" t="s">
        <v>24</v>
      </c>
      <c r="I319" s="8012" t="s">
        <v>771</v>
      </c>
    </row>
    <row customHeight="1" ht="11.25">
      <c r="A320" s="8012" t="s">
        <v>2173</v>
      </c>
      <c r="B320" s="8012" t="s">
        <v>14</v>
      </c>
      <c r="C320" s="8012" t="s">
        <v>3028</v>
      </c>
      <c r="D320" s="8012" t="s">
        <v>3029</v>
      </c>
      <c r="E320" s="8012" t="s">
        <v>3030</v>
      </c>
      <c r="F320" s="8012" t="s">
        <v>2332</v>
      </c>
      <c r="G320" s="8012" t="s">
        <v>24</v>
      </c>
      <c r="H320" s="8012" t="s">
        <v>3031</v>
      </c>
      <c r="I320" s="8012" t="s">
        <v>771</v>
      </c>
    </row>
    <row customHeight="1" ht="11.25">
      <c r="A321" s="8012" t="s">
        <v>2173</v>
      </c>
      <c r="B321" s="8012" t="s">
        <v>14</v>
      </c>
      <c r="C321" s="8012" t="s">
        <v>3032</v>
      </c>
      <c r="D321" s="8012" t="s">
        <v>3033</v>
      </c>
      <c r="E321" s="8012" t="s">
        <v>3034</v>
      </c>
      <c r="F321" s="8012" t="s">
        <v>2261</v>
      </c>
      <c r="G321" s="8012" t="s">
        <v>24</v>
      </c>
      <c r="H321" s="8012" t="s">
        <v>3035</v>
      </c>
      <c r="I321" s="8012" t="s">
        <v>771</v>
      </c>
    </row>
    <row customHeight="1" ht="11.25">
      <c r="A322" s="8012" t="s">
        <v>2173</v>
      </c>
      <c r="B322" s="8012" t="s">
        <v>14</v>
      </c>
      <c r="C322" s="8012" t="s">
        <v>3036</v>
      </c>
      <c r="D322" s="8012" t="s">
        <v>3037</v>
      </c>
      <c r="E322" s="8012" t="s">
        <v>3038</v>
      </c>
      <c r="F322" s="8012" t="s">
        <v>2181</v>
      </c>
      <c r="G322" s="8012" t="s">
        <v>24</v>
      </c>
      <c r="H322" s="8012" t="s">
        <v>24</v>
      </c>
      <c r="I322" s="8012" t="s">
        <v>771</v>
      </c>
    </row>
    <row customHeight="1" ht="11.25">
      <c r="A323" s="8012" t="s">
        <v>2173</v>
      </c>
      <c r="B323" s="8012" t="s">
        <v>14</v>
      </c>
      <c r="C323" s="8012" t="s">
        <v>2493</v>
      </c>
      <c r="D323" s="8012" t="s">
        <v>2494</v>
      </c>
      <c r="E323" s="8012" t="s">
        <v>2495</v>
      </c>
      <c r="F323" s="8012" t="s">
        <v>2496</v>
      </c>
      <c r="G323" s="8012" t="s">
        <v>24</v>
      </c>
      <c r="H323" s="8012" t="s">
        <v>24</v>
      </c>
      <c r="I323" s="8012" t="s">
        <v>771</v>
      </c>
    </row>
    <row customHeight="1" ht="11.25">
      <c r="A324" s="8012" t="s">
        <v>2173</v>
      </c>
      <c r="B324" s="8012" t="s">
        <v>14</v>
      </c>
      <c r="C324" s="8012" t="s">
        <v>3039</v>
      </c>
      <c r="D324" s="8012" t="s">
        <v>3040</v>
      </c>
      <c r="E324" s="8012" t="s">
        <v>3041</v>
      </c>
      <c r="F324" s="8012" t="s">
        <v>2190</v>
      </c>
      <c r="G324" s="8012" t="s">
        <v>24</v>
      </c>
      <c r="H324" s="8012" t="s">
        <v>24</v>
      </c>
      <c r="I324" s="8012" t="s">
        <v>771</v>
      </c>
    </row>
    <row customHeight="1" ht="11.25">
      <c r="A325" s="8012" t="s">
        <v>2173</v>
      </c>
      <c r="B325" s="8012" t="s">
        <v>14</v>
      </c>
      <c r="C325" s="8012" t="s">
        <v>3042</v>
      </c>
      <c r="D325" s="8012" t="s">
        <v>3043</v>
      </c>
      <c r="E325" s="8012" t="s">
        <v>3044</v>
      </c>
      <c r="F325" s="8012" t="s">
        <v>2177</v>
      </c>
      <c r="G325" s="8012" t="s">
        <v>24</v>
      </c>
      <c r="H325" s="8012" t="s">
        <v>3045</v>
      </c>
      <c r="I325" s="8012" t="s">
        <v>771</v>
      </c>
    </row>
    <row customHeight="1" ht="11.25">
      <c r="A326" s="8012" t="s">
        <v>2173</v>
      </c>
      <c r="B326" s="8012" t="s">
        <v>14</v>
      </c>
      <c r="C326" s="8012" t="s">
        <v>3046</v>
      </c>
      <c r="D326" s="8012" t="s">
        <v>3047</v>
      </c>
      <c r="E326" s="8012" t="s">
        <v>3048</v>
      </c>
      <c r="F326" s="8012" t="s">
        <v>2177</v>
      </c>
      <c r="G326" s="8012" t="s">
        <v>24</v>
      </c>
      <c r="H326" s="8012" t="s">
        <v>2354</v>
      </c>
      <c r="I326" s="8012" t="s">
        <v>771</v>
      </c>
    </row>
    <row customHeight="1" ht="11.25">
      <c r="A327" s="8012" t="s">
        <v>2173</v>
      </c>
      <c r="B327" s="8012" t="s">
        <v>14</v>
      </c>
      <c r="C327" s="8012" t="s">
        <v>2497</v>
      </c>
      <c r="D327" s="8012" t="s">
        <v>2498</v>
      </c>
      <c r="E327" s="8012" t="s">
        <v>2499</v>
      </c>
      <c r="F327" s="8012" t="s">
        <v>2457</v>
      </c>
      <c r="G327" s="8012" t="s">
        <v>24</v>
      </c>
      <c r="H327" s="8012" t="s">
        <v>24</v>
      </c>
      <c r="I327" s="8012" t="s">
        <v>771</v>
      </c>
    </row>
    <row customHeight="1" ht="11.25">
      <c r="A328" s="8012" t="s">
        <v>2173</v>
      </c>
      <c r="B328" s="8012" t="s">
        <v>14</v>
      </c>
      <c r="C328" s="8012" t="s">
        <v>2503</v>
      </c>
      <c r="D328" s="8012" t="s">
        <v>2504</v>
      </c>
      <c r="E328" s="8012" t="s">
        <v>2505</v>
      </c>
      <c r="F328" s="8012" t="s">
        <v>2457</v>
      </c>
      <c r="G328" s="8012" t="s">
        <v>24</v>
      </c>
      <c r="H328" s="8012" t="s">
        <v>24</v>
      </c>
      <c r="I328" s="8012" t="s">
        <v>771</v>
      </c>
    </row>
    <row customHeight="1" ht="11.25">
      <c r="A329" s="8012" t="s">
        <v>2173</v>
      </c>
      <c r="B329" s="8012" t="s">
        <v>14</v>
      </c>
      <c r="C329" s="8012" t="s">
        <v>3049</v>
      </c>
      <c r="D329" s="8012" t="s">
        <v>3050</v>
      </c>
      <c r="E329" s="8012" t="s">
        <v>3051</v>
      </c>
      <c r="F329" s="8012" t="s">
        <v>2457</v>
      </c>
      <c r="G329" s="8012" t="s">
        <v>24</v>
      </c>
      <c r="H329" s="8012" t="s">
        <v>24</v>
      </c>
      <c r="I329" s="8012" t="s">
        <v>771</v>
      </c>
    </row>
    <row customHeight="1" ht="11.25">
      <c r="A330" s="8012" t="s">
        <v>2173</v>
      </c>
      <c r="B330" s="8012" t="s">
        <v>14</v>
      </c>
      <c r="C330" s="8012" t="s">
        <v>3052</v>
      </c>
      <c r="D330" s="8012" t="s">
        <v>3053</v>
      </c>
      <c r="E330" s="8012" t="s">
        <v>3054</v>
      </c>
      <c r="F330" s="8012" t="s">
        <v>2406</v>
      </c>
      <c r="G330" s="8012" t="s">
        <v>24</v>
      </c>
      <c r="H330" s="8012" t="s">
        <v>3055</v>
      </c>
      <c r="I330" s="8012" t="s">
        <v>771</v>
      </c>
    </row>
    <row customHeight="1" ht="11.25">
      <c r="A331" s="8012" t="s">
        <v>2173</v>
      </c>
      <c r="B331" s="8012" t="s">
        <v>14</v>
      </c>
      <c r="C331" s="8012" t="s">
        <v>3056</v>
      </c>
      <c r="D331" s="8012" t="s">
        <v>3057</v>
      </c>
      <c r="E331" s="8012" t="s">
        <v>3058</v>
      </c>
      <c r="F331" s="8012" t="s">
        <v>2312</v>
      </c>
      <c r="G331" s="8012" t="s">
        <v>3059</v>
      </c>
      <c r="H331" s="8012" t="s">
        <v>24</v>
      </c>
      <c r="I331" s="8012" t="s">
        <v>771</v>
      </c>
    </row>
    <row customHeight="1" ht="11.25">
      <c r="A332" s="8012" t="s">
        <v>2173</v>
      </c>
      <c r="B332" s="8012" t="s">
        <v>14</v>
      </c>
      <c r="C332" s="8012" t="s">
        <v>3060</v>
      </c>
      <c r="D332" s="8012" t="s">
        <v>3061</v>
      </c>
      <c r="E332" s="8012" t="s">
        <v>3062</v>
      </c>
      <c r="F332" s="8012" t="s">
        <v>2190</v>
      </c>
      <c r="G332" s="8012" t="s">
        <v>3063</v>
      </c>
      <c r="H332" s="8012" t="s">
        <v>24</v>
      </c>
      <c r="I332" s="8012" t="s">
        <v>771</v>
      </c>
    </row>
    <row customHeight="1" ht="11.25">
      <c r="A333" s="8012" t="s">
        <v>2173</v>
      </c>
      <c r="B333" s="8012" t="s">
        <v>14</v>
      </c>
      <c r="C333" s="8012" t="s">
        <v>3064</v>
      </c>
      <c r="D333" s="8012" t="s">
        <v>3065</v>
      </c>
      <c r="E333" s="8012" t="s">
        <v>3066</v>
      </c>
      <c r="F333" s="8012" t="s">
        <v>2332</v>
      </c>
      <c r="G333" s="8012" t="s">
        <v>24</v>
      </c>
      <c r="H333" s="8012" t="s">
        <v>24</v>
      </c>
      <c r="I333" s="8012" t="s">
        <v>771</v>
      </c>
    </row>
    <row customHeight="1" ht="11.25">
      <c r="A334" s="8012" t="s">
        <v>2173</v>
      </c>
      <c r="B334" s="8012" t="s">
        <v>14</v>
      </c>
      <c r="C334" s="8012" t="s">
        <v>3067</v>
      </c>
      <c r="D334" s="8012" t="s">
        <v>3068</v>
      </c>
      <c r="E334" s="8012" t="s">
        <v>3069</v>
      </c>
      <c r="F334" s="8012" t="s">
        <v>2770</v>
      </c>
      <c r="G334" s="8012" t="s">
        <v>3070</v>
      </c>
      <c r="H334" s="8012" t="s">
        <v>24</v>
      </c>
      <c r="I334" s="8012" t="s">
        <v>771</v>
      </c>
    </row>
    <row customHeight="1" ht="11.25">
      <c r="A335" s="8012" t="s">
        <v>2173</v>
      </c>
      <c r="B335" s="8012" t="s">
        <v>14</v>
      </c>
      <c r="C335" s="8012" t="s">
        <v>3071</v>
      </c>
      <c r="D335" s="8012" t="s">
        <v>3072</v>
      </c>
      <c r="E335" s="8012" t="s">
        <v>3073</v>
      </c>
      <c r="F335" s="8012" t="s">
        <v>2513</v>
      </c>
      <c r="G335" s="8012" t="s">
        <v>24</v>
      </c>
      <c r="H335" s="8012" t="s">
        <v>3074</v>
      </c>
      <c r="I335" s="8012" t="s">
        <v>771</v>
      </c>
    </row>
    <row customHeight="1" ht="11.25">
      <c r="A336" s="8012" t="s">
        <v>2173</v>
      </c>
      <c r="B336" s="8012" t="s">
        <v>14</v>
      </c>
      <c r="C336" s="8012" t="s">
        <v>3075</v>
      </c>
      <c r="D336" s="8012" t="s">
        <v>3076</v>
      </c>
      <c r="E336" s="8012" t="s">
        <v>3077</v>
      </c>
      <c r="F336" s="8012" t="s">
        <v>2253</v>
      </c>
      <c r="G336" s="8012" t="s">
        <v>3078</v>
      </c>
      <c r="H336" s="8012" t="s">
        <v>24</v>
      </c>
      <c r="I336" s="8012" t="s">
        <v>771</v>
      </c>
    </row>
    <row customHeight="1" ht="11.25">
      <c r="A337" s="8012" t="s">
        <v>2173</v>
      </c>
      <c r="B337" s="8012" t="s">
        <v>14</v>
      </c>
      <c r="C337" s="8012" t="s">
        <v>3079</v>
      </c>
      <c r="D337" s="8012" t="s">
        <v>3080</v>
      </c>
      <c r="E337" s="8012" t="s">
        <v>3081</v>
      </c>
      <c r="F337" s="8012" t="s">
        <v>2513</v>
      </c>
      <c r="G337" s="8012" t="s">
        <v>24</v>
      </c>
      <c r="H337" s="8012" t="s">
        <v>3031</v>
      </c>
      <c r="I337" s="8012" t="s">
        <v>771</v>
      </c>
    </row>
    <row customHeight="1" ht="11.25">
      <c r="A338" s="8012" t="s">
        <v>2173</v>
      </c>
      <c r="B338" s="8012" t="s">
        <v>14</v>
      </c>
      <c r="C338" s="8012" t="s">
        <v>3082</v>
      </c>
      <c r="D338" s="8012" t="s">
        <v>3083</v>
      </c>
      <c r="E338" s="8012" t="s">
        <v>3084</v>
      </c>
      <c r="F338" s="8012" t="s">
        <v>2471</v>
      </c>
      <c r="G338" s="8012" t="s">
        <v>24</v>
      </c>
      <c r="H338" s="8012" t="s">
        <v>3031</v>
      </c>
      <c r="I338" s="8012" t="s">
        <v>771</v>
      </c>
    </row>
    <row customHeight="1" ht="11.25">
      <c r="A339" s="8012" t="s">
        <v>2173</v>
      </c>
      <c r="B339" s="8012" t="s">
        <v>14</v>
      </c>
      <c r="C339" s="8012" t="s">
        <v>3085</v>
      </c>
      <c r="D339" s="8012" t="s">
        <v>3086</v>
      </c>
      <c r="E339" s="8012" t="s">
        <v>3087</v>
      </c>
      <c r="F339" s="8012" t="s">
        <v>2594</v>
      </c>
      <c r="G339" s="8012" t="s">
        <v>3088</v>
      </c>
      <c r="H339" s="8012" t="s">
        <v>24</v>
      </c>
      <c r="I339" s="8012" t="s">
        <v>771</v>
      </c>
    </row>
    <row customHeight="1" ht="11.25">
      <c r="A340" s="8012" t="s">
        <v>2173</v>
      </c>
      <c r="B340" s="8012" t="s">
        <v>14</v>
      </c>
      <c r="C340" s="8012" t="s">
        <v>2515</v>
      </c>
      <c r="D340" s="8012" t="s">
        <v>2516</v>
      </c>
      <c r="E340" s="8012" t="s">
        <v>2517</v>
      </c>
      <c r="F340" s="8012" t="s">
        <v>2457</v>
      </c>
      <c r="G340" s="8012" t="s">
        <v>24</v>
      </c>
      <c r="H340" s="8012" t="s">
        <v>24</v>
      </c>
      <c r="I340" s="8012" t="s">
        <v>771</v>
      </c>
    </row>
    <row customHeight="1" ht="11.25">
      <c r="A341" s="8012" t="s">
        <v>2173</v>
      </c>
      <c r="B341" s="8012" t="s">
        <v>14</v>
      </c>
      <c r="C341" s="8012" t="s">
        <v>3089</v>
      </c>
      <c r="D341" s="8012" t="s">
        <v>3090</v>
      </c>
      <c r="E341" s="8012" t="s">
        <v>3091</v>
      </c>
      <c r="F341" s="8012" t="s">
        <v>2312</v>
      </c>
      <c r="G341" s="8012" t="s">
        <v>24</v>
      </c>
      <c r="H341" s="8012" t="s">
        <v>24</v>
      </c>
      <c r="I341" s="8012" t="s">
        <v>771</v>
      </c>
    </row>
    <row customHeight="1" ht="11.25">
      <c r="A342" s="8012" t="s">
        <v>2173</v>
      </c>
      <c r="B342" s="8012" t="s">
        <v>14</v>
      </c>
      <c r="C342" s="8012" t="s">
        <v>2525</v>
      </c>
      <c r="D342" s="8012" t="s">
        <v>2526</v>
      </c>
      <c r="E342" s="8012" t="s">
        <v>2527</v>
      </c>
      <c r="F342" s="8012" t="s">
        <v>2528</v>
      </c>
      <c r="G342" s="8012" t="s">
        <v>2529</v>
      </c>
      <c r="H342" s="8012" t="s">
        <v>2530</v>
      </c>
      <c r="I342" s="8012" t="s">
        <v>771</v>
      </c>
    </row>
    <row customHeight="1" ht="11.25">
      <c r="A343" s="8012" t="s">
        <v>2173</v>
      </c>
      <c r="B343" s="8012" t="s">
        <v>14</v>
      </c>
      <c r="C343" s="8012" t="s">
        <v>3092</v>
      </c>
      <c r="D343" s="8012" t="s">
        <v>3093</v>
      </c>
      <c r="E343" s="8012" t="s">
        <v>3094</v>
      </c>
      <c r="F343" s="8012" t="s">
        <v>2991</v>
      </c>
      <c r="G343" s="8012" t="s">
        <v>24</v>
      </c>
      <c r="H343" s="8012" t="s">
        <v>3095</v>
      </c>
      <c r="I343" s="8012" t="s">
        <v>771</v>
      </c>
    </row>
    <row customHeight="1" ht="11.25">
      <c r="A344" s="8012" t="s">
        <v>2173</v>
      </c>
      <c r="B344" s="8012" t="s">
        <v>14</v>
      </c>
      <c r="C344" s="8012" t="s">
        <v>3096</v>
      </c>
      <c r="D344" s="8012" t="s">
        <v>3097</v>
      </c>
      <c r="E344" s="8012" t="s">
        <v>3098</v>
      </c>
      <c r="F344" s="8012" t="s">
        <v>2177</v>
      </c>
      <c r="G344" s="8012" t="s">
        <v>24</v>
      </c>
      <c r="H344" s="8012" t="s">
        <v>2205</v>
      </c>
      <c r="I344" s="8012" t="s">
        <v>771</v>
      </c>
    </row>
    <row customHeight="1" ht="11.25">
      <c r="A345" s="8012" t="s">
        <v>2173</v>
      </c>
      <c r="B345" s="8012" t="s">
        <v>14</v>
      </c>
      <c r="C345" s="8012" t="s">
        <v>3099</v>
      </c>
      <c r="D345" s="8012" t="s">
        <v>3100</v>
      </c>
      <c r="E345" s="8012" t="s">
        <v>3101</v>
      </c>
      <c r="F345" s="8012" t="s">
        <v>2253</v>
      </c>
      <c r="G345" s="8012" t="s">
        <v>24</v>
      </c>
      <c r="H345" s="8012" t="s">
        <v>3102</v>
      </c>
      <c r="I345" s="8012" t="s">
        <v>771</v>
      </c>
    </row>
    <row customHeight="1" ht="11.25">
      <c r="A346" s="8012" t="s">
        <v>2173</v>
      </c>
      <c r="B346" s="8012" t="s">
        <v>14</v>
      </c>
      <c r="C346" s="8012" t="s">
        <v>3103</v>
      </c>
      <c r="D346" s="8012" t="s">
        <v>3104</v>
      </c>
      <c r="E346" s="8012" t="s">
        <v>3105</v>
      </c>
      <c r="F346" s="8012" t="s">
        <v>2253</v>
      </c>
      <c r="G346" s="8012" t="s">
        <v>24</v>
      </c>
      <c r="H346" s="8012" t="s">
        <v>3106</v>
      </c>
      <c r="I346" s="8012" t="s">
        <v>771</v>
      </c>
    </row>
    <row customHeight="1" ht="11.25">
      <c r="A347" s="8012" t="s">
        <v>2173</v>
      </c>
      <c r="B347" s="8012" t="s">
        <v>14</v>
      </c>
      <c r="C347" s="8012" t="s">
        <v>2548</v>
      </c>
      <c r="D347" s="8012" t="s">
        <v>2549</v>
      </c>
      <c r="E347" s="8012" t="s">
        <v>2550</v>
      </c>
      <c r="F347" s="8012" t="s">
        <v>2233</v>
      </c>
      <c r="G347" s="8012" t="s">
        <v>24</v>
      </c>
      <c r="H347" s="8012" t="s">
        <v>24</v>
      </c>
      <c r="I347" s="8012" t="s">
        <v>771</v>
      </c>
    </row>
    <row customHeight="1" ht="11.25">
      <c r="A348" s="8012" t="s">
        <v>2173</v>
      </c>
      <c r="B348" s="8012" t="s">
        <v>14</v>
      </c>
      <c r="C348" s="8012" t="s">
        <v>2555</v>
      </c>
      <c r="D348" s="8012" t="s">
        <v>2556</v>
      </c>
      <c r="E348" s="8012" t="s">
        <v>2557</v>
      </c>
      <c r="F348" s="8012" t="s">
        <v>2190</v>
      </c>
      <c r="G348" s="8012" t="s">
        <v>24</v>
      </c>
      <c r="H348" s="8012" t="s">
        <v>24</v>
      </c>
      <c r="I348" s="8012" t="s">
        <v>771</v>
      </c>
    </row>
    <row customHeight="1" ht="11.25">
      <c r="A349" s="8012" t="s">
        <v>2173</v>
      </c>
      <c r="B349" s="8012" t="s">
        <v>14</v>
      </c>
      <c r="C349" s="8012" t="s">
        <v>2570</v>
      </c>
      <c r="D349" s="8012" t="s">
        <v>2571</v>
      </c>
      <c r="E349" s="8012" t="s">
        <v>2572</v>
      </c>
      <c r="F349" s="8012" t="s">
        <v>2342</v>
      </c>
      <c r="G349" s="8012" t="s">
        <v>2573</v>
      </c>
      <c r="H349" s="8012" t="s">
        <v>24</v>
      </c>
      <c r="I349" s="8012" t="s">
        <v>771</v>
      </c>
    </row>
    <row customHeight="1" ht="11.25">
      <c r="A350" s="8012" t="s">
        <v>2173</v>
      </c>
      <c r="B350" s="8012" t="s">
        <v>14</v>
      </c>
      <c r="C350" s="8012" t="s">
        <v>3107</v>
      </c>
      <c r="D350" s="8012" t="s">
        <v>3108</v>
      </c>
      <c r="E350" s="8012" t="s">
        <v>3109</v>
      </c>
      <c r="F350" s="8012" t="s">
        <v>2253</v>
      </c>
      <c r="G350" s="8012" t="s">
        <v>3110</v>
      </c>
      <c r="H350" s="8012" t="s">
        <v>3111</v>
      </c>
      <c r="I350" s="8012" t="s">
        <v>771</v>
      </c>
    </row>
    <row customHeight="1" ht="11.25">
      <c r="A351" s="8012" t="s">
        <v>2173</v>
      </c>
      <c r="B351" s="8012" t="s">
        <v>14</v>
      </c>
      <c r="C351" s="8012" t="s">
        <v>2580</v>
      </c>
      <c r="D351" s="8012" t="s">
        <v>2581</v>
      </c>
      <c r="E351" s="8012" t="s">
        <v>2582</v>
      </c>
      <c r="F351" s="8012" t="s">
        <v>2583</v>
      </c>
      <c r="G351" s="8012" t="s">
        <v>24</v>
      </c>
      <c r="H351" s="8012" t="s">
        <v>2584</v>
      </c>
      <c r="I351" s="8012" t="s">
        <v>771</v>
      </c>
    </row>
    <row customHeight="1" ht="11.25">
      <c r="A352" s="8012" t="s">
        <v>2173</v>
      </c>
      <c r="B352" s="8012" t="s">
        <v>14</v>
      </c>
      <c r="C352" s="8012" t="s">
        <v>3112</v>
      </c>
      <c r="D352" s="8012" t="s">
        <v>3113</v>
      </c>
      <c r="E352" s="8012" t="s">
        <v>3114</v>
      </c>
      <c r="F352" s="8012" t="s">
        <v>2406</v>
      </c>
      <c r="G352" s="8012" t="s">
        <v>24</v>
      </c>
      <c r="H352" s="8012" t="s">
        <v>24</v>
      </c>
      <c r="I352" s="8012" t="s">
        <v>771</v>
      </c>
    </row>
    <row customHeight="1" ht="11.25">
      <c r="A353" s="8012" t="s">
        <v>2173</v>
      </c>
      <c r="B353" s="8012" t="s">
        <v>14</v>
      </c>
      <c r="C353" s="8012" t="s">
        <v>3115</v>
      </c>
      <c r="D353" s="8012" t="s">
        <v>3116</v>
      </c>
      <c r="E353" s="8012" t="s">
        <v>3117</v>
      </c>
      <c r="F353" s="8012" t="s">
        <v>2332</v>
      </c>
      <c r="G353" s="8012" t="s">
        <v>24</v>
      </c>
      <c r="H353" s="8012" t="s">
        <v>24</v>
      </c>
      <c r="I353" s="8012" t="s">
        <v>771</v>
      </c>
    </row>
    <row customHeight="1" ht="11.25">
      <c r="A354" s="8012" t="s">
        <v>2173</v>
      </c>
      <c r="B354" s="8012" t="s">
        <v>14</v>
      </c>
      <c r="C354" s="8012" t="s">
        <v>2591</v>
      </c>
      <c r="D354" s="8012" t="s">
        <v>2592</v>
      </c>
      <c r="E354" s="8012" t="s">
        <v>2593</v>
      </c>
      <c r="F354" s="8012" t="s">
        <v>2594</v>
      </c>
      <c r="G354" s="8012" t="s">
        <v>24</v>
      </c>
      <c r="H354" s="8012" t="s">
        <v>2595</v>
      </c>
      <c r="I354" s="8012" t="s">
        <v>771</v>
      </c>
    </row>
    <row customHeight="1" ht="11.25">
      <c r="A355" s="8012" t="s">
        <v>2173</v>
      </c>
      <c r="B355" s="8012" t="s">
        <v>14</v>
      </c>
      <c r="C355" s="8012" t="s">
        <v>2614</v>
      </c>
      <c r="D355" s="8012" t="s">
        <v>2615</v>
      </c>
      <c r="E355" s="8012" t="s">
        <v>2616</v>
      </c>
      <c r="F355" s="8012" t="s">
        <v>2617</v>
      </c>
      <c r="G355" s="8012" t="s">
        <v>24</v>
      </c>
      <c r="H355" s="8012" t="s">
        <v>24</v>
      </c>
      <c r="I355" s="8012" t="s">
        <v>771</v>
      </c>
    </row>
    <row customHeight="1" ht="11.25">
      <c r="A356" s="8012" t="s">
        <v>2173</v>
      </c>
      <c r="B356" s="8012" t="s">
        <v>14</v>
      </c>
      <c r="C356" s="8012" t="s">
        <v>3118</v>
      </c>
      <c r="D356" s="8012" t="s">
        <v>3119</v>
      </c>
      <c r="E356" s="8012" t="s">
        <v>3120</v>
      </c>
      <c r="F356" s="8012" t="s">
        <v>3121</v>
      </c>
      <c r="G356" s="8012" t="s">
        <v>24</v>
      </c>
      <c r="H356" s="8012" t="s">
        <v>24</v>
      </c>
      <c r="I356" s="8012" t="s">
        <v>771</v>
      </c>
    </row>
    <row customHeight="1" ht="11.25">
      <c r="A357" s="8012" t="s">
        <v>2173</v>
      </c>
      <c r="B357" s="8012" t="s">
        <v>14</v>
      </c>
      <c r="C357" s="8012" t="s">
        <v>3122</v>
      </c>
      <c r="D357" s="8012" t="s">
        <v>3123</v>
      </c>
      <c r="E357" s="8012" t="s">
        <v>3124</v>
      </c>
      <c r="F357" s="8012" t="s">
        <v>2342</v>
      </c>
      <c r="G357" s="8012" t="s">
        <v>24</v>
      </c>
      <c r="H357" s="8012" t="s">
        <v>24</v>
      </c>
      <c r="I357" s="8012" t="s">
        <v>771</v>
      </c>
    </row>
    <row customHeight="1" ht="11.25">
      <c r="A358" s="8012" t="s">
        <v>2173</v>
      </c>
      <c r="B358" s="8012" t="s">
        <v>14</v>
      </c>
      <c r="C358" s="8012" t="s">
        <v>3125</v>
      </c>
      <c r="D358" s="8012" t="s">
        <v>3126</v>
      </c>
      <c r="E358" s="8012" t="s">
        <v>3127</v>
      </c>
      <c r="F358" s="8012" t="s">
        <v>2177</v>
      </c>
      <c r="G358" s="8012" t="s">
        <v>24</v>
      </c>
      <c r="H358" s="8012" t="s">
        <v>24</v>
      </c>
      <c r="I358" s="8012" t="s">
        <v>771</v>
      </c>
    </row>
    <row customHeight="1" ht="11.25">
      <c r="A359" s="8012" t="s">
        <v>2173</v>
      </c>
      <c r="B359" s="8012" t="s">
        <v>14</v>
      </c>
      <c r="C359" s="8012" t="s">
        <v>2618</v>
      </c>
      <c r="D359" s="8012" t="s">
        <v>2619</v>
      </c>
      <c r="E359" s="8012" t="s">
        <v>2620</v>
      </c>
      <c r="F359" s="8012" t="s">
        <v>2312</v>
      </c>
      <c r="G359" s="8012" t="s">
        <v>2254</v>
      </c>
      <c r="H359" s="8012" t="s">
        <v>24</v>
      </c>
      <c r="I359" s="8012" t="s">
        <v>771</v>
      </c>
    </row>
    <row customHeight="1" ht="11.25">
      <c r="A360" s="8012" t="s">
        <v>2173</v>
      </c>
      <c r="B360" s="8012" t="s">
        <v>14</v>
      </c>
      <c r="C360" s="8012" t="s">
        <v>3128</v>
      </c>
      <c r="D360" s="8012" t="s">
        <v>3129</v>
      </c>
      <c r="E360" s="8012" t="s">
        <v>3130</v>
      </c>
      <c r="F360" s="8012" t="s">
        <v>2332</v>
      </c>
      <c r="G360" s="8012" t="s">
        <v>3131</v>
      </c>
      <c r="H360" s="8012" t="s">
        <v>3132</v>
      </c>
      <c r="I360" s="8012" t="s">
        <v>771</v>
      </c>
    </row>
    <row customHeight="1" ht="11.25">
      <c r="A361" s="8012" t="s">
        <v>2173</v>
      </c>
      <c r="B361" s="8012" t="s">
        <v>14</v>
      </c>
      <c r="C361" s="8012" t="s">
        <v>3133</v>
      </c>
      <c r="D361" s="8012" t="s">
        <v>3134</v>
      </c>
      <c r="E361" s="8012" t="s">
        <v>3135</v>
      </c>
      <c r="F361" s="8012" t="s">
        <v>2332</v>
      </c>
      <c r="G361" s="8012" t="s">
        <v>24</v>
      </c>
      <c r="H361" s="8012" t="s">
        <v>3035</v>
      </c>
      <c r="I361" s="8012" t="s">
        <v>771</v>
      </c>
    </row>
    <row customHeight="1" ht="11.25">
      <c r="A362" s="8012" t="s">
        <v>2173</v>
      </c>
      <c r="B362" s="8012" t="s">
        <v>14</v>
      </c>
      <c r="C362" s="8012" t="s">
        <v>3136</v>
      </c>
      <c r="D362" s="8012" t="s">
        <v>3137</v>
      </c>
      <c r="E362" s="8012" t="s">
        <v>3138</v>
      </c>
      <c r="F362" s="8012" t="s">
        <v>2312</v>
      </c>
      <c r="G362" s="8012" t="s">
        <v>24</v>
      </c>
      <c r="H362" s="8012" t="s">
        <v>24</v>
      </c>
      <c r="I362" s="8012" t="s">
        <v>771</v>
      </c>
    </row>
    <row customHeight="1" ht="11.25">
      <c r="A363" s="8012" t="s">
        <v>2173</v>
      </c>
      <c r="B363" s="8012" t="s">
        <v>14</v>
      </c>
      <c r="C363" s="8012" t="s">
        <v>2634</v>
      </c>
      <c r="D363" s="8012" t="s">
        <v>2635</v>
      </c>
      <c r="E363" s="8012" t="s">
        <v>2636</v>
      </c>
      <c r="F363" s="8012" t="s">
        <v>2637</v>
      </c>
      <c r="G363" s="8012" t="s">
        <v>24</v>
      </c>
      <c r="H363" s="8012" t="s">
        <v>24</v>
      </c>
      <c r="I363" s="8012" t="s">
        <v>771</v>
      </c>
    </row>
    <row customHeight="1" ht="11.25">
      <c r="A364" s="8012" t="s">
        <v>2173</v>
      </c>
      <c r="B364" s="8012" t="s">
        <v>14</v>
      </c>
      <c r="C364" s="8012" t="s">
        <v>3139</v>
      </c>
      <c r="D364" s="8012" t="s">
        <v>3140</v>
      </c>
      <c r="E364" s="8012" t="s">
        <v>3141</v>
      </c>
      <c r="F364" s="8012" t="s">
        <v>2253</v>
      </c>
      <c r="G364" s="8012" t="s">
        <v>24</v>
      </c>
      <c r="H364" s="8012" t="s">
        <v>24</v>
      </c>
      <c r="I364" s="8012" t="s">
        <v>771</v>
      </c>
    </row>
    <row customHeight="1" ht="11.25">
      <c r="A365" s="8012" t="s">
        <v>2173</v>
      </c>
      <c r="B365" s="8012" t="s">
        <v>14</v>
      </c>
      <c r="C365" s="8012" t="s">
        <v>3142</v>
      </c>
      <c r="D365" s="8012" t="s">
        <v>3143</v>
      </c>
      <c r="E365" s="8012" t="s">
        <v>3144</v>
      </c>
      <c r="F365" s="8012" t="s">
        <v>3145</v>
      </c>
      <c r="G365" s="8012" t="s">
        <v>3146</v>
      </c>
      <c r="H365" s="8012" t="s">
        <v>3147</v>
      </c>
      <c r="I365" s="8012" t="s">
        <v>771</v>
      </c>
    </row>
    <row customHeight="1" ht="11.25">
      <c r="A366" s="8012" t="s">
        <v>2173</v>
      </c>
      <c r="B366" s="8012" t="s">
        <v>14</v>
      </c>
      <c r="C366" s="8012" t="s">
        <v>2656</v>
      </c>
      <c r="D366" s="8012" t="s">
        <v>2657</v>
      </c>
      <c r="E366" s="8012" t="s">
        <v>2658</v>
      </c>
      <c r="F366" s="8012" t="s">
        <v>2471</v>
      </c>
      <c r="G366" s="8012" t="s">
        <v>24</v>
      </c>
      <c r="H366" s="8012" t="s">
        <v>24</v>
      </c>
      <c r="I366" s="8012" t="s">
        <v>771</v>
      </c>
    </row>
    <row customHeight="1" ht="11.25">
      <c r="A367" s="8012" t="s">
        <v>2173</v>
      </c>
      <c r="B367" s="8012" t="s">
        <v>14</v>
      </c>
      <c r="C367" s="8012" t="s">
        <v>3148</v>
      </c>
      <c r="D367" s="8012" t="s">
        <v>3149</v>
      </c>
      <c r="E367" s="8012" t="s">
        <v>3150</v>
      </c>
      <c r="F367" s="8012" t="s">
        <v>2770</v>
      </c>
      <c r="G367" s="8012" t="s">
        <v>24</v>
      </c>
      <c r="H367" s="8012" t="s">
        <v>3151</v>
      </c>
      <c r="I367" s="8012" t="s">
        <v>771</v>
      </c>
    </row>
    <row customHeight="1" ht="11.25">
      <c r="A368" s="8012" t="s">
        <v>2173</v>
      </c>
      <c r="B368" s="8012" t="s">
        <v>14</v>
      </c>
      <c r="C368" s="8012" t="s">
        <v>3152</v>
      </c>
      <c r="D368" s="8012" t="s">
        <v>3153</v>
      </c>
      <c r="E368" s="8012" t="s">
        <v>3154</v>
      </c>
      <c r="F368" s="8012" t="s">
        <v>2177</v>
      </c>
      <c r="G368" s="8012" t="s">
        <v>24</v>
      </c>
      <c r="H368" s="8012" t="s">
        <v>24</v>
      </c>
      <c r="I368" s="8012" t="s">
        <v>771</v>
      </c>
    </row>
    <row customHeight="1" ht="11.25">
      <c r="A369" s="8012" t="s">
        <v>2173</v>
      </c>
      <c r="B369" s="8012" t="s">
        <v>14</v>
      </c>
      <c r="C369" s="8012" t="s">
        <v>3155</v>
      </c>
      <c r="D369" s="8012" t="s">
        <v>3156</v>
      </c>
      <c r="E369" s="8012" t="s">
        <v>3157</v>
      </c>
      <c r="F369" s="8012" t="s">
        <v>2253</v>
      </c>
      <c r="G369" s="8012" t="s">
        <v>24</v>
      </c>
      <c r="H369" s="8012" t="s">
        <v>3035</v>
      </c>
      <c r="I369" s="8012" t="s">
        <v>771</v>
      </c>
    </row>
    <row customHeight="1" ht="11.25">
      <c r="A370" s="8012" t="s">
        <v>2173</v>
      </c>
      <c r="B370" s="8012" t="s">
        <v>14</v>
      </c>
      <c r="C370" s="8012" t="s">
        <v>3158</v>
      </c>
      <c r="D370" s="8012" t="s">
        <v>3159</v>
      </c>
      <c r="E370" s="8012" t="s">
        <v>3160</v>
      </c>
      <c r="F370" s="8012" t="s">
        <v>2457</v>
      </c>
      <c r="G370" s="8012" t="s">
        <v>24</v>
      </c>
      <c r="H370" s="8012" t="s">
        <v>24</v>
      </c>
      <c r="I370" s="8012" t="s">
        <v>771</v>
      </c>
    </row>
    <row customHeight="1" ht="11.25">
      <c r="A371" s="8012" t="s">
        <v>2173</v>
      </c>
      <c r="B371" s="8012" t="s">
        <v>14</v>
      </c>
      <c r="C371" s="8012" t="s">
        <v>3161</v>
      </c>
      <c r="D371" s="8012" t="s">
        <v>3162</v>
      </c>
      <c r="E371" s="8012" t="s">
        <v>3163</v>
      </c>
      <c r="F371" s="8012" t="s">
        <v>2941</v>
      </c>
      <c r="G371" s="8012" t="s">
        <v>24</v>
      </c>
      <c r="H371" s="8012" t="s">
        <v>3164</v>
      </c>
      <c r="I371" s="8012" t="s">
        <v>771</v>
      </c>
    </row>
    <row customHeight="1" ht="11.25">
      <c r="A372" s="8012" t="s">
        <v>2173</v>
      </c>
      <c r="B372" s="8012" t="s">
        <v>14</v>
      </c>
      <c r="C372" s="8012" t="s">
        <v>3165</v>
      </c>
      <c r="D372" s="8012" t="s">
        <v>3166</v>
      </c>
      <c r="E372" s="8012" t="s">
        <v>3167</v>
      </c>
      <c r="F372" s="8012" t="s">
        <v>2406</v>
      </c>
      <c r="G372" s="8012" t="s">
        <v>24</v>
      </c>
      <c r="H372" s="8012" t="s">
        <v>3168</v>
      </c>
      <c r="I372" s="8012" t="s">
        <v>771</v>
      </c>
    </row>
    <row customHeight="1" ht="11.25">
      <c r="A373" s="8012" t="s">
        <v>2173</v>
      </c>
      <c r="B373" s="8012" t="s">
        <v>14</v>
      </c>
      <c r="C373" s="8012" t="s">
        <v>3169</v>
      </c>
      <c r="D373" s="8012" t="s">
        <v>3170</v>
      </c>
      <c r="E373" s="8012" t="s">
        <v>3171</v>
      </c>
      <c r="F373" s="8012" t="s">
        <v>2377</v>
      </c>
      <c r="G373" s="8012" t="s">
        <v>24</v>
      </c>
      <c r="H373" s="8012" t="s">
        <v>3172</v>
      </c>
      <c r="I373" s="8012" t="s">
        <v>771</v>
      </c>
    </row>
    <row customHeight="1" ht="11.25">
      <c r="A374" s="8012" t="s">
        <v>2173</v>
      </c>
      <c r="B374" s="8012" t="s">
        <v>14</v>
      </c>
      <c r="C374" s="8012" t="s">
        <v>3173</v>
      </c>
      <c r="D374" s="8012" t="s">
        <v>3174</v>
      </c>
      <c r="E374" s="8012" t="s">
        <v>3175</v>
      </c>
      <c r="F374" s="8012" t="s">
        <v>2185</v>
      </c>
      <c r="G374" s="8012" t="s">
        <v>24</v>
      </c>
      <c r="H374" s="8012" t="s">
        <v>3031</v>
      </c>
      <c r="I374" s="8012" t="s">
        <v>771</v>
      </c>
    </row>
    <row customHeight="1" ht="11.25">
      <c r="A375" s="8012" t="s">
        <v>2173</v>
      </c>
      <c r="B375" s="8012" t="s">
        <v>14</v>
      </c>
      <c r="C375" s="8012" t="s">
        <v>3176</v>
      </c>
      <c r="D375" s="8012" t="s">
        <v>3177</v>
      </c>
      <c r="E375" s="8012" t="s">
        <v>3178</v>
      </c>
      <c r="F375" s="8012" t="s">
        <v>2190</v>
      </c>
      <c r="G375" s="8012" t="s">
        <v>24</v>
      </c>
      <c r="H375" s="8012" t="s">
        <v>24</v>
      </c>
      <c r="I375" s="8012" t="s">
        <v>771</v>
      </c>
    </row>
    <row customHeight="1" ht="11.25">
      <c r="A376" s="8012" t="s">
        <v>2173</v>
      </c>
      <c r="B376" s="8012" t="s">
        <v>14</v>
      </c>
      <c r="C376" s="8012" t="s">
        <v>3179</v>
      </c>
      <c r="D376" s="8012" t="s">
        <v>3180</v>
      </c>
      <c r="E376" s="8012" t="s">
        <v>3181</v>
      </c>
      <c r="F376" s="8012" t="s">
        <v>2934</v>
      </c>
      <c r="G376" s="8012" t="s">
        <v>24</v>
      </c>
      <c r="H376" s="8012" t="s">
        <v>3035</v>
      </c>
      <c r="I376" s="8012" t="s">
        <v>771</v>
      </c>
    </row>
    <row customHeight="1" ht="11.25">
      <c r="A377" s="8012" t="s">
        <v>2173</v>
      </c>
      <c r="B377" s="8012" t="s">
        <v>14</v>
      </c>
      <c r="C377" s="8012" t="s">
        <v>3182</v>
      </c>
      <c r="D377" s="8012" t="s">
        <v>3183</v>
      </c>
      <c r="E377" s="8012" t="s">
        <v>3184</v>
      </c>
      <c r="F377" s="8012" t="s">
        <v>2637</v>
      </c>
      <c r="G377" s="8012" t="s">
        <v>24</v>
      </c>
      <c r="H377" s="8012" t="s">
        <v>24</v>
      </c>
      <c r="I377" s="8012" t="s">
        <v>771</v>
      </c>
    </row>
    <row customHeight="1" ht="11.25">
      <c r="A378" s="8012" t="s">
        <v>2173</v>
      </c>
      <c r="B378" s="8012" t="s">
        <v>14</v>
      </c>
      <c r="C378" s="8012" t="s">
        <v>3185</v>
      </c>
      <c r="D378" s="8012" t="s">
        <v>3186</v>
      </c>
      <c r="E378" s="8012" t="s">
        <v>3187</v>
      </c>
      <c r="F378" s="8012" t="s">
        <v>2342</v>
      </c>
      <c r="G378" s="8012" t="s">
        <v>24</v>
      </c>
      <c r="H378" s="8012" t="s">
        <v>3031</v>
      </c>
      <c r="I378" s="8012" t="s">
        <v>771</v>
      </c>
    </row>
    <row customHeight="1" ht="11.25">
      <c r="A379" s="8012" t="s">
        <v>2173</v>
      </c>
      <c r="B379" s="8012" t="s">
        <v>14</v>
      </c>
      <c r="C379" s="8012" t="s">
        <v>3188</v>
      </c>
      <c r="D379" s="8012" t="s">
        <v>3189</v>
      </c>
      <c r="E379" s="8012" t="s">
        <v>3190</v>
      </c>
      <c r="F379" s="8012" t="s">
        <v>2190</v>
      </c>
      <c r="G379" s="8012" t="s">
        <v>24</v>
      </c>
      <c r="H379" s="8012" t="s">
        <v>3191</v>
      </c>
      <c r="I379" s="8012" t="s">
        <v>771</v>
      </c>
    </row>
    <row customHeight="1" ht="11.25">
      <c r="A380" s="8012" t="s">
        <v>2173</v>
      </c>
      <c r="B380" s="8012" t="s">
        <v>14</v>
      </c>
      <c r="C380" s="8012" t="s">
        <v>3192</v>
      </c>
      <c r="D380" s="8012" t="s">
        <v>3193</v>
      </c>
      <c r="E380" s="8012" t="s">
        <v>3194</v>
      </c>
      <c r="F380" s="8012" t="s">
        <v>2298</v>
      </c>
      <c r="G380" s="8012" t="s">
        <v>24</v>
      </c>
      <c r="H380" s="8012" t="s">
        <v>24</v>
      </c>
      <c r="I380" s="8012" t="s">
        <v>771</v>
      </c>
    </row>
    <row customHeight="1" ht="11.25">
      <c r="A381" s="8012" t="s">
        <v>2173</v>
      </c>
      <c r="B381" s="8012" t="s">
        <v>14</v>
      </c>
      <c r="C381" s="8012" t="s">
        <v>3195</v>
      </c>
      <c r="D381" s="8012" t="s">
        <v>3196</v>
      </c>
      <c r="E381" s="8012" t="s">
        <v>3197</v>
      </c>
      <c r="F381" s="8012" t="s">
        <v>2181</v>
      </c>
      <c r="G381" s="8012" t="s">
        <v>24</v>
      </c>
      <c r="H381" s="8012" t="s">
        <v>24</v>
      </c>
      <c r="I381" s="8012" t="s">
        <v>771</v>
      </c>
    </row>
    <row customHeight="1" ht="11.25">
      <c r="A382" s="8012" t="s">
        <v>2173</v>
      </c>
      <c r="B382" s="8012" t="s">
        <v>14</v>
      </c>
      <c r="C382" s="8012" t="s">
        <v>3198</v>
      </c>
      <c r="D382" s="8012" t="s">
        <v>3199</v>
      </c>
      <c r="E382" s="8012" t="s">
        <v>3200</v>
      </c>
      <c r="F382" s="8012" t="s">
        <v>2253</v>
      </c>
      <c r="G382" s="8012" t="s">
        <v>24</v>
      </c>
      <c r="H382" s="8012" t="s">
        <v>24</v>
      </c>
      <c r="I382" s="8012" t="s">
        <v>771</v>
      </c>
    </row>
    <row customHeight="1" ht="11.25">
      <c r="A383" s="8012" t="s">
        <v>2173</v>
      </c>
      <c r="B383" s="8012" t="s">
        <v>14</v>
      </c>
      <c r="C383" s="8012" t="s">
        <v>3201</v>
      </c>
      <c r="D383" s="8012" t="s">
        <v>3202</v>
      </c>
      <c r="E383" s="8012" t="s">
        <v>3203</v>
      </c>
      <c r="F383" s="8012" t="s">
        <v>2177</v>
      </c>
      <c r="G383" s="8012" t="s">
        <v>24</v>
      </c>
      <c r="H383" s="8012" t="s">
        <v>3031</v>
      </c>
      <c r="I383" s="8012" t="s">
        <v>771</v>
      </c>
    </row>
    <row customHeight="1" ht="11.25">
      <c r="A384" s="8012" t="s">
        <v>2173</v>
      </c>
      <c r="B384" s="8012" t="s">
        <v>14</v>
      </c>
      <c r="C384" s="8012" t="s">
        <v>3204</v>
      </c>
      <c r="D384" s="8012" t="s">
        <v>3205</v>
      </c>
      <c r="E384" s="8012" t="s">
        <v>3206</v>
      </c>
      <c r="F384" s="8012" t="s">
        <v>2253</v>
      </c>
      <c r="G384" s="8012" t="s">
        <v>24</v>
      </c>
      <c r="H384" s="8012" t="s">
        <v>3031</v>
      </c>
      <c r="I384" s="8012" t="s">
        <v>771</v>
      </c>
    </row>
    <row customHeight="1" ht="11.25">
      <c r="A385" s="8012" t="s">
        <v>2173</v>
      </c>
      <c r="B385" s="8012" t="s">
        <v>14</v>
      </c>
      <c r="C385" s="8012" t="s">
        <v>3207</v>
      </c>
      <c r="D385" s="8012" t="s">
        <v>3208</v>
      </c>
      <c r="E385" s="8012" t="s">
        <v>3209</v>
      </c>
      <c r="F385" s="8012" t="s">
        <v>2332</v>
      </c>
      <c r="G385" s="8012" t="s">
        <v>24</v>
      </c>
      <c r="H385" s="8012" t="s">
        <v>3031</v>
      </c>
      <c r="I385" s="8012" t="s">
        <v>771</v>
      </c>
    </row>
    <row customHeight="1" ht="11.25">
      <c r="A386" s="8012" t="s">
        <v>2173</v>
      </c>
      <c r="B386" s="8012" t="s">
        <v>14</v>
      </c>
      <c r="C386" s="8012" t="s">
        <v>3210</v>
      </c>
      <c r="D386" s="8012" t="s">
        <v>3211</v>
      </c>
      <c r="E386" s="8012" t="s">
        <v>2937</v>
      </c>
      <c r="F386" s="8012" t="s">
        <v>3212</v>
      </c>
      <c r="G386" s="8012" t="s">
        <v>24</v>
      </c>
      <c r="H386" s="8012" t="s">
        <v>3031</v>
      </c>
      <c r="I386" s="8012" t="s">
        <v>771</v>
      </c>
    </row>
    <row customHeight="1" ht="11.25">
      <c r="A387" s="8012" t="s">
        <v>2173</v>
      </c>
      <c r="B387" s="8012" t="s">
        <v>14</v>
      </c>
      <c r="C387" s="8012" t="s">
        <v>3213</v>
      </c>
      <c r="D387" s="8012" t="s">
        <v>3214</v>
      </c>
      <c r="E387" s="8012" t="s">
        <v>3215</v>
      </c>
      <c r="F387" s="8012" t="s">
        <v>2185</v>
      </c>
      <c r="G387" s="8012" t="s">
        <v>3216</v>
      </c>
      <c r="H387" s="8012" t="s">
        <v>24</v>
      </c>
      <c r="I387" s="8012" t="s">
        <v>771</v>
      </c>
    </row>
    <row customHeight="1" ht="11.25">
      <c r="A388" s="8012" t="s">
        <v>2173</v>
      </c>
      <c r="B388" s="8012" t="s">
        <v>14</v>
      </c>
      <c r="C388" s="8012" t="s">
        <v>3217</v>
      </c>
      <c r="D388" s="8012" t="s">
        <v>3218</v>
      </c>
      <c r="E388" s="8012" t="s">
        <v>3219</v>
      </c>
      <c r="F388" s="8012" t="s">
        <v>2177</v>
      </c>
      <c r="G388" s="8012" t="s">
        <v>24</v>
      </c>
      <c r="H388" s="8012" t="s">
        <v>3220</v>
      </c>
      <c r="I388" s="8012" t="s">
        <v>771</v>
      </c>
    </row>
    <row customHeight="1" ht="11.25">
      <c r="A389" s="8012" t="s">
        <v>2173</v>
      </c>
      <c r="B389" s="8012" t="s">
        <v>14</v>
      </c>
      <c r="C389" s="8012" t="s">
        <v>3221</v>
      </c>
      <c r="D389" s="8012" t="s">
        <v>3222</v>
      </c>
      <c r="E389" s="8012" t="s">
        <v>2180</v>
      </c>
      <c r="F389" s="8012" t="s">
        <v>2181</v>
      </c>
      <c r="G389" s="8012" t="s">
        <v>24</v>
      </c>
      <c r="H389" s="8012" t="s">
        <v>24</v>
      </c>
      <c r="I389" s="8012" t="s">
        <v>771</v>
      </c>
    </row>
    <row customHeight="1" ht="11.25">
      <c r="A390" s="8012" t="s">
        <v>2173</v>
      </c>
      <c r="B390" s="8012" t="s">
        <v>14</v>
      </c>
      <c r="C390" s="8012" t="s">
        <v>2662</v>
      </c>
      <c r="D390" s="8012" t="s">
        <v>2663</v>
      </c>
      <c r="E390" s="8012" t="s">
        <v>2664</v>
      </c>
      <c r="F390" s="8012" t="s">
        <v>2312</v>
      </c>
      <c r="G390" s="8012" t="s">
        <v>24</v>
      </c>
      <c r="H390" s="8012" t="s">
        <v>2205</v>
      </c>
      <c r="I390" s="8012" t="s">
        <v>771</v>
      </c>
    </row>
    <row customHeight="1" ht="11.25">
      <c r="A391" s="8012" t="s">
        <v>2173</v>
      </c>
      <c r="B391" s="8012" t="s">
        <v>14</v>
      </c>
      <c r="C391" s="8012" t="s">
        <v>3223</v>
      </c>
      <c r="D391" s="8012" t="s">
        <v>3224</v>
      </c>
      <c r="E391" s="8012" t="s">
        <v>3225</v>
      </c>
      <c r="F391" s="8012" t="s">
        <v>2177</v>
      </c>
      <c r="G391" s="8012" t="s">
        <v>24</v>
      </c>
      <c r="H391" s="8012" t="s">
        <v>3031</v>
      </c>
      <c r="I391" s="8012" t="s">
        <v>771</v>
      </c>
    </row>
    <row customHeight="1" ht="11.25">
      <c r="A392" s="8012" t="s">
        <v>2173</v>
      </c>
      <c r="B392" s="8012" t="s">
        <v>14</v>
      </c>
      <c r="C392" s="8012" t="s">
        <v>3226</v>
      </c>
      <c r="D392" s="8012" t="s">
        <v>3227</v>
      </c>
      <c r="E392" s="8012" t="s">
        <v>3228</v>
      </c>
      <c r="F392" s="8012" t="s">
        <v>2190</v>
      </c>
      <c r="G392" s="8012" t="s">
        <v>24</v>
      </c>
      <c r="H392" s="8012" t="s">
        <v>24</v>
      </c>
      <c r="I392" s="8012" t="s">
        <v>771</v>
      </c>
    </row>
    <row customHeight="1" ht="11.25">
      <c r="A393" s="8012" t="s">
        <v>2173</v>
      </c>
      <c r="B393" s="8012" t="s">
        <v>14</v>
      </c>
      <c r="C393" s="8012" t="s">
        <v>3229</v>
      </c>
      <c r="D393" s="8012" t="s">
        <v>3230</v>
      </c>
      <c r="E393" s="8012" t="s">
        <v>3231</v>
      </c>
      <c r="F393" s="8012" t="s">
        <v>2312</v>
      </c>
      <c r="G393" s="8012" t="s">
        <v>24</v>
      </c>
      <c r="H393" s="8012" t="s">
        <v>3031</v>
      </c>
      <c r="I393" s="8012" t="s">
        <v>771</v>
      </c>
    </row>
    <row customHeight="1" ht="11.25">
      <c r="A394" s="8012" t="s">
        <v>2173</v>
      </c>
      <c r="B394" s="8012" t="s">
        <v>14</v>
      </c>
      <c r="C394" s="8012" t="s">
        <v>3232</v>
      </c>
      <c r="D394" s="8012" t="s">
        <v>3233</v>
      </c>
      <c r="E394" s="8012" t="s">
        <v>3234</v>
      </c>
      <c r="F394" s="8012" t="s">
        <v>2190</v>
      </c>
      <c r="G394" s="8012" t="s">
        <v>24</v>
      </c>
      <c r="H394" s="8012" t="s">
        <v>24</v>
      </c>
      <c r="I394" s="8012" t="s">
        <v>771</v>
      </c>
    </row>
    <row customHeight="1" ht="11.25">
      <c r="A395" s="8012" t="s">
        <v>2173</v>
      </c>
      <c r="B395" s="8012" t="s">
        <v>14</v>
      </c>
      <c r="C395" s="8012" t="s">
        <v>2668</v>
      </c>
      <c r="D395" s="8012" t="s">
        <v>2669</v>
      </c>
      <c r="E395" s="8012" t="s">
        <v>2670</v>
      </c>
      <c r="F395" s="8012" t="s">
        <v>2209</v>
      </c>
      <c r="G395" s="8012" t="s">
        <v>24</v>
      </c>
      <c r="H395" s="8012" t="s">
        <v>24</v>
      </c>
      <c r="I395" s="8012" t="s">
        <v>771</v>
      </c>
    </row>
    <row customHeight="1" ht="11.25">
      <c r="A396" s="8012" t="s">
        <v>2173</v>
      </c>
      <c r="B396" s="8012" t="s">
        <v>14</v>
      </c>
      <c r="C396" s="8012" t="s">
        <v>2679</v>
      </c>
      <c r="D396" s="8012" t="s">
        <v>2680</v>
      </c>
      <c r="E396" s="8012" t="s">
        <v>2681</v>
      </c>
      <c r="F396" s="8012" t="s">
        <v>2637</v>
      </c>
      <c r="G396" s="8012" t="s">
        <v>2682</v>
      </c>
      <c r="H396" s="8012" t="s">
        <v>24</v>
      </c>
      <c r="I396" s="8012" t="s">
        <v>771</v>
      </c>
    </row>
    <row customHeight="1" ht="11.25">
      <c r="A397" s="8012" t="s">
        <v>2173</v>
      </c>
      <c r="B397" s="8012" t="s">
        <v>14</v>
      </c>
      <c r="C397" s="8012" t="s">
        <v>2683</v>
      </c>
      <c r="D397" s="8012" t="s">
        <v>2684</v>
      </c>
      <c r="E397" s="8012" t="s">
        <v>2685</v>
      </c>
      <c r="F397" s="8012" t="s">
        <v>2185</v>
      </c>
      <c r="G397" s="8012" t="s">
        <v>2686</v>
      </c>
      <c r="H397" s="8012" t="s">
        <v>24</v>
      </c>
      <c r="I397" s="8012" t="s">
        <v>771</v>
      </c>
    </row>
    <row customHeight="1" ht="11.25">
      <c r="A398" s="8012" t="s">
        <v>2173</v>
      </c>
      <c r="B398" s="8012" t="s">
        <v>14</v>
      </c>
      <c r="C398" s="8012" t="s">
        <v>3235</v>
      </c>
      <c r="D398" s="8012" t="s">
        <v>3236</v>
      </c>
      <c r="E398" s="8012" t="s">
        <v>3237</v>
      </c>
      <c r="F398" s="8012" t="s">
        <v>2298</v>
      </c>
      <c r="G398" s="8012" t="s">
        <v>24</v>
      </c>
      <c r="H398" s="8012" t="s">
        <v>24</v>
      </c>
      <c r="I398" s="8012" t="s">
        <v>771</v>
      </c>
    </row>
    <row customHeight="1" ht="11.25">
      <c r="A399" s="8012" t="s">
        <v>2173</v>
      </c>
      <c r="B399" s="8012" t="s">
        <v>14</v>
      </c>
      <c r="C399" s="8012" t="s">
        <v>3238</v>
      </c>
      <c r="D399" s="8012" t="s">
        <v>3239</v>
      </c>
      <c r="E399" s="8012" t="s">
        <v>3240</v>
      </c>
      <c r="F399" s="8012" t="s">
        <v>2457</v>
      </c>
      <c r="G399" s="8012" t="s">
        <v>24</v>
      </c>
      <c r="H399" s="8012" t="s">
        <v>24</v>
      </c>
      <c r="I399" s="8012" t="s">
        <v>771</v>
      </c>
    </row>
    <row customHeight="1" ht="11.25">
      <c r="A400" s="8012" t="s">
        <v>2173</v>
      </c>
      <c r="B400" s="8012" t="s">
        <v>14</v>
      </c>
      <c r="C400" s="8012" t="s">
        <v>3241</v>
      </c>
      <c r="D400" s="8012" t="s">
        <v>3242</v>
      </c>
      <c r="E400" s="8012" t="s">
        <v>3243</v>
      </c>
      <c r="F400" s="8012" t="s">
        <v>2934</v>
      </c>
      <c r="G400" s="8012" t="s">
        <v>24</v>
      </c>
      <c r="H400" s="8012" t="s">
        <v>24</v>
      </c>
      <c r="I400" s="8012" t="s">
        <v>771</v>
      </c>
    </row>
    <row customHeight="1" ht="11.25">
      <c r="A401" s="8012" t="s">
        <v>2173</v>
      </c>
      <c r="B401" s="8012" t="s">
        <v>14</v>
      </c>
      <c r="C401" s="8012" t="s">
        <v>3244</v>
      </c>
      <c r="D401" s="8012" t="s">
        <v>3245</v>
      </c>
      <c r="E401" s="8012" t="s">
        <v>3246</v>
      </c>
      <c r="F401" s="8012" t="s">
        <v>2332</v>
      </c>
      <c r="G401" s="8012" t="s">
        <v>24</v>
      </c>
      <c r="H401" s="8012" t="s">
        <v>24</v>
      </c>
      <c r="I401" s="8012" t="s">
        <v>771</v>
      </c>
    </row>
    <row customHeight="1" ht="11.25">
      <c r="A402" s="8012" t="s">
        <v>2173</v>
      </c>
      <c r="B402" s="8012" t="s">
        <v>14</v>
      </c>
      <c r="C402" s="8012" t="s">
        <v>3247</v>
      </c>
      <c r="D402" s="8012" t="s">
        <v>3248</v>
      </c>
      <c r="E402" s="8012" t="s">
        <v>3249</v>
      </c>
      <c r="F402" s="8012" t="s">
        <v>2177</v>
      </c>
      <c r="G402" s="8012" t="s">
        <v>24</v>
      </c>
      <c r="H402" s="8012" t="s">
        <v>2354</v>
      </c>
      <c r="I402" s="8012" t="s">
        <v>771</v>
      </c>
    </row>
    <row customHeight="1" ht="11.25">
      <c r="A403" s="8012" t="s">
        <v>2173</v>
      </c>
      <c r="B403" s="8012" t="s">
        <v>14</v>
      </c>
      <c r="C403" s="8012" t="s">
        <v>3250</v>
      </c>
      <c r="D403" s="8012" t="s">
        <v>3251</v>
      </c>
      <c r="E403" s="8012" t="s">
        <v>3252</v>
      </c>
      <c r="F403" s="8012" t="s">
        <v>2177</v>
      </c>
      <c r="G403" s="8012" t="s">
        <v>24</v>
      </c>
      <c r="H403" s="8012" t="s">
        <v>3253</v>
      </c>
      <c r="I403" s="8012" t="s">
        <v>771</v>
      </c>
    </row>
    <row customHeight="1" ht="11.25">
      <c r="A404" s="8012" t="s">
        <v>2173</v>
      </c>
      <c r="B404" s="8012" t="s">
        <v>14</v>
      </c>
      <c r="C404" s="8012" t="s">
        <v>2705</v>
      </c>
      <c r="D404" s="8012" t="s">
        <v>2706</v>
      </c>
      <c r="E404" s="8012" t="s">
        <v>2707</v>
      </c>
      <c r="F404" s="8012" t="s">
        <v>2342</v>
      </c>
      <c r="G404" s="8012" t="s">
        <v>24</v>
      </c>
      <c r="H404" s="8012" t="s">
        <v>24</v>
      </c>
      <c r="I404" s="8012" t="s">
        <v>771</v>
      </c>
    </row>
    <row customHeight="1" ht="11.25">
      <c r="A405" s="8012" t="s">
        <v>2173</v>
      </c>
      <c r="B405" s="8012" t="s">
        <v>14</v>
      </c>
      <c r="C405" s="8012" t="s">
        <v>2708</v>
      </c>
      <c r="D405" s="8012" t="s">
        <v>2709</v>
      </c>
      <c r="E405" s="8012" t="s">
        <v>2710</v>
      </c>
      <c r="F405" s="8012" t="s">
        <v>2711</v>
      </c>
      <c r="G405" s="8012" t="s">
        <v>2712</v>
      </c>
      <c r="H405" s="8012" t="s">
        <v>24</v>
      </c>
      <c r="I405" s="8012" t="s">
        <v>771</v>
      </c>
    </row>
    <row customHeight="1" ht="11.25">
      <c r="A406" s="8012" t="s">
        <v>2173</v>
      </c>
      <c r="B406" s="8012" t="s">
        <v>14</v>
      </c>
      <c r="C406" s="8012" t="s">
        <v>2713</v>
      </c>
      <c r="D406" s="8012" t="s">
        <v>2714</v>
      </c>
      <c r="E406" s="8012" t="s">
        <v>2715</v>
      </c>
      <c r="F406" s="8012" t="s">
        <v>2342</v>
      </c>
      <c r="G406" s="8012" t="s">
        <v>24</v>
      </c>
      <c r="H406" s="8012" t="s">
        <v>24</v>
      </c>
      <c r="I406" s="8012" t="s">
        <v>771</v>
      </c>
    </row>
    <row customHeight="1" ht="11.25">
      <c r="A407" s="8012" t="s">
        <v>2173</v>
      </c>
      <c r="B407" s="8012" t="s">
        <v>14</v>
      </c>
      <c r="C407" s="8012" t="s">
        <v>2716</v>
      </c>
      <c r="D407" s="8012" t="s">
        <v>2717</v>
      </c>
      <c r="E407" s="8012" t="s">
        <v>2718</v>
      </c>
      <c r="F407" s="8012" t="s">
        <v>2233</v>
      </c>
      <c r="G407" s="8012" t="s">
        <v>24</v>
      </c>
      <c r="H407" s="8012" t="s">
        <v>2719</v>
      </c>
      <c r="I407" s="8012" t="s">
        <v>771</v>
      </c>
    </row>
    <row customHeight="1" ht="11.25">
      <c r="A408" s="8012" t="s">
        <v>2173</v>
      </c>
      <c r="B408" s="8012" t="s">
        <v>14</v>
      </c>
      <c r="C408" s="8012" t="s">
        <v>2723</v>
      </c>
      <c r="D408" s="8012" t="s">
        <v>2724</v>
      </c>
      <c r="E408" s="8012" t="s">
        <v>2725</v>
      </c>
      <c r="F408" s="8012" t="s">
        <v>2332</v>
      </c>
      <c r="G408" s="8012" t="s">
        <v>24</v>
      </c>
      <c r="H408" s="8012" t="s">
        <v>24</v>
      </c>
      <c r="I408" s="8012" t="s">
        <v>771</v>
      </c>
    </row>
    <row customHeight="1" ht="11.25">
      <c r="A409" s="8012" t="s">
        <v>2173</v>
      </c>
      <c r="B409" s="8012" t="s">
        <v>14</v>
      </c>
      <c r="C409" s="8012" t="s">
        <v>3254</v>
      </c>
      <c r="D409" s="8012" t="s">
        <v>3255</v>
      </c>
      <c r="E409" s="8012" t="s">
        <v>3256</v>
      </c>
      <c r="F409" s="8012" t="s">
        <v>2884</v>
      </c>
      <c r="G409" s="8012" t="s">
        <v>24</v>
      </c>
      <c r="H409" s="8012" t="s">
        <v>24</v>
      </c>
      <c r="I409" s="8012" t="s">
        <v>771</v>
      </c>
    </row>
    <row customHeight="1" ht="11.25">
      <c r="A410" s="8012" t="s">
        <v>2173</v>
      </c>
      <c r="B410" s="8012" t="s">
        <v>14</v>
      </c>
      <c r="C410" s="8012" t="s">
        <v>3257</v>
      </c>
      <c r="D410" s="8012" t="s">
        <v>3258</v>
      </c>
      <c r="E410" s="8012" t="s">
        <v>3259</v>
      </c>
      <c r="F410" s="8012" t="s">
        <v>2884</v>
      </c>
      <c r="G410" s="8012" t="s">
        <v>24</v>
      </c>
      <c r="H410" s="8012" t="s">
        <v>24</v>
      </c>
      <c r="I410" s="8012" t="s">
        <v>771</v>
      </c>
    </row>
    <row customHeight="1" ht="11.25">
      <c r="A411" s="8012" t="s">
        <v>2173</v>
      </c>
      <c r="B411" s="8012" t="s">
        <v>14</v>
      </c>
      <c r="C411" s="8012" t="s">
        <v>3260</v>
      </c>
      <c r="D411" s="8012" t="s">
        <v>3261</v>
      </c>
      <c r="E411" s="8012" t="s">
        <v>3262</v>
      </c>
      <c r="F411" s="8012" t="s">
        <v>2177</v>
      </c>
      <c r="G411" s="8012" t="s">
        <v>24</v>
      </c>
      <c r="H411" s="8012" t="s">
        <v>24</v>
      </c>
      <c r="I411" s="8012" t="s">
        <v>771</v>
      </c>
    </row>
    <row customHeight="1" ht="11.25">
      <c r="A412" s="8012" t="s">
        <v>2173</v>
      </c>
      <c r="B412" s="8012" t="s">
        <v>14</v>
      </c>
      <c r="C412" s="8012" t="s">
        <v>3263</v>
      </c>
      <c r="D412" s="8012" t="s">
        <v>3264</v>
      </c>
      <c r="E412" s="8012" t="s">
        <v>3265</v>
      </c>
      <c r="F412" s="8012" t="s">
        <v>2365</v>
      </c>
      <c r="G412" s="8012" t="s">
        <v>24</v>
      </c>
      <c r="H412" s="8012" t="s">
        <v>24</v>
      </c>
      <c r="I412" s="8012" t="s">
        <v>771</v>
      </c>
    </row>
    <row customHeight="1" ht="11.25">
      <c r="A413" s="8012" t="s">
        <v>2173</v>
      </c>
      <c r="B413" s="8012" t="s">
        <v>14</v>
      </c>
      <c r="C413" s="8012" t="s">
        <v>3266</v>
      </c>
      <c r="D413" s="8012" t="s">
        <v>3267</v>
      </c>
      <c r="E413" s="8012" t="s">
        <v>3268</v>
      </c>
      <c r="F413" s="8012" t="s">
        <v>2406</v>
      </c>
      <c r="G413" s="8012" t="s">
        <v>24</v>
      </c>
      <c r="H413" s="8012" t="s">
        <v>24</v>
      </c>
      <c r="I413" s="8012" t="s">
        <v>771</v>
      </c>
    </row>
    <row customHeight="1" ht="11.25">
      <c r="A414" s="8012" t="s">
        <v>2173</v>
      </c>
      <c r="B414" s="8012" t="s">
        <v>14</v>
      </c>
      <c r="C414" s="8012" t="s">
        <v>2739</v>
      </c>
      <c r="D414" s="8012" t="s">
        <v>2740</v>
      </c>
      <c r="E414" s="8012" t="s">
        <v>2741</v>
      </c>
      <c r="F414" s="8012" t="s">
        <v>2365</v>
      </c>
      <c r="G414" s="8012" t="s">
        <v>24</v>
      </c>
      <c r="H414" s="8012" t="s">
        <v>24</v>
      </c>
      <c r="I414" s="8012" t="s">
        <v>771</v>
      </c>
    </row>
    <row customHeight="1" ht="11.25">
      <c r="A415" s="8012" t="s">
        <v>2173</v>
      </c>
      <c r="B415" s="8012" t="s">
        <v>14</v>
      </c>
      <c r="C415" s="8012" t="s">
        <v>3269</v>
      </c>
      <c r="D415" s="8012" t="s">
        <v>3270</v>
      </c>
      <c r="E415" s="8012" t="s">
        <v>2582</v>
      </c>
      <c r="F415" s="8012" t="s">
        <v>2229</v>
      </c>
      <c r="G415" s="8012" t="s">
        <v>24</v>
      </c>
      <c r="H415" s="8012" t="s">
        <v>3271</v>
      </c>
      <c r="I415" s="8012" t="s">
        <v>771</v>
      </c>
    </row>
    <row customHeight="1" ht="11.25">
      <c r="A416" s="8012" t="s">
        <v>2173</v>
      </c>
      <c r="B416" s="8012" t="s">
        <v>14</v>
      </c>
      <c r="C416" s="8012" t="s">
        <v>3272</v>
      </c>
      <c r="D416" s="8012" t="s">
        <v>3273</v>
      </c>
      <c r="E416" s="8012" t="s">
        <v>2582</v>
      </c>
      <c r="F416" s="8012" t="s">
        <v>3274</v>
      </c>
      <c r="G416" s="8012" t="s">
        <v>24</v>
      </c>
      <c r="H416" s="8012" t="s">
        <v>3271</v>
      </c>
      <c r="I416" s="8012" t="s">
        <v>771</v>
      </c>
    </row>
    <row customHeight="1" ht="11.25">
      <c r="A417" s="8012" t="s">
        <v>2173</v>
      </c>
      <c r="B417" s="8012" t="s">
        <v>14</v>
      </c>
      <c r="C417" s="8012" t="s">
        <v>3275</v>
      </c>
      <c r="D417" s="8012" t="s">
        <v>3276</v>
      </c>
      <c r="E417" s="8012" t="s">
        <v>3277</v>
      </c>
      <c r="F417" s="8012" t="s">
        <v>2332</v>
      </c>
      <c r="G417" s="8012" t="s">
        <v>24</v>
      </c>
      <c r="H417" s="8012" t="s">
        <v>24</v>
      </c>
      <c r="I417" s="8012" t="s">
        <v>771</v>
      </c>
    </row>
    <row customHeight="1" ht="11.25">
      <c r="A418" s="8012" t="s">
        <v>2173</v>
      </c>
      <c r="B418" s="8012" t="s">
        <v>14</v>
      </c>
      <c r="C418" s="8012" t="s">
        <v>3278</v>
      </c>
      <c r="D418" s="8012" t="s">
        <v>3279</v>
      </c>
      <c r="E418" s="8012" t="s">
        <v>3280</v>
      </c>
      <c r="F418" s="8012" t="s">
        <v>2991</v>
      </c>
      <c r="G418" s="8012" t="s">
        <v>3281</v>
      </c>
      <c r="H418" s="8012" t="s">
        <v>24</v>
      </c>
      <c r="I418" s="8012" t="s">
        <v>771</v>
      </c>
    </row>
    <row customHeight="1" ht="11.25">
      <c r="A419" s="8012" t="s">
        <v>2173</v>
      </c>
      <c r="B419" s="8012" t="s">
        <v>14</v>
      </c>
      <c r="C419" s="8012" t="s">
        <v>3282</v>
      </c>
      <c r="D419" s="8012" t="s">
        <v>3283</v>
      </c>
      <c r="E419" s="8012" t="s">
        <v>3284</v>
      </c>
      <c r="F419" s="8012" t="s">
        <v>2298</v>
      </c>
      <c r="G419" s="8012" t="s">
        <v>24</v>
      </c>
      <c r="H419" s="8012" t="s">
        <v>24</v>
      </c>
      <c r="I419" s="8012" t="s">
        <v>771</v>
      </c>
    </row>
    <row customHeight="1" ht="11.25">
      <c r="A420" s="8012" t="s">
        <v>2173</v>
      </c>
      <c r="B420" s="8012" t="s">
        <v>14</v>
      </c>
      <c r="C420" s="8012" t="s">
        <v>3285</v>
      </c>
      <c r="D420" s="8012" t="s">
        <v>3286</v>
      </c>
      <c r="E420" s="8012" t="s">
        <v>3287</v>
      </c>
      <c r="F420" s="8012" t="s">
        <v>2377</v>
      </c>
      <c r="G420" s="8012" t="s">
        <v>24</v>
      </c>
      <c r="H420" s="8012" t="s">
        <v>3288</v>
      </c>
      <c r="I420" s="8012" t="s">
        <v>771</v>
      </c>
    </row>
    <row customHeight="1" ht="11.25">
      <c r="A421" s="8012" t="s">
        <v>2173</v>
      </c>
      <c r="B421" s="8012" t="s">
        <v>14</v>
      </c>
      <c r="C421" s="8012" t="s">
        <v>3289</v>
      </c>
      <c r="D421" s="8012" t="s">
        <v>3290</v>
      </c>
      <c r="E421" s="8012" t="s">
        <v>3291</v>
      </c>
      <c r="F421" s="8012" t="s">
        <v>2261</v>
      </c>
      <c r="G421" s="8012" t="s">
        <v>24</v>
      </c>
      <c r="H421" s="8012" t="s">
        <v>3292</v>
      </c>
      <c r="I421" s="8012" t="s">
        <v>771</v>
      </c>
    </row>
    <row customHeight="1" ht="11.25">
      <c r="A422" s="8012" t="s">
        <v>2173</v>
      </c>
      <c r="B422" s="8012" t="s">
        <v>14</v>
      </c>
      <c r="C422" s="8012" t="s">
        <v>3293</v>
      </c>
      <c r="D422" s="8012" t="s">
        <v>3294</v>
      </c>
      <c r="E422" s="8012" t="s">
        <v>3295</v>
      </c>
      <c r="F422" s="8012" t="s">
        <v>2770</v>
      </c>
      <c r="G422" s="8012" t="s">
        <v>24</v>
      </c>
      <c r="H422" s="8012" t="s">
        <v>3031</v>
      </c>
      <c r="I422" s="8012" t="s">
        <v>771</v>
      </c>
    </row>
    <row customHeight="1" ht="11.25">
      <c r="A423" s="8012" t="s">
        <v>2173</v>
      </c>
      <c r="B423" s="8012" t="s">
        <v>14</v>
      </c>
      <c r="C423" s="8012" t="s">
        <v>3296</v>
      </c>
      <c r="D423" s="8012" t="s">
        <v>3297</v>
      </c>
      <c r="E423" s="8012" t="s">
        <v>3298</v>
      </c>
      <c r="F423" s="8012" t="s">
        <v>2185</v>
      </c>
      <c r="G423" s="8012" t="s">
        <v>24</v>
      </c>
      <c r="H423" s="8012" t="s">
        <v>3031</v>
      </c>
      <c r="I423" s="8012" t="s">
        <v>771</v>
      </c>
    </row>
    <row customHeight="1" ht="11.25">
      <c r="A424" s="8012" t="s">
        <v>2173</v>
      </c>
      <c r="B424" s="8012" t="s">
        <v>14</v>
      </c>
      <c r="C424" s="8012" t="s">
        <v>3299</v>
      </c>
      <c r="D424" s="8012" t="s">
        <v>3300</v>
      </c>
      <c r="E424" s="8012" t="s">
        <v>3301</v>
      </c>
      <c r="F424" s="8012" t="s">
        <v>2177</v>
      </c>
      <c r="G424" s="8012" t="s">
        <v>24</v>
      </c>
      <c r="H424" s="8012" t="s">
        <v>3302</v>
      </c>
      <c r="I424" s="8012" t="s">
        <v>771</v>
      </c>
    </row>
    <row customHeight="1" ht="11.25">
      <c r="A425" s="8012" t="s">
        <v>2173</v>
      </c>
      <c r="B425" s="8012" t="s">
        <v>14</v>
      </c>
      <c r="C425" s="8012" t="s">
        <v>3303</v>
      </c>
      <c r="D425" s="8012" t="s">
        <v>3304</v>
      </c>
      <c r="E425" s="8012" t="s">
        <v>3305</v>
      </c>
      <c r="F425" s="8012" t="s">
        <v>2177</v>
      </c>
      <c r="G425" s="8012" t="s">
        <v>24</v>
      </c>
      <c r="H425" s="8012" t="s">
        <v>3306</v>
      </c>
      <c r="I425" s="8012" t="s">
        <v>771</v>
      </c>
    </row>
    <row customHeight="1" ht="11.25">
      <c r="A426" s="8012" t="s">
        <v>2173</v>
      </c>
      <c r="B426" s="8012" t="s">
        <v>14</v>
      </c>
      <c r="C426" s="8012" t="s">
        <v>3307</v>
      </c>
      <c r="D426" s="8012" t="s">
        <v>3308</v>
      </c>
      <c r="E426" s="8012" t="s">
        <v>3309</v>
      </c>
      <c r="F426" s="8012" t="s">
        <v>2324</v>
      </c>
      <c r="G426" s="8012" t="s">
        <v>24</v>
      </c>
      <c r="H426" s="8012" t="s">
        <v>24</v>
      </c>
      <c r="I426" s="8012" t="s">
        <v>771</v>
      </c>
    </row>
    <row customHeight="1" ht="11.25">
      <c r="A427" s="8012" t="s">
        <v>2173</v>
      </c>
      <c r="B427" s="8012" t="s">
        <v>14</v>
      </c>
      <c r="C427" s="8012" t="s">
        <v>3310</v>
      </c>
      <c r="D427" s="8012" t="s">
        <v>3311</v>
      </c>
      <c r="E427" s="8012" t="s">
        <v>3312</v>
      </c>
      <c r="F427" s="8012" t="s">
        <v>2190</v>
      </c>
      <c r="G427" s="8012" t="s">
        <v>24</v>
      </c>
      <c r="H427" s="8012" t="s">
        <v>3313</v>
      </c>
      <c r="I427" s="8012" t="s">
        <v>771</v>
      </c>
    </row>
    <row customHeight="1" ht="11.25">
      <c r="A428" s="8012" t="s">
        <v>2173</v>
      </c>
      <c r="B428" s="8012" t="s">
        <v>14</v>
      </c>
      <c r="C428" s="8012" t="s">
        <v>3314</v>
      </c>
      <c r="D428" s="8012" t="s">
        <v>3315</v>
      </c>
      <c r="E428" s="8012" t="s">
        <v>3316</v>
      </c>
      <c r="F428" s="8012" t="s">
        <v>2190</v>
      </c>
      <c r="G428" s="8012" t="s">
        <v>24</v>
      </c>
      <c r="H428" s="8012" t="s">
        <v>24</v>
      </c>
      <c r="I428" s="8012" t="s">
        <v>771</v>
      </c>
    </row>
    <row customHeight="1" ht="11.25">
      <c r="A429" s="8012" t="s">
        <v>2173</v>
      </c>
      <c r="B429" s="8012" t="s">
        <v>14</v>
      </c>
      <c r="C429" s="8012" t="s">
        <v>3317</v>
      </c>
      <c r="D429" s="8012" t="s">
        <v>3318</v>
      </c>
      <c r="E429" s="8012" t="s">
        <v>3319</v>
      </c>
      <c r="F429" s="8012" t="s">
        <v>2377</v>
      </c>
      <c r="G429" s="8012" t="s">
        <v>24</v>
      </c>
      <c r="H429" s="8012" t="s">
        <v>24</v>
      </c>
      <c r="I429" s="8012" t="s">
        <v>771</v>
      </c>
    </row>
    <row customHeight="1" ht="11.25">
      <c r="A430" s="8012" t="s">
        <v>2173</v>
      </c>
      <c r="B430" s="8012" t="s">
        <v>14</v>
      </c>
      <c r="C430" s="8012" t="s">
        <v>3320</v>
      </c>
      <c r="D430" s="8012" t="s">
        <v>3321</v>
      </c>
      <c r="E430" s="8012" t="s">
        <v>3322</v>
      </c>
      <c r="F430" s="8012" t="s">
        <v>2377</v>
      </c>
      <c r="G430" s="8012" t="s">
        <v>24</v>
      </c>
      <c r="H430" s="8012" t="s">
        <v>3031</v>
      </c>
      <c r="I430" s="8012" t="s">
        <v>771</v>
      </c>
    </row>
    <row customHeight="1" ht="11.25">
      <c r="A431" s="8012" t="s">
        <v>2173</v>
      </c>
      <c r="B431" s="8012" t="s">
        <v>14</v>
      </c>
      <c r="C431" s="8012" t="s">
        <v>3323</v>
      </c>
      <c r="D431" s="8012" t="s">
        <v>3324</v>
      </c>
      <c r="E431" s="8012" t="s">
        <v>3325</v>
      </c>
      <c r="F431" s="8012" t="s">
        <v>2177</v>
      </c>
      <c r="G431" s="8012" t="s">
        <v>24</v>
      </c>
      <c r="H431" s="8012" t="s">
        <v>3031</v>
      </c>
      <c r="I431" s="8012" t="s">
        <v>771</v>
      </c>
    </row>
    <row customHeight="1" ht="11.25">
      <c r="A432" s="8012" t="s">
        <v>2173</v>
      </c>
      <c r="B432" s="8012" t="s">
        <v>14</v>
      </c>
      <c r="C432" s="8012" t="s">
        <v>3326</v>
      </c>
      <c r="D432" s="8012" t="s">
        <v>3327</v>
      </c>
      <c r="E432" s="8012" t="s">
        <v>3328</v>
      </c>
      <c r="F432" s="8012" t="s">
        <v>2884</v>
      </c>
      <c r="G432" s="8012" t="s">
        <v>3329</v>
      </c>
      <c r="H432" s="8012" t="s">
        <v>24</v>
      </c>
      <c r="I432" s="8012" t="s">
        <v>771</v>
      </c>
    </row>
    <row customHeight="1" ht="11.25">
      <c r="A433" s="8012" t="s">
        <v>2173</v>
      </c>
      <c r="B433" s="8012" t="s">
        <v>14</v>
      </c>
      <c r="C433" s="8012" t="s">
        <v>3330</v>
      </c>
      <c r="D433" s="8012" t="s">
        <v>3331</v>
      </c>
      <c r="E433" s="8012" t="s">
        <v>3309</v>
      </c>
      <c r="F433" s="8012" t="s">
        <v>2324</v>
      </c>
      <c r="G433" s="8012" t="s">
        <v>24</v>
      </c>
      <c r="H433" s="8012" t="s">
        <v>2382</v>
      </c>
      <c r="I433" s="8012" t="s">
        <v>771</v>
      </c>
    </row>
    <row customHeight="1" ht="11.25">
      <c r="A434" s="8012" t="s">
        <v>2173</v>
      </c>
      <c r="B434" s="8012" t="s">
        <v>14</v>
      </c>
      <c r="C434" s="8012" t="s">
        <v>3332</v>
      </c>
      <c r="D434" s="8012" t="s">
        <v>3333</v>
      </c>
      <c r="E434" s="8012" t="s">
        <v>3334</v>
      </c>
      <c r="F434" s="8012" t="s">
        <v>2253</v>
      </c>
      <c r="G434" s="8012" t="s">
        <v>24</v>
      </c>
      <c r="H434" s="8012" t="s">
        <v>3031</v>
      </c>
      <c r="I434" s="8012" t="s">
        <v>771</v>
      </c>
    </row>
    <row customHeight="1" ht="11.25">
      <c r="A435" s="8012" t="s">
        <v>2173</v>
      </c>
      <c r="B435" s="8012" t="s">
        <v>14</v>
      </c>
      <c r="C435" s="8012" t="s">
        <v>3335</v>
      </c>
      <c r="D435" s="8012" t="s">
        <v>3336</v>
      </c>
      <c r="E435" s="8012" t="s">
        <v>3337</v>
      </c>
      <c r="F435" s="8012" t="s">
        <v>2253</v>
      </c>
      <c r="G435" s="8012" t="s">
        <v>24</v>
      </c>
      <c r="H435" s="8012" t="s">
        <v>24</v>
      </c>
      <c r="I435" s="8012" t="s">
        <v>771</v>
      </c>
    </row>
    <row customHeight="1" ht="11.25">
      <c r="A436" s="8012" t="s">
        <v>2173</v>
      </c>
      <c r="B436" s="8012" t="s">
        <v>14</v>
      </c>
      <c r="C436" s="8012" t="s">
        <v>2771</v>
      </c>
      <c r="D436" s="8012" t="s">
        <v>2772</v>
      </c>
      <c r="E436" s="8012" t="s">
        <v>2773</v>
      </c>
      <c r="F436" s="8012" t="s">
        <v>2177</v>
      </c>
      <c r="G436" s="8012" t="s">
        <v>24</v>
      </c>
      <c r="H436" s="8012" t="s">
        <v>24</v>
      </c>
      <c r="I436" s="8012" t="s">
        <v>771</v>
      </c>
    </row>
    <row customHeight="1" ht="11.25">
      <c r="A437" s="8012" t="s">
        <v>2173</v>
      </c>
      <c r="B437" s="8012" t="s">
        <v>14</v>
      </c>
      <c r="C437" s="8012" t="s">
        <v>24</v>
      </c>
      <c r="D437" s="8012" t="s">
        <v>2179</v>
      </c>
      <c r="E437" s="8012" t="s">
        <v>2180</v>
      </c>
      <c r="F437" s="8012" t="s">
        <v>2181</v>
      </c>
      <c r="G437" s="8012" t="s">
        <v>24</v>
      </c>
      <c r="H437" s="8012" t="s">
        <v>24</v>
      </c>
      <c r="I437" s="8012" t="s">
        <v>826</v>
      </c>
    </row>
    <row customHeight="1" ht="11.25">
      <c r="A438" s="8012" t="s">
        <v>2173</v>
      </c>
      <c r="B438" s="8012" t="s">
        <v>14</v>
      </c>
      <c r="C438" s="8012" t="s">
        <v>2187</v>
      </c>
      <c r="D438" s="8012" t="s">
        <v>2188</v>
      </c>
      <c r="E438" s="8012" t="s">
        <v>2189</v>
      </c>
      <c r="F438" s="8012" t="s">
        <v>2190</v>
      </c>
      <c r="G438" s="8012" t="s">
        <v>24</v>
      </c>
      <c r="H438" s="8012" t="s">
        <v>24</v>
      </c>
      <c r="I438" s="8012" t="s">
        <v>826</v>
      </c>
    </row>
    <row customHeight="1" ht="11.25">
      <c r="A439" s="8012" t="s">
        <v>2173</v>
      </c>
      <c r="B439" s="8012" t="s">
        <v>14</v>
      </c>
      <c r="C439" s="8012" t="s">
        <v>2195</v>
      </c>
      <c r="D439" s="8012" t="s">
        <v>2196</v>
      </c>
      <c r="E439" s="8012" t="s">
        <v>2197</v>
      </c>
      <c r="F439" s="8012" t="s">
        <v>2198</v>
      </c>
      <c r="G439" s="8012" t="s">
        <v>24</v>
      </c>
      <c r="H439" s="8012" t="s">
        <v>2199</v>
      </c>
      <c r="I439" s="8012" t="s">
        <v>826</v>
      </c>
    </row>
    <row customHeight="1" ht="11.25">
      <c r="A440" s="8012" t="s">
        <v>2173</v>
      </c>
      <c r="B440" s="8012" t="s">
        <v>14</v>
      </c>
      <c r="C440" s="8012" t="s">
        <v>2200</v>
      </c>
      <c r="D440" s="8012" t="s">
        <v>2201</v>
      </c>
      <c r="E440" s="8012" t="s">
        <v>2202</v>
      </c>
      <c r="F440" s="8012" t="s">
        <v>2203</v>
      </c>
      <c r="G440" s="8012" t="s">
        <v>2204</v>
      </c>
      <c r="H440" s="8012" t="s">
        <v>2205</v>
      </c>
      <c r="I440" s="8012" t="s">
        <v>826</v>
      </c>
    </row>
    <row customHeight="1" ht="11.25">
      <c r="A441" s="8012" t="s">
        <v>2173</v>
      </c>
      <c r="B441" s="8012" t="s">
        <v>14</v>
      </c>
      <c r="C441" s="8012" t="s">
        <v>2206</v>
      </c>
      <c r="D441" s="8012" t="s">
        <v>2207</v>
      </c>
      <c r="E441" s="8012" t="s">
        <v>2208</v>
      </c>
      <c r="F441" s="8012" t="s">
        <v>2209</v>
      </c>
      <c r="G441" s="8012" t="s">
        <v>24</v>
      </c>
      <c r="H441" s="8012" t="s">
        <v>24</v>
      </c>
      <c r="I441" s="8012" t="s">
        <v>826</v>
      </c>
    </row>
    <row customHeight="1" ht="11.25">
      <c r="A442" s="8012" t="s">
        <v>2173</v>
      </c>
      <c r="B442" s="8012" t="s">
        <v>14</v>
      </c>
      <c r="C442" s="8012" t="s">
        <v>2214</v>
      </c>
      <c r="D442" s="8012" t="s">
        <v>2211</v>
      </c>
      <c r="E442" s="8012" t="s">
        <v>2212</v>
      </c>
      <c r="F442" s="8012" t="s">
        <v>2215</v>
      </c>
      <c r="G442" s="8012" t="s">
        <v>2216</v>
      </c>
      <c r="H442" s="8012" t="s">
        <v>24</v>
      </c>
      <c r="I442" s="8012" t="s">
        <v>826</v>
      </c>
    </row>
    <row customHeight="1" ht="11.25">
      <c r="A443" s="8012" t="s">
        <v>2173</v>
      </c>
      <c r="B443" s="8012" t="s">
        <v>14</v>
      </c>
      <c r="C443" s="8012" t="s">
        <v>2223</v>
      </c>
      <c r="D443" s="8012" t="s">
        <v>2224</v>
      </c>
      <c r="E443" s="8012" t="s">
        <v>2225</v>
      </c>
      <c r="F443" s="8012" t="s">
        <v>2177</v>
      </c>
      <c r="G443" s="8012" t="s">
        <v>24</v>
      </c>
      <c r="H443" s="8012" t="s">
        <v>24</v>
      </c>
      <c r="I443" s="8012" t="s">
        <v>826</v>
      </c>
    </row>
    <row customHeight="1" ht="11.25">
      <c r="A444" s="8012" t="s">
        <v>2173</v>
      </c>
      <c r="B444" s="8012" t="s">
        <v>14</v>
      </c>
      <c r="C444" s="8012" t="s">
        <v>2230</v>
      </c>
      <c r="D444" s="8012" t="s">
        <v>2231</v>
      </c>
      <c r="E444" s="8012" t="s">
        <v>2232</v>
      </c>
      <c r="F444" s="8012" t="s">
        <v>2233</v>
      </c>
      <c r="G444" s="8012" t="s">
        <v>24</v>
      </c>
      <c r="H444" s="8012" t="s">
        <v>24</v>
      </c>
      <c r="I444" s="8012" t="s">
        <v>826</v>
      </c>
    </row>
    <row customHeight="1" ht="11.25">
      <c r="A445" s="8012" t="s">
        <v>2173</v>
      </c>
      <c r="B445" s="8012" t="s">
        <v>14</v>
      </c>
      <c r="C445" s="8012" t="s">
        <v>2801</v>
      </c>
      <c r="D445" s="8012" t="s">
        <v>2802</v>
      </c>
      <c r="E445" s="8012" t="s">
        <v>2803</v>
      </c>
      <c r="F445" s="8012" t="s">
        <v>2496</v>
      </c>
      <c r="G445" s="8012" t="s">
        <v>2804</v>
      </c>
      <c r="H445" s="8012" t="s">
        <v>24</v>
      </c>
      <c r="I445" s="8012" t="s">
        <v>826</v>
      </c>
    </row>
    <row customHeight="1" ht="11.25">
      <c r="A446" s="8012" t="s">
        <v>2173</v>
      </c>
      <c r="B446" s="8012" t="s">
        <v>14</v>
      </c>
      <c r="C446" s="8012" t="s">
        <v>3338</v>
      </c>
      <c r="D446" s="8012" t="s">
        <v>3339</v>
      </c>
      <c r="E446" s="8012" t="s">
        <v>3340</v>
      </c>
      <c r="F446" s="8012" t="s">
        <v>2181</v>
      </c>
      <c r="G446" s="8012" t="s">
        <v>24</v>
      </c>
      <c r="H446" s="8012" t="s">
        <v>24</v>
      </c>
      <c r="I446" s="8012" t="s">
        <v>826</v>
      </c>
    </row>
    <row customHeight="1" ht="11.25">
      <c r="A447" s="8012" t="s">
        <v>2173</v>
      </c>
      <c r="B447" s="8012" t="s">
        <v>14</v>
      </c>
      <c r="C447" s="8012" t="s">
        <v>2239</v>
      </c>
      <c r="D447" s="8012" t="s">
        <v>2240</v>
      </c>
      <c r="E447" s="8012" t="s">
        <v>2241</v>
      </c>
      <c r="F447" s="8012" t="s">
        <v>2194</v>
      </c>
      <c r="G447" s="8012" t="s">
        <v>24</v>
      </c>
      <c r="H447" s="8012" t="s">
        <v>24</v>
      </c>
      <c r="I447" s="8012" t="s">
        <v>826</v>
      </c>
    </row>
    <row customHeight="1" ht="11.25">
      <c r="A448" s="8012" t="s">
        <v>2173</v>
      </c>
      <c r="B448" s="8012" t="s">
        <v>14</v>
      </c>
      <c r="C448" s="8012" t="s">
        <v>2242</v>
      </c>
      <c r="D448" s="8012" t="s">
        <v>2243</v>
      </c>
      <c r="E448" s="8012" t="s">
        <v>2244</v>
      </c>
      <c r="F448" s="8012" t="s">
        <v>2185</v>
      </c>
      <c r="G448" s="8012" t="s">
        <v>24</v>
      </c>
      <c r="H448" s="8012" t="s">
        <v>24</v>
      </c>
      <c r="I448" s="8012" t="s">
        <v>826</v>
      </c>
    </row>
    <row customHeight="1" ht="11.25">
      <c r="A449" s="8012" t="s">
        <v>2173</v>
      </c>
      <c r="B449" s="8012" t="s">
        <v>14</v>
      </c>
      <c r="C449" s="8012" t="s">
        <v>2805</v>
      </c>
      <c r="D449" s="8012" t="s">
        <v>2806</v>
      </c>
      <c r="E449" s="8012" t="s">
        <v>2807</v>
      </c>
      <c r="F449" s="8012" t="s">
        <v>2177</v>
      </c>
      <c r="G449" s="8012" t="s">
        <v>2808</v>
      </c>
      <c r="H449" s="8012" t="s">
        <v>24</v>
      </c>
      <c r="I449" s="8012" t="s">
        <v>826</v>
      </c>
    </row>
    <row customHeight="1" ht="11.25">
      <c r="A450" s="8012" t="s">
        <v>2173</v>
      </c>
      <c r="B450" s="8012" t="s">
        <v>14</v>
      </c>
      <c r="C450" s="8012" t="s">
        <v>2809</v>
      </c>
      <c r="D450" s="8012" t="s">
        <v>2810</v>
      </c>
      <c r="E450" s="8012" t="s">
        <v>2811</v>
      </c>
      <c r="F450" s="8012" t="s">
        <v>2194</v>
      </c>
      <c r="G450" s="8012" t="s">
        <v>24</v>
      </c>
      <c r="H450" s="8012" t="s">
        <v>24</v>
      </c>
      <c r="I450" s="8012" t="s">
        <v>826</v>
      </c>
    </row>
    <row customHeight="1" ht="11.25">
      <c r="A451" s="8012" t="s">
        <v>2173</v>
      </c>
      <c r="B451" s="8012" t="s">
        <v>14</v>
      </c>
      <c r="C451" s="8012" t="s">
        <v>2258</v>
      </c>
      <c r="D451" s="8012" t="s">
        <v>2259</v>
      </c>
      <c r="E451" s="8012" t="s">
        <v>2260</v>
      </c>
      <c r="F451" s="8012" t="s">
        <v>2261</v>
      </c>
      <c r="G451" s="8012" t="s">
        <v>24</v>
      </c>
      <c r="H451" s="8012" t="s">
        <v>24</v>
      </c>
      <c r="I451" s="8012" t="s">
        <v>826</v>
      </c>
    </row>
    <row customHeight="1" ht="11.25">
      <c r="A452" s="8012" t="s">
        <v>2173</v>
      </c>
      <c r="B452" s="8012" t="s">
        <v>14</v>
      </c>
      <c r="C452" s="8012" t="s">
        <v>2812</v>
      </c>
      <c r="D452" s="8012" t="s">
        <v>2813</v>
      </c>
      <c r="E452" s="8012" t="s">
        <v>2814</v>
      </c>
      <c r="F452" s="8012" t="s">
        <v>2770</v>
      </c>
      <c r="G452" s="8012" t="s">
        <v>2815</v>
      </c>
      <c r="H452" s="8012" t="s">
        <v>24</v>
      </c>
      <c r="I452" s="8012" t="s">
        <v>826</v>
      </c>
    </row>
    <row customHeight="1" ht="11.25">
      <c r="A453" s="8012" t="s">
        <v>2173</v>
      </c>
      <c r="B453" s="8012" t="s">
        <v>14</v>
      </c>
      <c r="C453" s="8012" t="s">
        <v>2270</v>
      </c>
      <c r="D453" s="8012" t="s">
        <v>2271</v>
      </c>
      <c r="E453" s="8012" t="s">
        <v>2272</v>
      </c>
      <c r="F453" s="8012" t="s">
        <v>2181</v>
      </c>
      <c r="G453" s="8012" t="s">
        <v>2273</v>
      </c>
      <c r="H453" s="8012" t="s">
        <v>24</v>
      </c>
      <c r="I453" s="8012" t="s">
        <v>826</v>
      </c>
    </row>
    <row customHeight="1" ht="11.25">
      <c r="A454" s="8012" t="s">
        <v>2173</v>
      </c>
      <c r="B454" s="8012" t="s">
        <v>14</v>
      </c>
      <c r="C454" s="8012" t="s">
        <v>2816</v>
      </c>
      <c r="D454" s="8012" t="s">
        <v>2817</v>
      </c>
      <c r="E454" s="8012" t="s">
        <v>2818</v>
      </c>
      <c r="F454" s="8012" t="s">
        <v>2819</v>
      </c>
      <c r="G454" s="8012" t="s">
        <v>24</v>
      </c>
      <c r="H454" s="8012" t="s">
        <v>24</v>
      </c>
      <c r="I454" s="8012" t="s">
        <v>826</v>
      </c>
    </row>
    <row customHeight="1" ht="11.25">
      <c r="A455" s="8012" t="s">
        <v>2173</v>
      </c>
      <c r="B455" s="8012" t="s">
        <v>14</v>
      </c>
      <c r="C455" s="8012" t="s">
        <v>2292</v>
      </c>
      <c r="D455" s="8012" t="s">
        <v>2293</v>
      </c>
      <c r="E455" s="8012" t="s">
        <v>2290</v>
      </c>
      <c r="F455" s="8012" t="s">
        <v>2294</v>
      </c>
      <c r="G455" s="8012" t="s">
        <v>24</v>
      </c>
      <c r="H455" s="8012" t="s">
        <v>24</v>
      </c>
      <c r="I455" s="8012" t="s">
        <v>826</v>
      </c>
    </row>
    <row customHeight="1" ht="11.25">
      <c r="A456" s="8012" t="s">
        <v>2173</v>
      </c>
      <c r="B456" s="8012" t="s">
        <v>14</v>
      </c>
      <c r="C456" s="8012" t="s">
        <v>2820</v>
      </c>
      <c r="D456" s="8012" t="s">
        <v>2821</v>
      </c>
      <c r="E456" s="8012" t="s">
        <v>2822</v>
      </c>
      <c r="F456" s="8012" t="s">
        <v>2332</v>
      </c>
      <c r="G456" s="8012" t="s">
        <v>24</v>
      </c>
      <c r="H456" s="8012" t="s">
        <v>24</v>
      </c>
      <c r="I456" s="8012" t="s">
        <v>826</v>
      </c>
    </row>
    <row customHeight="1" ht="11.25">
      <c r="A457" s="8012" t="s">
        <v>2173</v>
      </c>
      <c r="B457" s="8012" t="s">
        <v>14</v>
      </c>
      <c r="C457" s="8012" t="s">
        <v>2823</v>
      </c>
      <c r="D457" s="8012" t="s">
        <v>2824</v>
      </c>
      <c r="E457" s="8012" t="s">
        <v>2825</v>
      </c>
      <c r="F457" s="8012" t="s">
        <v>2233</v>
      </c>
      <c r="G457" s="8012" t="s">
        <v>24</v>
      </c>
      <c r="H457" s="8012" t="s">
        <v>2826</v>
      </c>
      <c r="I457" s="8012" t="s">
        <v>826</v>
      </c>
    </row>
    <row customHeight="1" ht="11.25">
      <c r="A458" s="8012" t="s">
        <v>2173</v>
      </c>
      <c r="B458" s="8012" t="s">
        <v>14</v>
      </c>
      <c r="C458" s="8012" t="s">
        <v>2309</v>
      </c>
      <c r="D458" s="8012" t="s">
        <v>2310</v>
      </c>
      <c r="E458" s="8012" t="s">
        <v>2311</v>
      </c>
      <c r="F458" s="8012" t="s">
        <v>2312</v>
      </c>
      <c r="G458" s="8012" t="s">
        <v>24</v>
      </c>
      <c r="H458" s="8012" t="s">
        <v>2313</v>
      </c>
      <c r="I458" s="8012" t="s">
        <v>826</v>
      </c>
    </row>
    <row customHeight="1" ht="11.25">
      <c r="A459" s="8012" t="s">
        <v>2173</v>
      </c>
      <c r="B459" s="8012" t="s">
        <v>14</v>
      </c>
      <c r="C459" s="8012" t="s">
        <v>2830</v>
      </c>
      <c r="D459" s="8012" t="s">
        <v>2831</v>
      </c>
      <c r="E459" s="8012" t="s">
        <v>2832</v>
      </c>
      <c r="F459" s="8012" t="s">
        <v>578</v>
      </c>
      <c r="G459" s="8012" t="s">
        <v>24</v>
      </c>
      <c r="H459" s="8012" t="s">
        <v>24</v>
      </c>
      <c r="I459" s="8012" t="s">
        <v>826</v>
      </c>
    </row>
    <row customHeight="1" ht="11.25">
      <c r="A460" s="8012" t="s">
        <v>2173</v>
      </c>
      <c r="B460" s="8012" t="s">
        <v>14</v>
      </c>
      <c r="C460" s="8012" t="s">
        <v>2836</v>
      </c>
      <c r="D460" s="8012" t="s">
        <v>2349</v>
      </c>
      <c r="E460" s="8012" t="s">
        <v>2350</v>
      </c>
      <c r="F460" s="8012" t="s">
        <v>2837</v>
      </c>
      <c r="G460" s="8012" t="s">
        <v>24</v>
      </c>
      <c r="H460" s="8012" t="s">
        <v>24</v>
      </c>
      <c r="I460" s="8012" t="s">
        <v>826</v>
      </c>
    </row>
    <row customHeight="1" ht="11.25">
      <c r="A461" s="8012" t="s">
        <v>2173</v>
      </c>
      <c r="B461" s="8012" t="s">
        <v>14</v>
      </c>
      <c r="C461" s="8012" t="s">
        <v>2777</v>
      </c>
      <c r="D461" s="8012" t="s">
        <v>2349</v>
      </c>
      <c r="E461" s="8012" t="s">
        <v>2350</v>
      </c>
      <c r="F461" s="8012" t="s">
        <v>2778</v>
      </c>
      <c r="G461" s="8012" t="s">
        <v>24</v>
      </c>
      <c r="H461" s="8012" t="s">
        <v>24</v>
      </c>
      <c r="I461" s="8012" t="s">
        <v>826</v>
      </c>
    </row>
    <row customHeight="1" ht="11.25">
      <c r="A462" s="8012" t="s">
        <v>2173</v>
      </c>
      <c r="B462" s="8012" t="s">
        <v>14</v>
      </c>
      <c r="C462" s="8012" t="s">
        <v>2779</v>
      </c>
      <c r="D462" s="8012" t="s">
        <v>2349</v>
      </c>
      <c r="E462" s="8012" t="s">
        <v>2350</v>
      </c>
      <c r="F462" s="8012" t="s">
        <v>2780</v>
      </c>
      <c r="G462" s="8012" t="s">
        <v>24</v>
      </c>
      <c r="H462" s="8012" t="s">
        <v>24</v>
      </c>
      <c r="I462" s="8012" t="s">
        <v>826</v>
      </c>
    </row>
    <row customHeight="1" ht="11.25">
      <c r="A463" s="8012" t="s">
        <v>2173</v>
      </c>
      <c r="B463" s="8012" t="s">
        <v>14</v>
      </c>
      <c r="C463" s="8012" t="s">
        <v>2781</v>
      </c>
      <c r="D463" s="8012" t="s">
        <v>2349</v>
      </c>
      <c r="E463" s="8012" t="s">
        <v>2350</v>
      </c>
      <c r="F463" s="8012" t="s">
        <v>2782</v>
      </c>
      <c r="G463" s="8012" t="s">
        <v>24</v>
      </c>
      <c r="H463" s="8012" t="s">
        <v>24</v>
      </c>
      <c r="I463" s="8012" t="s">
        <v>826</v>
      </c>
    </row>
    <row customHeight="1" ht="11.25">
      <c r="A464" s="8012" t="s">
        <v>2173</v>
      </c>
      <c r="B464" s="8012" t="s">
        <v>14</v>
      </c>
      <c r="C464" s="8012" t="s">
        <v>2838</v>
      </c>
      <c r="D464" s="8012" t="s">
        <v>2349</v>
      </c>
      <c r="E464" s="8012" t="s">
        <v>2350</v>
      </c>
      <c r="F464" s="8012" t="s">
        <v>2839</v>
      </c>
      <c r="G464" s="8012" t="s">
        <v>24</v>
      </c>
      <c r="H464" s="8012" t="s">
        <v>24</v>
      </c>
      <c r="I464" s="8012" t="s">
        <v>826</v>
      </c>
    </row>
    <row customHeight="1" ht="11.25">
      <c r="A465" s="8012" t="s">
        <v>2173</v>
      </c>
      <c r="B465" s="8012" t="s">
        <v>14</v>
      </c>
      <c r="C465" s="8012" t="s">
        <v>2783</v>
      </c>
      <c r="D465" s="8012" t="s">
        <v>2349</v>
      </c>
      <c r="E465" s="8012" t="s">
        <v>2350</v>
      </c>
      <c r="F465" s="8012" t="s">
        <v>2784</v>
      </c>
      <c r="G465" s="8012" t="s">
        <v>24</v>
      </c>
      <c r="H465" s="8012" t="s">
        <v>24</v>
      </c>
      <c r="I465" s="8012" t="s">
        <v>826</v>
      </c>
    </row>
    <row customHeight="1" ht="11.25">
      <c r="A466" s="8012" t="s">
        <v>2173</v>
      </c>
      <c r="B466" s="8012" t="s">
        <v>14</v>
      </c>
      <c r="C466" s="8012" t="s">
        <v>2785</v>
      </c>
      <c r="D466" s="8012" t="s">
        <v>2349</v>
      </c>
      <c r="E466" s="8012" t="s">
        <v>2350</v>
      </c>
      <c r="F466" s="8012" t="s">
        <v>2786</v>
      </c>
      <c r="G466" s="8012" t="s">
        <v>24</v>
      </c>
      <c r="H466" s="8012" t="s">
        <v>24</v>
      </c>
      <c r="I466" s="8012" t="s">
        <v>826</v>
      </c>
    </row>
    <row customHeight="1" ht="11.25">
      <c r="A467" s="8012" t="s">
        <v>2173</v>
      </c>
      <c r="B467" s="8012" t="s">
        <v>14</v>
      </c>
      <c r="C467" s="8012" t="s">
        <v>2787</v>
      </c>
      <c r="D467" s="8012" t="s">
        <v>2349</v>
      </c>
      <c r="E467" s="8012" t="s">
        <v>2350</v>
      </c>
      <c r="F467" s="8012" t="s">
        <v>2788</v>
      </c>
      <c r="G467" s="8012" t="s">
        <v>24</v>
      </c>
      <c r="H467" s="8012" t="s">
        <v>24</v>
      </c>
      <c r="I467" s="8012" t="s">
        <v>826</v>
      </c>
    </row>
    <row customHeight="1" ht="11.25">
      <c r="A468" s="8012" t="s">
        <v>2173</v>
      </c>
      <c r="B468" s="8012" t="s">
        <v>14</v>
      </c>
      <c r="C468" s="8012" t="s">
        <v>2789</v>
      </c>
      <c r="D468" s="8012" t="s">
        <v>2349</v>
      </c>
      <c r="E468" s="8012" t="s">
        <v>2350</v>
      </c>
      <c r="F468" s="8012" t="s">
        <v>2790</v>
      </c>
      <c r="G468" s="8012" t="s">
        <v>24</v>
      </c>
      <c r="H468" s="8012" t="s">
        <v>24</v>
      </c>
      <c r="I468" s="8012" t="s">
        <v>826</v>
      </c>
    </row>
    <row customHeight="1" ht="11.25">
      <c r="A469" s="8012" t="s">
        <v>2173</v>
      </c>
      <c r="B469" s="8012" t="s">
        <v>14</v>
      </c>
      <c r="C469" s="8012" t="s">
        <v>2791</v>
      </c>
      <c r="D469" s="8012" t="s">
        <v>2349</v>
      </c>
      <c r="E469" s="8012" t="s">
        <v>2350</v>
      </c>
      <c r="F469" s="8012" t="s">
        <v>2792</v>
      </c>
      <c r="G469" s="8012" t="s">
        <v>24</v>
      </c>
      <c r="H469" s="8012" t="s">
        <v>24</v>
      </c>
      <c r="I469" s="8012" t="s">
        <v>826</v>
      </c>
    </row>
    <row customHeight="1" ht="11.25">
      <c r="A470" s="8012" t="s">
        <v>2173</v>
      </c>
      <c r="B470" s="8012" t="s">
        <v>14</v>
      </c>
      <c r="C470" s="8012" t="s">
        <v>2348</v>
      </c>
      <c r="D470" s="8012" t="s">
        <v>2349</v>
      </c>
      <c r="E470" s="8012" t="s">
        <v>2350</v>
      </c>
      <c r="F470" s="8012" t="s">
        <v>2347</v>
      </c>
      <c r="G470" s="8012" t="s">
        <v>24</v>
      </c>
      <c r="H470" s="8012" t="s">
        <v>24</v>
      </c>
      <c r="I470" s="8012" t="s">
        <v>826</v>
      </c>
    </row>
    <row customHeight="1" ht="11.25">
      <c r="A471" s="8012" t="s">
        <v>2173</v>
      </c>
      <c r="B471" s="8012" t="s">
        <v>14</v>
      </c>
      <c r="C471" s="8012" t="s">
        <v>2840</v>
      </c>
      <c r="D471" s="8012" t="s">
        <v>2841</v>
      </c>
      <c r="E471" s="8012" t="s">
        <v>2842</v>
      </c>
      <c r="F471" s="8012" t="s">
        <v>2177</v>
      </c>
      <c r="G471" s="8012" t="s">
        <v>24</v>
      </c>
      <c r="H471" s="8012" t="s">
        <v>24</v>
      </c>
      <c r="I471" s="8012" t="s">
        <v>826</v>
      </c>
    </row>
    <row customHeight="1" ht="11.25">
      <c r="A472" s="8012" t="s">
        <v>2173</v>
      </c>
      <c r="B472" s="8012" t="s">
        <v>14</v>
      </c>
      <c r="C472" s="8012" t="s">
        <v>2843</v>
      </c>
      <c r="D472" s="8012" t="s">
        <v>2841</v>
      </c>
      <c r="E472" s="8012" t="s">
        <v>2842</v>
      </c>
      <c r="F472" s="8012" t="s">
        <v>2844</v>
      </c>
      <c r="G472" s="8012" t="s">
        <v>24</v>
      </c>
      <c r="H472" s="8012" t="s">
        <v>24</v>
      </c>
      <c r="I472" s="8012" t="s">
        <v>826</v>
      </c>
    </row>
    <row customHeight="1" ht="11.25">
      <c r="A473" s="8012" t="s">
        <v>2173</v>
      </c>
      <c r="B473" s="8012" t="s">
        <v>14</v>
      </c>
      <c r="C473" s="8012" t="s">
        <v>2355</v>
      </c>
      <c r="D473" s="8012" t="s">
        <v>2352</v>
      </c>
      <c r="E473" s="8012" t="s">
        <v>2350</v>
      </c>
      <c r="F473" s="8012" t="s">
        <v>2356</v>
      </c>
      <c r="G473" s="8012" t="s">
        <v>24</v>
      </c>
      <c r="H473" s="8012" t="s">
        <v>2357</v>
      </c>
      <c r="I473" s="8012" t="s">
        <v>826</v>
      </c>
    </row>
    <row customHeight="1" ht="11.25">
      <c r="A474" s="8012" t="s">
        <v>2173</v>
      </c>
      <c r="B474" s="8012" t="s">
        <v>14</v>
      </c>
      <c r="C474" s="8012" t="s">
        <v>2845</v>
      </c>
      <c r="D474" s="8012" t="s">
        <v>2352</v>
      </c>
      <c r="E474" s="8012" t="s">
        <v>2350</v>
      </c>
      <c r="F474" s="8012" t="s">
        <v>2846</v>
      </c>
      <c r="G474" s="8012" t="s">
        <v>24</v>
      </c>
      <c r="H474" s="8012" t="s">
        <v>24</v>
      </c>
      <c r="I474" s="8012" t="s">
        <v>826</v>
      </c>
    </row>
    <row customHeight="1" ht="11.25">
      <c r="A475" s="8012" t="s">
        <v>2173</v>
      </c>
      <c r="B475" s="8012" t="s">
        <v>14</v>
      </c>
      <c r="C475" s="8012" t="s">
        <v>2793</v>
      </c>
      <c r="D475" s="8012" t="s">
        <v>2352</v>
      </c>
      <c r="E475" s="8012" t="s">
        <v>2350</v>
      </c>
      <c r="F475" s="8012" t="s">
        <v>2794</v>
      </c>
      <c r="G475" s="8012" t="s">
        <v>24</v>
      </c>
      <c r="H475" s="8012" t="s">
        <v>24</v>
      </c>
      <c r="I475" s="8012" t="s">
        <v>826</v>
      </c>
    </row>
    <row customHeight="1" ht="11.25">
      <c r="A476" s="8012" t="s">
        <v>2173</v>
      </c>
      <c r="B476" s="8012" t="s">
        <v>14</v>
      </c>
      <c r="C476" s="8012" t="s">
        <v>3341</v>
      </c>
      <c r="D476" s="8012" t="s">
        <v>3342</v>
      </c>
      <c r="E476" s="8012" t="s">
        <v>3343</v>
      </c>
      <c r="F476" s="8012" t="s">
        <v>2513</v>
      </c>
      <c r="G476" s="8012" t="s">
        <v>3344</v>
      </c>
      <c r="H476" s="8012" t="s">
        <v>24</v>
      </c>
      <c r="I476" s="8012" t="s">
        <v>826</v>
      </c>
    </row>
    <row customHeight="1" ht="11.25">
      <c r="A477" s="8012" t="s">
        <v>2173</v>
      </c>
      <c r="B477" s="8012" t="s">
        <v>14</v>
      </c>
      <c r="C477" s="8012" t="s">
        <v>2850</v>
      </c>
      <c r="D477" s="8012" t="s">
        <v>2851</v>
      </c>
      <c r="E477" s="8012" t="s">
        <v>2852</v>
      </c>
      <c r="F477" s="8012" t="s">
        <v>2457</v>
      </c>
      <c r="G477" s="8012" t="s">
        <v>24</v>
      </c>
      <c r="H477" s="8012" t="s">
        <v>24</v>
      </c>
      <c r="I477" s="8012" t="s">
        <v>826</v>
      </c>
    </row>
    <row customHeight="1" ht="11.25">
      <c r="A478" s="8012" t="s">
        <v>2173</v>
      </c>
      <c r="B478" s="8012" t="s">
        <v>14</v>
      </c>
      <c r="C478" s="8012" t="s">
        <v>2853</v>
      </c>
      <c r="D478" s="8012" t="s">
        <v>2854</v>
      </c>
      <c r="E478" s="8012" t="s">
        <v>2855</v>
      </c>
      <c r="F478" s="8012" t="s">
        <v>2471</v>
      </c>
      <c r="G478" s="8012" t="s">
        <v>24</v>
      </c>
      <c r="H478" s="8012" t="s">
        <v>24</v>
      </c>
      <c r="I478" s="8012" t="s">
        <v>826</v>
      </c>
    </row>
    <row customHeight="1" ht="11.25">
      <c r="A479" s="8012" t="s">
        <v>2173</v>
      </c>
      <c r="B479" s="8012" t="s">
        <v>14</v>
      </c>
      <c r="C479" s="8012" t="s">
        <v>2856</v>
      </c>
      <c r="D479" s="8012" t="s">
        <v>2857</v>
      </c>
      <c r="E479" s="8012" t="s">
        <v>2858</v>
      </c>
      <c r="F479" s="8012" t="s">
        <v>2253</v>
      </c>
      <c r="G479" s="8012" t="s">
        <v>24</v>
      </c>
      <c r="H479" s="8012" t="s">
        <v>24</v>
      </c>
      <c r="I479" s="8012" t="s">
        <v>826</v>
      </c>
    </row>
    <row customHeight="1" ht="11.25">
      <c r="A480" s="8012" t="s">
        <v>2173</v>
      </c>
      <c r="B480" s="8012" t="s">
        <v>14</v>
      </c>
      <c r="C480" s="8012" t="s">
        <v>2859</v>
      </c>
      <c r="D480" s="8012" t="s">
        <v>2860</v>
      </c>
      <c r="E480" s="8012" t="s">
        <v>2861</v>
      </c>
      <c r="F480" s="8012" t="s">
        <v>2370</v>
      </c>
      <c r="G480" s="8012" t="s">
        <v>24</v>
      </c>
      <c r="H480" s="8012" t="s">
        <v>24</v>
      </c>
      <c r="I480" s="8012" t="s">
        <v>826</v>
      </c>
    </row>
    <row customHeight="1" ht="11.25">
      <c r="A481" s="8012" t="s">
        <v>2173</v>
      </c>
      <c r="B481" s="8012" t="s">
        <v>14</v>
      </c>
      <c r="C481" s="8012" t="s">
        <v>2866</v>
      </c>
      <c r="D481" s="8012" t="s">
        <v>2867</v>
      </c>
      <c r="E481" s="8012" t="s">
        <v>2868</v>
      </c>
      <c r="F481" s="8012" t="s">
        <v>2390</v>
      </c>
      <c r="G481" s="8012" t="s">
        <v>24</v>
      </c>
      <c r="H481" s="8012" t="s">
        <v>2869</v>
      </c>
      <c r="I481" s="8012" t="s">
        <v>826</v>
      </c>
    </row>
    <row customHeight="1" ht="11.25">
      <c r="A482" s="8012" t="s">
        <v>2173</v>
      </c>
      <c r="B482" s="8012" t="s">
        <v>14</v>
      </c>
      <c r="C482" s="8012" t="s">
        <v>2870</v>
      </c>
      <c r="D482" s="8012" t="s">
        <v>2871</v>
      </c>
      <c r="E482" s="8012" t="s">
        <v>2872</v>
      </c>
      <c r="F482" s="8012" t="s">
        <v>2253</v>
      </c>
      <c r="G482" s="8012" t="s">
        <v>24</v>
      </c>
      <c r="H482" s="8012" t="s">
        <v>24</v>
      </c>
      <c r="I482" s="8012" t="s">
        <v>826</v>
      </c>
    </row>
    <row customHeight="1" ht="11.25">
      <c r="A483" s="8012" t="s">
        <v>2173</v>
      </c>
      <c r="B483" s="8012" t="s">
        <v>14</v>
      </c>
      <c r="C483" s="8012" t="s">
        <v>2873</v>
      </c>
      <c r="D483" s="8012" t="s">
        <v>2874</v>
      </c>
      <c r="E483" s="8012" t="s">
        <v>2875</v>
      </c>
      <c r="F483" s="8012" t="s">
        <v>2390</v>
      </c>
      <c r="G483" s="8012" t="s">
        <v>24</v>
      </c>
      <c r="H483" s="8012" t="s">
        <v>2876</v>
      </c>
      <c r="I483" s="8012" t="s">
        <v>826</v>
      </c>
    </row>
    <row customHeight="1" ht="11.25">
      <c r="A484" s="8012" t="s">
        <v>2173</v>
      </c>
      <c r="B484" s="8012" t="s">
        <v>14</v>
      </c>
      <c r="C484" s="8012" t="s">
        <v>2367</v>
      </c>
      <c r="D484" s="8012" t="s">
        <v>2368</v>
      </c>
      <c r="E484" s="8012" t="s">
        <v>2369</v>
      </c>
      <c r="F484" s="8012" t="s">
        <v>2370</v>
      </c>
      <c r="G484" s="8012" t="s">
        <v>24</v>
      </c>
      <c r="H484" s="8012" t="s">
        <v>24</v>
      </c>
      <c r="I484" s="8012" t="s">
        <v>826</v>
      </c>
    </row>
    <row customHeight="1" ht="11.25">
      <c r="A485" s="8012" t="s">
        <v>2173</v>
      </c>
      <c r="B485" s="8012" t="s">
        <v>14</v>
      </c>
      <c r="C485" s="8012" t="s">
        <v>2877</v>
      </c>
      <c r="D485" s="8012" t="s">
        <v>2878</v>
      </c>
      <c r="E485" s="8012" t="s">
        <v>2879</v>
      </c>
      <c r="F485" s="8012" t="s">
        <v>2390</v>
      </c>
      <c r="G485" s="8012" t="s">
        <v>2880</v>
      </c>
      <c r="H485" s="8012" t="s">
        <v>24</v>
      </c>
      <c r="I485" s="8012" t="s">
        <v>826</v>
      </c>
    </row>
    <row customHeight="1" ht="11.25">
      <c r="A486" s="8012" t="s">
        <v>2173</v>
      </c>
      <c r="B486" s="8012" t="s">
        <v>14</v>
      </c>
      <c r="C486" s="8012" t="s">
        <v>2881</v>
      </c>
      <c r="D486" s="8012" t="s">
        <v>2882</v>
      </c>
      <c r="E486" s="8012" t="s">
        <v>2883</v>
      </c>
      <c r="F486" s="8012" t="s">
        <v>2884</v>
      </c>
      <c r="G486" s="8012" t="s">
        <v>24</v>
      </c>
      <c r="H486" s="8012" t="s">
        <v>24</v>
      </c>
      <c r="I486" s="8012" t="s">
        <v>826</v>
      </c>
    </row>
    <row customHeight="1" ht="11.25">
      <c r="A487" s="8012" t="s">
        <v>2173</v>
      </c>
      <c r="B487" s="8012" t="s">
        <v>14</v>
      </c>
      <c r="C487" s="8012" t="s">
        <v>2885</v>
      </c>
      <c r="D487" s="8012" t="s">
        <v>2886</v>
      </c>
      <c r="E487" s="8012" t="s">
        <v>2887</v>
      </c>
      <c r="F487" s="8012" t="s">
        <v>2390</v>
      </c>
      <c r="G487" s="8012" t="s">
        <v>24</v>
      </c>
      <c r="H487" s="8012" t="s">
        <v>24</v>
      </c>
      <c r="I487" s="8012" t="s">
        <v>826</v>
      </c>
    </row>
    <row customHeight="1" ht="11.25">
      <c r="A488" s="8012" t="s">
        <v>2173</v>
      </c>
      <c r="B488" s="8012" t="s">
        <v>14</v>
      </c>
      <c r="C488" s="8012" t="s">
        <v>2888</v>
      </c>
      <c r="D488" s="8012" t="s">
        <v>2889</v>
      </c>
      <c r="E488" s="8012" t="s">
        <v>2890</v>
      </c>
      <c r="F488" s="8012" t="s">
        <v>2233</v>
      </c>
      <c r="G488" s="8012" t="s">
        <v>2891</v>
      </c>
      <c r="H488" s="8012" t="s">
        <v>24</v>
      </c>
      <c r="I488" s="8012" t="s">
        <v>826</v>
      </c>
    </row>
    <row customHeight="1" ht="11.25">
      <c r="A489" s="8012" t="s">
        <v>2173</v>
      </c>
      <c r="B489" s="8012" t="s">
        <v>14</v>
      </c>
      <c r="C489" s="8012" t="s">
        <v>2892</v>
      </c>
      <c r="D489" s="8012" t="s">
        <v>2893</v>
      </c>
      <c r="E489" s="8012" t="s">
        <v>2894</v>
      </c>
      <c r="F489" s="8012" t="s">
        <v>2233</v>
      </c>
      <c r="G489" s="8012" t="s">
        <v>2895</v>
      </c>
      <c r="H489" s="8012" t="s">
        <v>24</v>
      </c>
      <c r="I489" s="8012" t="s">
        <v>826</v>
      </c>
    </row>
    <row customHeight="1" ht="11.25">
      <c r="A490" s="8012" t="s">
        <v>2173</v>
      </c>
      <c r="B490" s="8012" t="s">
        <v>14</v>
      </c>
      <c r="C490" s="8012" t="s">
        <v>2896</v>
      </c>
      <c r="D490" s="8012" t="s">
        <v>2897</v>
      </c>
      <c r="E490" s="8012" t="s">
        <v>2898</v>
      </c>
      <c r="F490" s="8012" t="s">
        <v>2390</v>
      </c>
      <c r="G490" s="8012" t="s">
        <v>24</v>
      </c>
      <c r="H490" s="8012" t="s">
        <v>2354</v>
      </c>
      <c r="I490" s="8012" t="s">
        <v>826</v>
      </c>
    </row>
    <row customHeight="1" ht="11.25">
      <c r="A491" s="8012" t="s">
        <v>2173</v>
      </c>
      <c r="B491" s="8012" t="s">
        <v>14</v>
      </c>
      <c r="C491" s="8012" t="s">
        <v>2374</v>
      </c>
      <c r="D491" s="8012" t="s">
        <v>2375</v>
      </c>
      <c r="E491" s="8012" t="s">
        <v>2376</v>
      </c>
      <c r="F491" s="8012" t="s">
        <v>2377</v>
      </c>
      <c r="G491" s="8012" t="s">
        <v>24</v>
      </c>
      <c r="H491" s="8012" t="s">
        <v>24</v>
      </c>
      <c r="I491" s="8012" t="s">
        <v>826</v>
      </c>
    </row>
    <row customHeight="1" ht="11.25">
      <c r="A492" s="8012" t="s">
        <v>2173</v>
      </c>
      <c r="B492" s="8012" t="s">
        <v>14</v>
      </c>
      <c r="C492" s="8012" t="s">
        <v>3345</v>
      </c>
      <c r="D492" s="8012" t="s">
        <v>3346</v>
      </c>
      <c r="E492" s="8012" t="s">
        <v>3347</v>
      </c>
      <c r="F492" s="8012" t="s">
        <v>2390</v>
      </c>
      <c r="G492" s="8012" t="s">
        <v>24</v>
      </c>
      <c r="H492" s="8012" t="s">
        <v>24</v>
      </c>
      <c r="I492" s="8012" t="s">
        <v>826</v>
      </c>
    </row>
    <row customHeight="1" ht="11.25">
      <c r="A493" s="8012" t="s">
        <v>2173</v>
      </c>
      <c r="B493" s="8012" t="s">
        <v>14</v>
      </c>
      <c r="C493" s="8012" t="s">
        <v>2903</v>
      </c>
      <c r="D493" s="8012" t="s">
        <v>2904</v>
      </c>
      <c r="E493" s="8012" t="s">
        <v>2905</v>
      </c>
      <c r="F493" s="8012" t="s">
        <v>2770</v>
      </c>
      <c r="G493" s="8012" t="s">
        <v>24</v>
      </c>
      <c r="H493" s="8012" t="s">
        <v>2354</v>
      </c>
      <c r="I493" s="8012" t="s">
        <v>826</v>
      </c>
    </row>
    <row customHeight="1" ht="11.25">
      <c r="A494" s="8012" t="s">
        <v>2173</v>
      </c>
      <c r="B494" s="8012" t="s">
        <v>14</v>
      </c>
      <c r="C494" s="8012" t="s">
        <v>2378</v>
      </c>
      <c r="D494" s="8012" t="s">
        <v>2379</v>
      </c>
      <c r="E494" s="8012" t="s">
        <v>2380</v>
      </c>
      <c r="F494" s="8012" t="s">
        <v>2381</v>
      </c>
      <c r="G494" s="8012" t="s">
        <v>24</v>
      </c>
      <c r="H494" s="8012" t="s">
        <v>2382</v>
      </c>
      <c r="I494" s="8012" t="s">
        <v>826</v>
      </c>
    </row>
    <row customHeight="1" ht="11.25">
      <c r="A495" s="8012" t="s">
        <v>2173</v>
      </c>
      <c r="B495" s="8012" t="s">
        <v>14</v>
      </c>
      <c r="C495" s="8012" t="s">
        <v>2383</v>
      </c>
      <c r="D495" s="8012" t="s">
        <v>2379</v>
      </c>
      <c r="E495" s="8012" t="s">
        <v>2380</v>
      </c>
      <c r="F495" s="8012" t="s">
        <v>2381</v>
      </c>
      <c r="G495" s="8012" t="s">
        <v>24</v>
      </c>
      <c r="H495" s="8012" t="s">
        <v>24</v>
      </c>
      <c r="I495" s="8012" t="s">
        <v>826</v>
      </c>
    </row>
    <row customHeight="1" ht="11.25">
      <c r="A496" s="8012" t="s">
        <v>2173</v>
      </c>
      <c r="B496" s="8012" t="s">
        <v>14</v>
      </c>
      <c r="C496" s="8012" t="s">
        <v>2384</v>
      </c>
      <c r="D496" s="8012" t="s">
        <v>2385</v>
      </c>
      <c r="E496" s="8012" t="s">
        <v>2386</v>
      </c>
      <c r="F496" s="8012" t="s">
        <v>2381</v>
      </c>
      <c r="G496" s="8012" t="s">
        <v>24</v>
      </c>
      <c r="H496" s="8012" t="s">
        <v>24</v>
      </c>
      <c r="I496" s="8012" t="s">
        <v>826</v>
      </c>
    </row>
    <row customHeight="1" ht="11.25">
      <c r="A497" s="8012" t="s">
        <v>2173</v>
      </c>
      <c r="B497" s="8012" t="s">
        <v>14</v>
      </c>
      <c r="C497" s="8012" t="s">
        <v>2387</v>
      </c>
      <c r="D497" s="8012" t="s">
        <v>2388</v>
      </c>
      <c r="E497" s="8012" t="s">
        <v>2389</v>
      </c>
      <c r="F497" s="8012" t="s">
        <v>2390</v>
      </c>
      <c r="G497" s="8012" t="s">
        <v>24</v>
      </c>
      <c r="H497" s="8012" t="s">
        <v>24</v>
      </c>
      <c r="I497" s="8012" t="s">
        <v>826</v>
      </c>
    </row>
    <row customHeight="1" ht="11.25">
      <c r="A498" s="8012" t="s">
        <v>2173</v>
      </c>
      <c r="B498" s="8012" t="s">
        <v>14</v>
      </c>
      <c r="C498" s="8012" t="s">
        <v>2906</v>
      </c>
      <c r="D498" s="8012" t="s">
        <v>2907</v>
      </c>
      <c r="E498" s="8012" t="s">
        <v>2908</v>
      </c>
      <c r="F498" s="8012" t="s">
        <v>2298</v>
      </c>
      <c r="G498" s="8012" t="s">
        <v>24</v>
      </c>
      <c r="H498" s="8012" t="s">
        <v>24</v>
      </c>
      <c r="I498" s="8012" t="s">
        <v>826</v>
      </c>
    </row>
    <row customHeight="1" ht="11.25">
      <c r="A499" s="8012" t="s">
        <v>2173</v>
      </c>
      <c r="B499" s="8012" t="s">
        <v>14</v>
      </c>
      <c r="C499" s="8012" t="s">
        <v>2909</v>
      </c>
      <c r="D499" s="8012" t="s">
        <v>2910</v>
      </c>
      <c r="E499" s="8012" t="s">
        <v>2911</v>
      </c>
      <c r="F499" s="8012" t="s">
        <v>2770</v>
      </c>
      <c r="G499" s="8012" t="s">
        <v>24</v>
      </c>
      <c r="H499" s="8012" t="s">
        <v>2912</v>
      </c>
      <c r="I499" s="8012" t="s">
        <v>826</v>
      </c>
    </row>
    <row customHeight="1" ht="11.25">
      <c r="A500" s="8012" t="s">
        <v>2173</v>
      </c>
      <c r="B500" s="8012" t="s">
        <v>14</v>
      </c>
      <c r="C500" s="8012" t="s">
        <v>2917</v>
      </c>
      <c r="D500" s="8012" t="s">
        <v>2918</v>
      </c>
      <c r="E500" s="8012" t="s">
        <v>2919</v>
      </c>
      <c r="F500" s="8012" t="s">
        <v>2884</v>
      </c>
      <c r="G500" s="8012" t="s">
        <v>24</v>
      </c>
      <c r="H500" s="8012" t="s">
        <v>2354</v>
      </c>
      <c r="I500" s="8012" t="s">
        <v>826</v>
      </c>
    </row>
    <row customHeight="1" ht="11.25">
      <c r="A501" s="8012" t="s">
        <v>2173</v>
      </c>
      <c r="B501" s="8012" t="s">
        <v>14</v>
      </c>
      <c r="C501" s="8012" t="s">
        <v>2920</v>
      </c>
      <c r="D501" s="8012" t="s">
        <v>2921</v>
      </c>
      <c r="E501" s="8012" t="s">
        <v>2922</v>
      </c>
      <c r="F501" s="8012" t="s">
        <v>2770</v>
      </c>
      <c r="G501" s="8012" t="s">
        <v>24</v>
      </c>
      <c r="H501" s="8012" t="s">
        <v>2923</v>
      </c>
      <c r="I501" s="8012" t="s">
        <v>826</v>
      </c>
    </row>
    <row customHeight="1" ht="11.25">
      <c r="A502" s="8012" t="s">
        <v>2173</v>
      </c>
      <c r="B502" s="8012" t="s">
        <v>14</v>
      </c>
      <c r="C502" s="8012" t="s">
        <v>2391</v>
      </c>
      <c r="D502" s="8012" t="s">
        <v>2392</v>
      </c>
      <c r="E502" s="8012" t="s">
        <v>2393</v>
      </c>
      <c r="F502" s="8012" t="s">
        <v>2233</v>
      </c>
      <c r="G502" s="8012" t="s">
        <v>24</v>
      </c>
      <c r="H502" s="8012" t="s">
        <v>24</v>
      </c>
      <c r="I502" s="8012" t="s">
        <v>826</v>
      </c>
    </row>
    <row customHeight="1" ht="11.25">
      <c r="A503" s="8012" t="s">
        <v>2173</v>
      </c>
      <c r="B503" s="8012" t="s">
        <v>14</v>
      </c>
      <c r="C503" s="8012" t="s">
        <v>2924</v>
      </c>
      <c r="D503" s="8012" t="s">
        <v>2925</v>
      </c>
      <c r="E503" s="8012" t="s">
        <v>2926</v>
      </c>
      <c r="F503" s="8012" t="s">
        <v>2261</v>
      </c>
      <c r="G503" s="8012" t="s">
        <v>24</v>
      </c>
      <c r="H503" s="8012" t="s">
        <v>2927</v>
      </c>
      <c r="I503" s="8012" t="s">
        <v>826</v>
      </c>
    </row>
    <row customHeight="1" ht="11.25">
      <c r="A504" s="8012" t="s">
        <v>2173</v>
      </c>
      <c r="B504" s="8012" t="s">
        <v>14</v>
      </c>
      <c r="C504" s="8012" t="s">
        <v>2928</v>
      </c>
      <c r="D504" s="8012" t="s">
        <v>2929</v>
      </c>
      <c r="E504" s="8012" t="s">
        <v>2930</v>
      </c>
      <c r="F504" s="8012" t="s">
        <v>2865</v>
      </c>
      <c r="G504" s="8012" t="s">
        <v>24</v>
      </c>
      <c r="H504" s="8012" t="s">
        <v>24</v>
      </c>
      <c r="I504" s="8012" t="s">
        <v>826</v>
      </c>
    </row>
    <row customHeight="1" ht="11.25">
      <c r="A505" s="8012" t="s">
        <v>2173</v>
      </c>
      <c r="B505" s="8012" t="s">
        <v>14</v>
      </c>
      <c r="C505" s="8012" t="s">
        <v>2394</v>
      </c>
      <c r="D505" s="8012" t="s">
        <v>2395</v>
      </c>
      <c r="E505" s="8012" t="s">
        <v>2396</v>
      </c>
      <c r="F505" s="8012" t="s">
        <v>2377</v>
      </c>
      <c r="G505" s="8012" t="s">
        <v>24</v>
      </c>
      <c r="H505" s="8012" t="s">
        <v>24</v>
      </c>
      <c r="I505" s="8012" t="s">
        <v>826</v>
      </c>
    </row>
    <row customHeight="1" ht="11.25">
      <c r="A506" s="8012" t="s">
        <v>2173</v>
      </c>
      <c r="B506" s="8012" t="s">
        <v>14</v>
      </c>
      <c r="C506" s="8012" t="s">
        <v>2931</v>
      </c>
      <c r="D506" s="8012" t="s">
        <v>2932</v>
      </c>
      <c r="E506" s="8012" t="s">
        <v>2933</v>
      </c>
      <c r="F506" s="8012" t="s">
        <v>2934</v>
      </c>
      <c r="G506" s="8012" t="s">
        <v>24</v>
      </c>
      <c r="H506" s="8012" t="s">
        <v>2354</v>
      </c>
      <c r="I506" s="8012" t="s">
        <v>826</v>
      </c>
    </row>
    <row customHeight="1" ht="11.25">
      <c r="A507" s="8012" t="s">
        <v>2173</v>
      </c>
      <c r="B507" s="8012" t="s">
        <v>14</v>
      </c>
      <c r="C507" s="8012" t="s">
        <v>2935</v>
      </c>
      <c r="D507" s="8012" t="s">
        <v>2936</v>
      </c>
      <c r="E507" s="8012" t="s">
        <v>2937</v>
      </c>
      <c r="F507" s="8012" t="s">
        <v>2312</v>
      </c>
      <c r="G507" s="8012" t="s">
        <v>24</v>
      </c>
      <c r="H507" s="8012" t="s">
        <v>2354</v>
      </c>
      <c r="I507" s="8012" t="s">
        <v>826</v>
      </c>
    </row>
    <row customHeight="1" ht="11.25">
      <c r="A508" s="8012" t="s">
        <v>2173</v>
      </c>
      <c r="B508" s="8012" t="s">
        <v>14</v>
      </c>
      <c r="C508" s="8012" t="s">
        <v>2938</v>
      </c>
      <c r="D508" s="8012" t="s">
        <v>2939</v>
      </c>
      <c r="E508" s="8012" t="s">
        <v>2940</v>
      </c>
      <c r="F508" s="8012" t="s">
        <v>2941</v>
      </c>
      <c r="G508" s="8012" t="s">
        <v>24</v>
      </c>
      <c r="H508" s="8012" t="s">
        <v>2343</v>
      </c>
      <c r="I508" s="8012" t="s">
        <v>826</v>
      </c>
    </row>
    <row customHeight="1" ht="11.25">
      <c r="A509" s="8012" t="s">
        <v>2173</v>
      </c>
      <c r="B509" s="8012" t="s">
        <v>14</v>
      </c>
      <c r="C509" s="8012" t="s">
        <v>2945</v>
      </c>
      <c r="D509" s="8012" t="s">
        <v>2946</v>
      </c>
      <c r="E509" s="8012" t="s">
        <v>2947</v>
      </c>
      <c r="F509" s="8012" t="s">
        <v>2865</v>
      </c>
      <c r="G509" s="8012" t="s">
        <v>24</v>
      </c>
      <c r="H509" s="8012" t="s">
        <v>2354</v>
      </c>
      <c r="I509" s="8012" t="s">
        <v>826</v>
      </c>
    </row>
    <row customHeight="1" ht="11.25">
      <c r="A510" s="8012" t="s">
        <v>2173</v>
      </c>
      <c r="B510" s="8012" t="s">
        <v>14</v>
      </c>
      <c r="C510" s="8012" t="s">
        <v>2948</v>
      </c>
      <c r="D510" s="8012" t="s">
        <v>2949</v>
      </c>
      <c r="E510" s="8012" t="s">
        <v>2950</v>
      </c>
      <c r="F510" s="8012" t="s">
        <v>2261</v>
      </c>
      <c r="G510" s="8012" t="s">
        <v>24</v>
      </c>
      <c r="H510" s="8012" t="s">
        <v>24</v>
      </c>
      <c r="I510" s="8012" t="s">
        <v>826</v>
      </c>
    </row>
    <row customHeight="1" ht="11.25">
      <c r="A511" s="8012" t="s">
        <v>2173</v>
      </c>
      <c r="B511" s="8012" t="s">
        <v>14</v>
      </c>
      <c r="C511" s="8012" t="s">
        <v>2951</v>
      </c>
      <c r="D511" s="8012" t="s">
        <v>2952</v>
      </c>
      <c r="E511" s="8012" t="s">
        <v>2953</v>
      </c>
      <c r="F511" s="8012" t="s">
        <v>2770</v>
      </c>
      <c r="G511" s="8012" t="s">
        <v>24</v>
      </c>
      <c r="H511" s="8012" t="s">
        <v>24</v>
      </c>
      <c r="I511" s="8012" t="s">
        <v>826</v>
      </c>
    </row>
    <row customHeight="1" ht="11.25">
      <c r="A512" s="8012" t="s">
        <v>2173</v>
      </c>
      <c r="B512" s="8012" t="s">
        <v>14</v>
      </c>
      <c r="C512" s="8012" t="s">
        <v>2954</v>
      </c>
      <c r="D512" s="8012" t="s">
        <v>2955</v>
      </c>
      <c r="E512" s="8012" t="s">
        <v>2956</v>
      </c>
      <c r="F512" s="8012" t="s">
        <v>2190</v>
      </c>
      <c r="G512" s="8012" t="s">
        <v>24</v>
      </c>
      <c r="H512" s="8012" t="s">
        <v>24</v>
      </c>
      <c r="I512" s="8012" t="s">
        <v>826</v>
      </c>
    </row>
    <row customHeight="1" ht="11.25">
      <c r="A513" s="8012" t="s">
        <v>2173</v>
      </c>
      <c r="B513" s="8012" t="s">
        <v>14</v>
      </c>
      <c r="C513" s="8012" t="s">
        <v>2397</v>
      </c>
      <c r="D513" s="8012" t="s">
        <v>2398</v>
      </c>
      <c r="E513" s="8012" t="s">
        <v>2399</v>
      </c>
      <c r="F513" s="8012" t="s">
        <v>2312</v>
      </c>
      <c r="G513" s="8012" t="s">
        <v>24</v>
      </c>
      <c r="H513" s="8012" t="s">
        <v>24</v>
      </c>
      <c r="I513" s="8012" t="s">
        <v>826</v>
      </c>
    </row>
    <row customHeight="1" ht="11.25">
      <c r="A514" s="8012" t="s">
        <v>2173</v>
      </c>
      <c r="B514" s="8012" t="s">
        <v>14</v>
      </c>
      <c r="C514" s="8012" t="s">
        <v>2957</v>
      </c>
      <c r="D514" s="8012" t="s">
        <v>2958</v>
      </c>
      <c r="E514" s="8012" t="s">
        <v>2959</v>
      </c>
      <c r="F514" s="8012" t="s">
        <v>2770</v>
      </c>
      <c r="G514" s="8012" t="s">
        <v>24</v>
      </c>
      <c r="H514" s="8012" t="s">
        <v>24</v>
      </c>
      <c r="I514" s="8012" t="s">
        <v>826</v>
      </c>
    </row>
    <row customHeight="1" ht="11.25">
      <c r="A515" s="8012" t="s">
        <v>2173</v>
      </c>
      <c r="B515" s="8012" t="s">
        <v>14</v>
      </c>
      <c r="C515" s="8012" t="s">
        <v>2960</v>
      </c>
      <c r="D515" s="8012" t="s">
        <v>2961</v>
      </c>
      <c r="E515" s="8012" t="s">
        <v>2962</v>
      </c>
      <c r="F515" s="8012" t="s">
        <v>2370</v>
      </c>
      <c r="G515" s="8012" t="s">
        <v>24</v>
      </c>
      <c r="H515" s="8012" t="s">
        <v>2963</v>
      </c>
      <c r="I515" s="8012" t="s">
        <v>826</v>
      </c>
    </row>
    <row customHeight="1" ht="11.25">
      <c r="A516" s="8012" t="s">
        <v>2173</v>
      </c>
      <c r="B516" s="8012" t="s">
        <v>14</v>
      </c>
      <c r="C516" s="8012" t="s">
        <v>2964</v>
      </c>
      <c r="D516" s="8012" t="s">
        <v>2965</v>
      </c>
      <c r="E516" s="8012" t="s">
        <v>2966</v>
      </c>
      <c r="F516" s="8012" t="s">
        <v>2370</v>
      </c>
      <c r="G516" s="8012" t="s">
        <v>24</v>
      </c>
      <c r="H516" s="8012" t="s">
        <v>2354</v>
      </c>
      <c r="I516" s="8012" t="s">
        <v>826</v>
      </c>
    </row>
    <row customHeight="1" ht="11.25">
      <c r="A517" s="8012" t="s">
        <v>2173</v>
      </c>
      <c r="B517" s="8012" t="s">
        <v>14</v>
      </c>
      <c r="C517" s="8012" t="s">
        <v>2967</v>
      </c>
      <c r="D517" s="8012" t="s">
        <v>2968</v>
      </c>
      <c r="E517" s="8012" t="s">
        <v>2969</v>
      </c>
      <c r="F517" s="8012" t="s">
        <v>2261</v>
      </c>
      <c r="G517" s="8012" t="s">
        <v>2970</v>
      </c>
      <c r="H517" s="8012" t="s">
        <v>24</v>
      </c>
      <c r="I517" s="8012" t="s">
        <v>826</v>
      </c>
    </row>
    <row customHeight="1" ht="11.25">
      <c r="A518" s="8012" t="s">
        <v>2173</v>
      </c>
      <c r="B518" s="8012" t="s">
        <v>14</v>
      </c>
      <c r="C518" s="8012" t="s">
        <v>2400</v>
      </c>
      <c r="D518" s="8012" t="s">
        <v>2401</v>
      </c>
      <c r="E518" s="8012" t="s">
        <v>2402</v>
      </c>
      <c r="F518" s="8012" t="s">
        <v>2347</v>
      </c>
      <c r="G518" s="8012" t="s">
        <v>24</v>
      </c>
      <c r="H518" s="8012" t="s">
        <v>24</v>
      </c>
      <c r="I518" s="8012" t="s">
        <v>826</v>
      </c>
    </row>
    <row customHeight="1" ht="11.25">
      <c r="A519" s="8012" t="s">
        <v>2173</v>
      </c>
      <c r="B519" s="8012" t="s">
        <v>14</v>
      </c>
      <c r="C519" s="8012" t="s">
        <v>2971</v>
      </c>
      <c r="D519" s="8012" t="s">
        <v>2972</v>
      </c>
      <c r="E519" s="8012" t="s">
        <v>2973</v>
      </c>
      <c r="F519" s="8012" t="s">
        <v>2312</v>
      </c>
      <c r="G519" s="8012" t="s">
        <v>24</v>
      </c>
      <c r="H519" s="8012" t="s">
        <v>2354</v>
      </c>
      <c r="I519" s="8012" t="s">
        <v>826</v>
      </c>
    </row>
    <row customHeight="1" ht="11.25">
      <c r="A520" s="8012" t="s">
        <v>2173</v>
      </c>
      <c r="B520" s="8012" t="s">
        <v>14</v>
      </c>
      <c r="C520" s="8012" t="s">
        <v>2410</v>
      </c>
      <c r="D520" s="8012" t="s">
        <v>2411</v>
      </c>
      <c r="E520" s="8012" t="s">
        <v>2412</v>
      </c>
      <c r="F520" s="8012" t="s">
        <v>2413</v>
      </c>
      <c r="G520" s="8012" t="s">
        <v>24</v>
      </c>
      <c r="H520" s="8012" t="s">
        <v>24</v>
      </c>
      <c r="I520" s="8012" t="s">
        <v>826</v>
      </c>
    </row>
    <row customHeight="1" ht="11.25">
      <c r="A521" s="8012" t="s">
        <v>2173</v>
      </c>
      <c r="B521" s="8012" t="s">
        <v>14</v>
      </c>
      <c r="C521" s="8012" t="s">
        <v>2974</v>
      </c>
      <c r="D521" s="8012" t="s">
        <v>2975</v>
      </c>
      <c r="E521" s="8012" t="s">
        <v>2976</v>
      </c>
      <c r="F521" s="8012" t="s">
        <v>2347</v>
      </c>
      <c r="G521" s="8012" t="s">
        <v>24</v>
      </c>
      <c r="H521" s="8012" t="s">
        <v>2977</v>
      </c>
      <c r="I521" s="8012" t="s">
        <v>826</v>
      </c>
    </row>
    <row customHeight="1" ht="11.25">
      <c r="A522" s="8012" t="s">
        <v>2173</v>
      </c>
      <c r="B522" s="8012" t="s">
        <v>14</v>
      </c>
      <c r="C522" s="8012" t="s">
        <v>2417</v>
      </c>
      <c r="D522" s="8012" t="s">
        <v>2418</v>
      </c>
      <c r="E522" s="8012" t="s">
        <v>2419</v>
      </c>
      <c r="F522" s="8012" t="s">
        <v>2209</v>
      </c>
      <c r="G522" s="8012" t="s">
        <v>24</v>
      </c>
      <c r="H522" s="8012" t="s">
        <v>2205</v>
      </c>
      <c r="I522" s="8012" t="s">
        <v>826</v>
      </c>
    </row>
    <row customHeight="1" ht="11.25">
      <c r="A523" s="8012" t="s">
        <v>2173</v>
      </c>
      <c r="B523" s="8012" t="s">
        <v>14</v>
      </c>
      <c r="C523" s="8012" t="s">
        <v>3348</v>
      </c>
      <c r="D523" s="8012" t="s">
        <v>3349</v>
      </c>
      <c r="E523" s="8012" t="s">
        <v>3350</v>
      </c>
      <c r="F523" s="8012" t="s">
        <v>2253</v>
      </c>
      <c r="G523" s="8012" t="s">
        <v>24</v>
      </c>
      <c r="H523" s="8012" t="s">
        <v>24</v>
      </c>
      <c r="I523" s="8012" t="s">
        <v>826</v>
      </c>
    </row>
    <row customHeight="1" ht="11.25">
      <c r="A524" s="8012" t="s">
        <v>2173</v>
      </c>
      <c r="B524" s="8012" t="s">
        <v>14</v>
      </c>
      <c r="C524" s="8012" t="s">
        <v>2435</v>
      </c>
      <c r="D524" s="8012" t="s">
        <v>2436</v>
      </c>
      <c r="E524" s="8012" t="s">
        <v>2437</v>
      </c>
      <c r="F524" s="8012" t="s">
        <v>2381</v>
      </c>
      <c r="G524" s="8012" t="s">
        <v>24</v>
      </c>
      <c r="H524" s="8012" t="s">
        <v>24</v>
      </c>
      <c r="I524" s="8012" t="s">
        <v>826</v>
      </c>
    </row>
    <row customHeight="1" ht="11.25">
      <c r="A525" s="8012" t="s">
        <v>2173</v>
      </c>
      <c r="B525" s="8012" t="s">
        <v>14</v>
      </c>
      <c r="C525" s="8012" t="s">
        <v>2984</v>
      </c>
      <c r="D525" s="8012" t="s">
        <v>2985</v>
      </c>
      <c r="E525" s="8012" t="s">
        <v>2986</v>
      </c>
      <c r="F525" s="8012" t="s">
        <v>2594</v>
      </c>
      <c r="G525" s="8012" t="s">
        <v>2987</v>
      </c>
      <c r="H525" s="8012" t="s">
        <v>24</v>
      </c>
      <c r="I525" s="8012" t="s">
        <v>826</v>
      </c>
    </row>
    <row customHeight="1" ht="11.25">
      <c r="A526" s="8012" t="s">
        <v>2173</v>
      </c>
      <c r="B526" s="8012" t="s">
        <v>14</v>
      </c>
      <c r="C526" s="8012" t="s">
        <v>2988</v>
      </c>
      <c r="D526" s="8012" t="s">
        <v>2989</v>
      </c>
      <c r="E526" s="8012" t="s">
        <v>2990</v>
      </c>
      <c r="F526" s="8012" t="s">
        <v>2991</v>
      </c>
      <c r="G526" s="8012" t="s">
        <v>24</v>
      </c>
      <c r="H526" s="8012" t="s">
        <v>2992</v>
      </c>
      <c r="I526" s="8012" t="s">
        <v>826</v>
      </c>
    </row>
    <row customHeight="1" ht="11.25">
      <c r="A527" s="8012" t="s">
        <v>2173</v>
      </c>
      <c r="B527" s="8012" t="s">
        <v>14</v>
      </c>
      <c r="C527" s="8012" t="s">
        <v>3351</v>
      </c>
      <c r="D527" s="8012" t="s">
        <v>3352</v>
      </c>
      <c r="E527" s="8012" t="s">
        <v>3353</v>
      </c>
      <c r="F527" s="8012" t="s">
        <v>2177</v>
      </c>
      <c r="G527" s="8012" t="s">
        <v>24</v>
      </c>
      <c r="H527" s="8012" t="s">
        <v>3031</v>
      </c>
      <c r="I527" s="8012" t="s">
        <v>826</v>
      </c>
    </row>
    <row customHeight="1" ht="11.25">
      <c r="A528" s="8012" t="s">
        <v>2173</v>
      </c>
      <c r="B528" s="8012" t="s">
        <v>14</v>
      </c>
      <c r="C528" s="8012" t="s">
        <v>2993</v>
      </c>
      <c r="D528" s="8012" t="s">
        <v>2994</v>
      </c>
      <c r="E528" s="8012" t="s">
        <v>2995</v>
      </c>
      <c r="F528" s="8012" t="s">
        <v>2332</v>
      </c>
      <c r="G528" s="8012" t="s">
        <v>24</v>
      </c>
      <c r="H528" s="8012" t="s">
        <v>2996</v>
      </c>
      <c r="I528" s="8012" t="s">
        <v>826</v>
      </c>
    </row>
    <row customHeight="1" ht="11.25">
      <c r="A529" s="8012" t="s">
        <v>2173</v>
      </c>
      <c r="B529" s="8012" t="s">
        <v>14</v>
      </c>
      <c r="C529" s="8012" t="s">
        <v>2997</v>
      </c>
      <c r="D529" s="8012" t="s">
        <v>2998</v>
      </c>
      <c r="E529" s="8012" t="s">
        <v>2999</v>
      </c>
      <c r="F529" s="8012" t="s">
        <v>2991</v>
      </c>
      <c r="G529" s="8012" t="s">
        <v>24</v>
      </c>
      <c r="H529" s="8012" t="s">
        <v>24</v>
      </c>
      <c r="I529" s="8012" t="s">
        <v>826</v>
      </c>
    </row>
    <row customHeight="1" ht="11.25">
      <c r="A530" s="8012" t="s">
        <v>2173</v>
      </c>
      <c r="B530" s="8012" t="s">
        <v>14</v>
      </c>
      <c r="C530" s="8012" t="s">
        <v>3000</v>
      </c>
      <c r="D530" s="8012" t="s">
        <v>3001</v>
      </c>
      <c r="E530" s="8012" t="s">
        <v>3002</v>
      </c>
      <c r="F530" s="8012" t="s">
        <v>3003</v>
      </c>
      <c r="G530" s="8012" t="s">
        <v>24</v>
      </c>
      <c r="H530" s="8012" t="s">
        <v>3004</v>
      </c>
      <c r="I530" s="8012" t="s">
        <v>826</v>
      </c>
    </row>
    <row customHeight="1" ht="11.25">
      <c r="A531" s="8012" t="s">
        <v>2173</v>
      </c>
      <c r="B531" s="8012" t="s">
        <v>14</v>
      </c>
      <c r="C531" s="8012" t="s">
        <v>3009</v>
      </c>
      <c r="D531" s="8012" t="s">
        <v>3010</v>
      </c>
      <c r="E531" s="8012" t="s">
        <v>3011</v>
      </c>
      <c r="F531" s="8012" t="s">
        <v>2177</v>
      </c>
      <c r="G531" s="8012" t="s">
        <v>24</v>
      </c>
      <c r="H531" s="8012" t="s">
        <v>24</v>
      </c>
      <c r="I531" s="8012" t="s">
        <v>826</v>
      </c>
    </row>
    <row customHeight="1" ht="11.25">
      <c r="A532" s="8012" t="s">
        <v>2173</v>
      </c>
      <c r="B532" s="8012" t="s">
        <v>14</v>
      </c>
      <c r="C532" s="8012" t="s">
        <v>3012</v>
      </c>
      <c r="D532" s="8012" t="s">
        <v>3013</v>
      </c>
      <c r="E532" s="8012" t="s">
        <v>3014</v>
      </c>
      <c r="F532" s="8012" t="s">
        <v>3003</v>
      </c>
      <c r="G532" s="8012" t="s">
        <v>24</v>
      </c>
      <c r="H532" s="8012" t="s">
        <v>24</v>
      </c>
      <c r="I532" s="8012" t="s">
        <v>826</v>
      </c>
    </row>
    <row customHeight="1" ht="11.25">
      <c r="A533" s="8012" t="s">
        <v>2173</v>
      </c>
      <c r="B533" s="8012" t="s">
        <v>14</v>
      </c>
      <c r="C533" s="8012" t="s">
        <v>3015</v>
      </c>
      <c r="D533" s="8012" t="s">
        <v>3016</v>
      </c>
      <c r="E533" s="8012" t="s">
        <v>3017</v>
      </c>
      <c r="F533" s="8012" t="s">
        <v>2365</v>
      </c>
      <c r="G533" s="8012" t="s">
        <v>24</v>
      </c>
      <c r="H533" s="8012" t="s">
        <v>24</v>
      </c>
      <c r="I533" s="8012" t="s">
        <v>826</v>
      </c>
    </row>
    <row customHeight="1" ht="11.25">
      <c r="A534" s="8012" t="s">
        <v>2173</v>
      </c>
      <c r="B534" s="8012" t="s">
        <v>14</v>
      </c>
      <c r="C534" s="8012" t="s">
        <v>3354</v>
      </c>
      <c r="D534" s="8012" t="s">
        <v>3355</v>
      </c>
      <c r="E534" s="8012" t="s">
        <v>3356</v>
      </c>
      <c r="F534" s="8012" t="s">
        <v>2194</v>
      </c>
      <c r="G534" s="8012" t="s">
        <v>3008</v>
      </c>
      <c r="H534" s="8012" t="s">
        <v>24</v>
      </c>
      <c r="I534" s="8012" t="s">
        <v>826</v>
      </c>
    </row>
    <row customHeight="1" ht="11.25">
      <c r="A535" s="8012" t="s">
        <v>2173</v>
      </c>
      <c r="B535" s="8012" t="s">
        <v>14</v>
      </c>
      <c r="C535" s="8012" t="s">
        <v>3357</v>
      </c>
      <c r="D535" s="8012" t="s">
        <v>3355</v>
      </c>
      <c r="E535" s="8012" t="s">
        <v>3358</v>
      </c>
      <c r="F535" s="8012" t="s">
        <v>2770</v>
      </c>
      <c r="G535" s="8012" t="s">
        <v>3021</v>
      </c>
      <c r="H535" s="8012" t="s">
        <v>24</v>
      </c>
      <c r="I535" s="8012" t="s">
        <v>826</v>
      </c>
    </row>
    <row customHeight="1" ht="11.25">
      <c r="A536" s="8012" t="s">
        <v>2173</v>
      </c>
      <c r="B536" s="8012" t="s">
        <v>14</v>
      </c>
      <c r="C536" s="8012" t="s">
        <v>2454</v>
      </c>
      <c r="D536" s="8012" t="s">
        <v>2455</v>
      </c>
      <c r="E536" s="8012" t="s">
        <v>2456</v>
      </c>
      <c r="F536" s="8012" t="s">
        <v>2457</v>
      </c>
      <c r="G536" s="8012" t="s">
        <v>2458</v>
      </c>
      <c r="H536" s="8012" t="s">
        <v>24</v>
      </c>
      <c r="I536" s="8012" t="s">
        <v>826</v>
      </c>
    </row>
    <row customHeight="1" ht="11.25">
      <c r="A537" s="8012" t="s">
        <v>2173</v>
      </c>
      <c r="B537" s="8012" t="s">
        <v>14</v>
      </c>
      <c r="C537" s="8012" t="s">
        <v>3022</v>
      </c>
      <c r="D537" s="8012" t="s">
        <v>3023</v>
      </c>
      <c r="E537" s="8012" t="s">
        <v>3024</v>
      </c>
      <c r="F537" s="8012" t="s">
        <v>2233</v>
      </c>
      <c r="G537" s="8012" t="s">
        <v>24</v>
      </c>
      <c r="H537" s="8012" t="s">
        <v>24</v>
      </c>
      <c r="I537" s="8012" t="s">
        <v>826</v>
      </c>
    </row>
    <row customHeight="1" ht="11.25">
      <c r="A538" s="8012" t="s">
        <v>2173</v>
      </c>
      <c r="B538" s="8012" t="s">
        <v>14</v>
      </c>
      <c r="C538" s="8012" t="s">
        <v>3359</v>
      </c>
      <c r="D538" s="8012" t="s">
        <v>3360</v>
      </c>
      <c r="E538" s="8012" t="s">
        <v>3361</v>
      </c>
      <c r="F538" s="8012" t="s">
        <v>2190</v>
      </c>
      <c r="G538" s="8012" t="s">
        <v>24</v>
      </c>
      <c r="H538" s="8012" t="s">
        <v>24</v>
      </c>
      <c r="I538" s="8012" t="s">
        <v>826</v>
      </c>
    </row>
    <row customHeight="1" ht="11.25">
      <c r="A539" s="8012" t="s">
        <v>2173</v>
      </c>
      <c r="B539" s="8012" t="s">
        <v>14</v>
      </c>
      <c r="C539" s="8012" t="s">
        <v>3028</v>
      </c>
      <c r="D539" s="8012" t="s">
        <v>3029</v>
      </c>
      <c r="E539" s="8012" t="s">
        <v>3030</v>
      </c>
      <c r="F539" s="8012" t="s">
        <v>2332</v>
      </c>
      <c r="G539" s="8012" t="s">
        <v>24</v>
      </c>
      <c r="H539" s="8012" t="s">
        <v>3031</v>
      </c>
      <c r="I539" s="8012" t="s">
        <v>826</v>
      </c>
    </row>
    <row customHeight="1" ht="11.25">
      <c r="A540" s="8012" t="s">
        <v>2173</v>
      </c>
      <c r="B540" s="8012" t="s">
        <v>14</v>
      </c>
      <c r="C540" s="8012" t="s">
        <v>3032</v>
      </c>
      <c r="D540" s="8012" t="s">
        <v>3033</v>
      </c>
      <c r="E540" s="8012" t="s">
        <v>3034</v>
      </c>
      <c r="F540" s="8012" t="s">
        <v>2261</v>
      </c>
      <c r="G540" s="8012" t="s">
        <v>24</v>
      </c>
      <c r="H540" s="8012" t="s">
        <v>3035</v>
      </c>
      <c r="I540" s="8012" t="s">
        <v>826</v>
      </c>
    </row>
    <row customHeight="1" ht="11.25">
      <c r="A541" s="8012" t="s">
        <v>2173</v>
      </c>
      <c r="B541" s="8012" t="s">
        <v>14</v>
      </c>
      <c r="C541" s="8012" t="s">
        <v>3036</v>
      </c>
      <c r="D541" s="8012" t="s">
        <v>3037</v>
      </c>
      <c r="E541" s="8012" t="s">
        <v>3038</v>
      </c>
      <c r="F541" s="8012" t="s">
        <v>2181</v>
      </c>
      <c r="G541" s="8012" t="s">
        <v>24</v>
      </c>
      <c r="H541" s="8012" t="s">
        <v>24</v>
      </c>
      <c r="I541" s="8012" t="s">
        <v>826</v>
      </c>
    </row>
    <row customHeight="1" ht="11.25">
      <c r="A542" s="8012" t="s">
        <v>2173</v>
      </c>
      <c r="B542" s="8012" t="s">
        <v>14</v>
      </c>
      <c r="C542" s="8012" t="s">
        <v>3039</v>
      </c>
      <c r="D542" s="8012" t="s">
        <v>3040</v>
      </c>
      <c r="E542" s="8012" t="s">
        <v>3041</v>
      </c>
      <c r="F542" s="8012" t="s">
        <v>2190</v>
      </c>
      <c r="G542" s="8012" t="s">
        <v>24</v>
      </c>
      <c r="H542" s="8012" t="s">
        <v>24</v>
      </c>
      <c r="I542" s="8012" t="s">
        <v>826</v>
      </c>
    </row>
    <row customHeight="1" ht="11.25">
      <c r="A543" s="8012" t="s">
        <v>2173</v>
      </c>
      <c r="B543" s="8012" t="s">
        <v>14</v>
      </c>
      <c r="C543" s="8012" t="s">
        <v>3042</v>
      </c>
      <c r="D543" s="8012" t="s">
        <v>3043</v>
      </c>
      <c r="E543" s="8012" t="s">
        <v>3044</v>
      </c>
      <c r="F543" s="8012" t="s">
        <v>2177</v>
      </c>
      <c r="G543" s="8012" t="s">
        <v>24</v>
      </c>
      <c r="H543" s="8012" t="s">
        <v>3045</v>
      </c>
      <c r="I543" s="8012" t="s">
        <v>826</v>
      </c>
    </row>
    <row customHeight="1" ht="11.25">
      <c r="A544" s="8012" t="s">
        <v>2173</v>
      </c>
      <c r="B544" s="8012" t="s">
        <v>14</v>
      </c>
      <c r="C544" s="8012" t="s">
        <v>3046</v>
      </c>
      <c r="D544" s="8012" t="s">
        <v>3047</v>
      </c>
      <c r="E544" s="8012" t="s">
        <v>3048</v>
      </c>
      <c r="F544" s="8012" t="s">
        <v>2177</v>
      </c>
      <c r="G544" s="8012" t="s">
        <v>24</v>
      </c>
      <c r="H544" s="8012" t="s">
        <v>2354</v>
      </c>
      <c r="I544" s="8012" t="s">
        <v>826</v>
      </c>
    </row>
    <row customHeight="1" ht="11.25">
      <c r="A545" s="8012" t="s">
        <v>2173</v>
      </c>
      <c r="B545" s="8012" t="s">
        <v>14</v>
      </c>
      <c r="C545" s="8012" t="s">
        <v>2497</v>
      </c>
      <c r="D545" s="8012" t="s">
        <v>2498</v>
      </c>
      <c r="E545" s="8012" t="s">
        <v>2499</v>
      </c>
      <c r="F545" s="8012" t="s">
        <v>2457</v>
      </c>
      <c r="G545" s="8012" t="s">
        <v>24</v>
      </c>
      <c r="H545" s="8012" t="s">
        <v>24</v>
      </c>
      <c r="I545" s="8012" t="s">
        <v>826</v>
      </c>
    </row>
    <row customHeight="1" ht="11.25">
      <c r="A546" s="8012" t="s">
        <v>2173</v>
      </c>
      <c r="B546" s="8012" t="s">
        <v>14</v>
      </c>
      <c r="C546" s="8012" t="s">
        <v>2503</v>
      </c>
      <c r="D546" s="8012" t="s">
        <v>2504</v>
      </c>
      <c r="E546" s="8012" t="s">
        <v>2505</v>
      </c>
      <c r="F546" s="8012" t="s">
        <v>2457</v>
      </c>
      <c r="G546" s="8012" t="s">
        <v>24</v>
      </c>
      <c r="H546" s="8012" t="s">
        <v>24</v>
      </c>
      <c r="I546" s="8012" t="s">
        <v>826</v>
      </c>
    </row>
    <row customHeight="1" ht="11.25">
      <c r="A547" s="8012" t="s">
        <v>2173</v>
      </c>
      <c r="B547" s="8012" t="s">
        <v>14</v>
      </c>
      <c r="C547" s="8012" t="s">
        <v>3049</v>
      </c>
      <c r="D547" s="8012" t="s">
        <v>3050</v>
      </c>
      <c r="E547" s="8012" t="s">
        <v>3051</v>
      </c>
      <c r="F547" s="8012" t="s">
        <v>2457</v>
      </c>
      <c r="G547" s="8012" t="s">
        <v>24</v>
      </c>
      <c r="H547" s="8012" t="s">
        <v>24</v>
      </c>
      <c r="I547" s="8012" t="s">
        <v>826</v>
      </c>
    </row>
    <row customHeight="1" ht="11.25">
      <c r="A548" s="8012" t="s">
        <v>2173</v>
      </c>
      <c r="B548" s="8012" t="s">
        <v>14</v>
      </c>
      <c r="C548" s="8012" t="s">
        <v>3052</v>
      </c>
      <c r="D548" s="8012" t="s">
        <v>3053</v>
      </c>
      <c r="E548" s="8012" t="s">
        <v>3054</v>
      </c>
      <c r="F548" s="8012" t="s">
        <v>2406</v>
      </c>
      <c r="G548" s="8012" t="s">
        <v>24</v>
      </c>
      <c r="H548" s="8012" t="s">
        <v>3055</v>
      </c>
      <c r="I548" s="8012" t="s">
        <v>826</v>
      </c>
    </row>
    <row customHeight="1" ht="11.25">
      <c r="A549" s="8012" t="s">
        <v>2173</v>
      </c>
      <c r="B549" s="8012" t="s">
        <v>14</v>
      </c>
      <c r="C549" s="8012" t="s">
        <v>3056</v>
      </c>
      <c r="D549" s="8012" t="s">
        <v>3057</v>
      </c>
      <c r="E549" s="8012" t="s">
        <v>3058</v>
      </c>
      <c r="F549" s="8012" t="s">
        <v>2312</v>
      </c>
      <c r="G549" s="8012" t="s">
        <v>3059</v>
      </c>
      <c r="H549" s="8012" t="s">
        <v>24</v>
      </c>
      <c r="I549" s="8012" t="s">
        <v>826</v>
      </c>
    </row>
    <row customHeight="1" ht="11.25">
      <c r="A550" s="8012" t="s">
        <v>2173</v>
      </c>
      <c r="B550" s="8012" t="s">
        <v>14</v>
      </c>
      <c r="C550" s="8012" t="s">
        <v>3060</v>
      </c>
      <c r="D550" s="8012" t="s">
        <v>3061</v>
      </c>
      <c r="E550" s="8012" t="s">
        <v>3062</v>
      </c>
      <c r="F550" s="8012" t="s">
        <v>2190</v>
      </c>
      <c r="G550" s="8012" t="s">
        <v>3063</v>
      </c>
      <c r="H550" s="8012" t="s">
        <v>24</v>
      </c>
      <c r="I550" s="8012" t="s">
        <v>826</v>
      </c>
    </row>
    <row customHeight="1" ht="11.25">
      <c r="A551" s="8012" t="s">
        <v>2173</v>
      </c>
      <c r="B551" s="8012" t="s">
        <v>14</v>
      </c>
      <c r="C551" s="8012" t="s">
        <v>3362</v>
      </c>
      <c r="D551" s="8012" t="s">
        <v>3363</v>
      </c>
      <c r="E551" s="8012" t="s">
        <v>3364</v>
      </c>
      <c r="F551" s="8012" t="s">
        <v>2190</v>
      </c>
      <c r="G551" s="8012" t="s">
        <v>24</v>
      </c>
      <c r="H551" s="8012" t="s">
        <v>3365</v>
      </c>
      <c r="I551" s="8012" t="s">
        <v>826</v>
      </c>
    </row>
    <row customHeight="1" ht="11.25">
      <c r="A552" s="8012" t="s">
        <v>2173</v>
      </c>
      <c r="B552" s="8012" t="s">
        <v>14</v>
      </c>
      <c r="C552" s="8012" t="s">
        <v>3064</v>
      </c>
      <c r="D552" s="8012" t="s">
        <v>3065</v>
      </c>
      <c r="E552" s="8012" t="s">
        <v>3066</v>
      </c>
      <c r="F552" s="8012" t="s">
        <v>2332</v>
      </c>
      <c r="G552" s="8012" t="s">
        <v>24</v>
      </c>
      <c r="H552" s="8012" t="s">
        <v>24</v>
      </c>
      <c r="I552" s="8012" t="s">
        <v>826</v>
      </c>
    </row>
    <row customHeight="1" ht="11.25">
      <c r="A553" s="8012" t="s">
        <v>2173</v>
      </c>
      <c r="B553" s="8012" t="s">
        <v>14</v>
      </c>
      <c r="C553" s="8012" t="s">
        <v>3067</v>
      </c>
      <c r="D553" s="8012" t="s">
        <v>3068</v>
      </c>
      <c r="E553" s="8012" t="s">
        <v>3069</v>
      </c>
      <c r="F553" s="8012" t="s">
        <v>2770</v>
      </c>
      <c r="G553" s="8012" t="s">
        <v>3070</v>
      </c>
      <c r="H553" s="8012" t="s">
        <v>24</v>
      </c>
      <c r="I553" s="8012" t="s">
        <v>826</v>
      </c>
    </row>
    <row customHeight="1" ht="11.25">
      <c r="A554" s="8012" t="s">
        <v>2173</v>
      </c>
      <c r="B554" s="8012" t="s">
        <v>14</v>
      </c>
      <c r="C554" s="8012" t="s">
        <v>3071</v>
      </c>
      <c r="D554" s="8012" t="s">
        <v>3072</v>
      </c>
      <c r="E554" s="8012" t="s">
        <v>3073</v>
      </c>
      <c r="F554" s="8012" t="s">
        <v>2513</v>
      </c>
      <c r="G554" s="8012" t="s">
        <v>24</v>
      </c>
      <c r="H554" s="8012" t="s">
        <v>3074</v>
      </c>
      <c r="I554" s="8012" t="s">
        <v>826</v>
      </c>
    </row>
    <row customHeight="1" ht="11.25">
      <c r="A555" s="8012" t="s">
        <v>2173</v>
      </c>
      <c r="B555" s="8012" t="s">
        <v>14</v>
      </c>
      <c r="C555" s="8012" t="s">
        <v>3075</v>
      </c>
      <c r="D555" s="8012" t="s">
        <v>3076</v>
      </c>
      <c r="E555" s="8012" t="s">
        <v>3077</v>
      </c>
      <c r="F555" s="8012" t="s">
        <v>2253</v>
      </c>
      <c r="G555" s="8012" t="s">
        <v>3078</v>
      </c>
      <c r="H555" s="8012" t="s">
        <v>24</v>
      </c>
      <c r="I555" s="8012" t="s">
        <v>826</v>
      </c>
    </row>
    <row customHeight="1" ht="11.25">
      <c r="A556" s="8012" t="s">
        <v>2173</v>
      </c>
      <c r="B556" s="8012" t="s">
        <v>14</v>
      </c>
      <c r="C556" s="8012" t="s">
        <v>3079</v>
      </c>
      <c r="D556" s="8012" t="s">
        <v>3080</v>
      </c>
      <c r="E556" s="8012" t="s">
        <v>3081</v>
      </c>
      <c r="F556" s="8012" t="s">
        <v>2513</v>
      </c>
      <c r="G556" s="8012" t="s">
        <v>24</v>
      </c>
      <c r="H556" s="8012" t="s">
        <v>3031</v>
      </c>
      <c r="I556" s="8012" t="s">
        <v>826</v>
      </c>
    </row>
    <row customHeight="1" ht="11.25">
      <c r="A557" s="8012" t="s">
        <v>2173</v>
      </c>
      <c r="B557" s="8012" t="s">
        <v>14</v>
      </c>
      <c r="C557" s="8012" t="s">
        <v>3366</v>
      </c>
      <c r="D557" s="8012" t="s">
        <v>3367</v>
      </c>
      <c r="E557" s="8012" t="s">
        <v>3368</v>
      </c>
      <c r="F557" s="8012" t="s">
        <v>2181</v>
      </c>
      <c r="G557" s="8012" t="s">
        <v>24</v>
      </c>
      <c r="H557" s="8012" t="s">
        <v>24</v>
      </c>
      <c r="I557" s="8012" t="s">
        <v>826</v>
      </c>
    </row>
    <row customHeight="1" ht="11.25">
      <c r="A558" s="8012" t="s">
        <v>2173</v>
      </c>
      <c r="B558" s="8012" t="s">
        <v>14</v>
      </c>
      <c r="C558" s="8012" t="s">
        <v>3082</v>
      </c>
      <c r="D558" s="8012" t="s">
        <v>3083</v>
      </c>
      <c r="E558" s="8012" t="s">
        <v>3084</v>
      </c>
      <c r="F558" s="8012" t="s">
        <v>2471</v>
      </c>
      <c r="G558" s="8012" t="s">
        <v>24</v>
      </c>
      <c r="H558" s="8012" t="s">
        <v>3031</v>
      </c>
      <c r="I558" s="8012" t="s">
        <v>826</v>
      </c>
    </row>
    <row customHeight="1" ht="11.25">
      <c r="A559" s="8012" t="s">
        <v>2173</v>
      </c>
      <c r="B559" s="8012" t="s">
        <v>14</v>
      </c>
      <c r="C559" s="8012" t="s">
        <v>2515</v>
      </c>
      <c r="D559" s="8012" t="s">
        <v>2516</v>
      </c>
      <c r="E559" s="8012" t="s">
        <v>2517</v>
      </c>
      <c r="F559" s="8012" t="s">
        <v>2457</v>
      </c>
      <c r="G559" s="8012" t="s">
        <v>24</v>
      </c>
      <c r="H559" s="8012" t="s">
        <v>24</v>
      </c>
      <c r="I559" s="8012" t="s">
        <v>826</v>
      </c>
    </row>
    <row customHeight="1" ht="11.25">
      <c r="A560" s="8012" t="s">
        <v>2173</v>
      </c>
      <c r="B560" s="8012" t="s">
        <v>14</v>
      </c>
      <c r="C560" s="8012" t="s">
        <v>3089</v>
      </c>
      <c r="D560" s="8012" t="s">
        <v>3090</v>
      </c>
      <c r="E560" s="8012" t="s">
        <v>3091</v>
      </c>
      <c r="F560" s="8012" t="s">
        <v>2312</v>
      </c>
      <c r="G560" s="8012" t="s">
        <v>24</v>
      </c>
      <c r="H560" s="8012" t="s">
        <v>24</v>
      </c>
      <c r="I560" s="8012" t="s">
        <v>826</v>
      </c>
    </row>
    <row customHeight="1" ht="11.25">
      <c r="A561" s="8012" t="s">
        <v>2173</v>
      </c>
      <c r="B561" s="8012" t="s">
        <v>14</v>
      </c>
      <c r="C561" s="8012" t="s">
        <v>2525</v>
      </c>
      <c r="D561" s="8012" t="s">
        <v>2526</v>
      </c>
      <c r="E561" s="8012" t="s">
        <v>2527</v>
      </c>
      <c r="F561" s="8012" t="s">
        <v>2528</v>
      </c>
      <c r="G561" s="8012" t="s">
        <v>2529</v>
      </c>
      <c r="H561" s="8012" t="s">
        <v>2530</v>
      </c>
      <c r="I561" s="8012" t="s">
        <v>826</v>
      </c>
    </row>
    <row customHeight="1" ht="11.25">
      <c r="A562" s="8012" t="s">
        <v>2173</v>
      </c>
      <c r="B562" s="8012" t="s">
        <v>14</v>
      </c>
      <c r="C562" s="8012" t="s">
        <v>3092</v>
      </c>
      <c r="D562" s="8012" t="s">
        <v>3093</v>
      </c>
      <c r="E562" s="8012" t="s">
        <v>3094</v>
      </c>
      <c r="F562" s="8012" t="s">
        <v>2991</v>
      </c>
      <c r="G562" s="8012" t="s">
        <v>24</v>
      </c>
      <c r="H562" s="8012" t="s">
        <v>3095</v>
      </c>
      <c r="I562" s="8012" t="s">
        <v>826</v>
      </c>
    </row>
    <row customHeight="1" ht="11.25">
      <c r="A563" s="8012" t="s">
        <v>2173</v>
      </c>
      <c r="B563" s="8012" t="s">
        <v>14</v>
      </c>
      <c r="C563" s="8012" t="s">
        <v>3096</v>
      </c>
      <c r="D563" s="8012" t="s">
        <v>3097</v>
      </c>
      <c r="E563" s="8012" t="s">
        <v>3098</v>
      </c>
      <c r="F563" s="8012" t="s">
        <v>2177</v>
      </c>
      <c r="G563" s="8012" t="s">
        <v>24</v>
      </c>
      <c r="H563" s="8012" t="s">
        <v>2205</v>
      </c>
      <c r="I563" s="8012" t="s">
        <v>826</v>
      </c>
    </row>
    <row customHeight="1" ht="11.25">
      <c r="A564" s="8012" t="s">
        <v>2173</v>
      </c>
      <c r="B564" s="8012" t="s">
        <v>14</v>
      </c>
      <c r="C564" s="8012" t="s">
        <v>3099</v>
      </c>
      <c r="D564" s="8012" t="s">
        <v>3100</v>
      </c>
      <c r="E564" s="8012" t="s">
        <v>3101</v>
      </c>
      <c r="F564" s="8012" t="s">
        <v>2253</v>
      </c>
      <c r="G564" s="8012" t="s">
        <v>24</v>
      </c>
      <c r="H564" s="8012" t="s">
        <v>3102</v>
      </c>
      <c r="I564" s="8012" t="s">
        <v>826</v>
      </c>
    </row>
    <row customHeight="1" ht="11.25">
      <c r="A565" s="8012" t="s">
        <v>2173</v>
      </c>
      <c r="B565" s="8012" t="s">
        <v>14</v>
      </c>
      <c r="C565" s="8012" t="s">
        <v>3103</v>
      </c>
      <c r="D565" s="8012" t="s">
        <v>3104</v>
      </c>
      <c r="E565" s="8012" t="s">
        <v>3105</v>
      </c>
      <c r="F565" s="8012" t="s">
        <v>2253</v>
      </c>
      <c r="G565" s="8012" t="s">
        <v>24</v>
      </c>
      <c r="H565" s="8012" t="s">
        <v>3106</v>
      </c>
      <c r="I565" s="8012" t="s">
        <v>826</v>
      </c>
    </row>
    <row customHeight="1" ht="11.25">
      <c r="A566" s="8012" t="s">
        <v>2173</v>
      </c>
      <c r="B566" s="8012" t="s">
        <v>14</v>
      </c>
      <c r="C566" s="8012" t="s">
        <v>2548</v>
      </c>
      <c r="D566" s="8012" t="s">
        <v>2549</v>
      </c>
      <c r="E566" s="8012" t="s">
        <v>2550</v>
      </c>
      <c r="F566" s="8012" t="s">
        <v>2233</v>
      </c>
      <c r="G566" s="8012" t="s">
        <v>24</v>
      </c>
      <c r="H566" s="8012" t="s">
        <v>24</v>
      </c>
      <c r="I566" s="8012" t="s">
        <v>826</v>
      </c>
    </row>
    <row customHeight="1" ht="11.25">
      <c r="A567" s="8012" t="s">
        <v>2173</v>
      </c>
      <c r="B567" s="8012" t="s">
        <v>14</v>
      </c>
      <c r="C567" s="8012" t="s">
        <v>2570</v>
      </c>
      <c r="D567" s="8012" t="s">
        <v>2571</v>
      </c>
      <c r="E567" s="8012" t="s">
        <v>2572</v>
      </c>
      <c r="F567" s="8012" t="s">
        <v>2342</v>
      </c>
      <c r="G567" s="8012" t="s">
        <v>2573</v>
      </c>
      <c r="H567" s="8012" t="s">
        <v>24</v>
      </c>
      <c r="I567" s="8012" t="s">
        <v>826</v>
      </c>
    </row>
    <row customHeight="1" ht="11.25">
      <c r="A568" s="8012" t="s">
        <v>2173</v>
      </c>
      <c r="B568" s="8012" t="s">
        <v>14</v>
      </c>
      <c r="C568" s="8012" t="s">
        <v>2580</v>
      </c>
      <c r="D568" s="8012" t="s">
        <v>2581</v>
      </c>
      <c r="E568" s="8012" t="s">
        <v>2582</v>
      </c>
      <c r="F568" s="8012" t="s">
        <v>2583</v>
      </c>
      <c r="G568" s="8012" t="s">
        <v>24</v>
      </c>
      <c r="H568" s="8012" t="s">
        <v>2584</v>
      </c>
      <c r="I568" s="8012" t="s">
        <v>826</v>
      </c>
    </row>
    <row customHeight="1" ht="11.25">
      <c r="A569" s="8012" t="s">
        <v>2173</v>
      </c>
      <c r="B569" s="8012" t="s">
        <v>14</v>
      </c>
      <c r="C569" s="8012" t="s">
        <v>3112</v>
      </c>
      <c r="D569" s="8012" t="s">
        <v>3113</v>
      </c>
      <c r="E569" s="8012" t="s">
        <v>3114</v>
      </c>
      <c r="F569" s="8012" t="s">
        <v>2406</v>
      </c>
      <c r="G569" s="8012" t="s">
        <v>24</v>
      </c>
      <c r="H569" s="8012" t="s">
        <v>24</v>
      </c>
      <c r="I569" s="8012" t="s">
        <v>826</v>
      </c>
    </row>
    <row customHeight="1" ht="11.25">
      <c r="A570" s="8012" t="s">
        <v>2173</v>
      </c>
      <c r="B570" s="8012" t="s">
        <v>14</v>
      </c>
      <c r="C570" s="8012" t="s">
        <v>3115</v>
      </c>
      <c r="D570" s="8012" t="s">
        <v>3116</v>
      </c>
      <c r="E570" s="8012" t="s">
        <v>3117</v>
      </c>
      <c r="F570" s="8012" t="s">
        <v>2332</v>
      </c>
      <c r="G570" s="8012" t="s">
        <v>24</v>
      </c>
      <c r="H570" s="8012" t="s">
        <v>24</v>
      </c>
      <c r="I570" s="8012" t="s">
        <v>826</v>
      </c>
    </row>
    <row customHeight="1" ht="11.25">
      <c r="A571" s="8012" t="s">
        <v>2173</v>
      </c>
      <c r="B571" s="8012" t="s">
        <v>14</v>
      </c>
      <c r="C571" s="8012" t="s">
        <v>2591</v>
      </c>
      <c r="D571" s="8012" t="s">
        <v>2592</v>
      </c>
      <c r="E571" s="8012" t="s">
        <v>2593</v>
      </c>
      <c r="F571" s="8012" t="s">
        <v>2594</v>
      </c>
      <c r="G571" s="8012" t="s">
        <v>24</v>
      </c>
      <c r="H571" s="8012" t="s">
        <v>2595</v>
      </c>
      <c r="I571" s="8012" t="s">
        <v>826</v>
      </c>
    </row>
    <row customHeight="1" ht="11.25">
      <c r="A572" s="8012" t="s">
        <v>2173</v>
      </c>
      <c r="B572" s="8012" t="s">
        <v>14</v>
      </c>
      <c r="C572" s="8012" t="s">
        <v>3118</v>
      </c>
      <c r="D572" s="8012" t="s">
        <v>3119</v>
      </c>
      <c r="E572" s="8012" t="s">
        <v>3120</v>
      </c>
      <c r="F572" s="8012" t="s">
        <v>3121</v>
      </c>
      <c r="G572" s="8012" t="s">
        <v>24</v>
      </c>
      <c r="H572" s="8012" t="s">
        <v>24</v>
      </c>
      <c r="I572" s="8012" t="s">
        <v>826</v>
      </c>
    </row>
    <row customHeight="1" ht="11.25">
      <c r="A573" s="8012" t="s">
        <v>2173</v>
      </c>
      <c r="B573" s="8012" t="s">
        <v>14</v>
      </c>
      <c r="C573" s="8012" t="s">
        <v>3122</v>
      </c>
      <c r="D573" s="8012" t="s">
        <v>3123</v>
      </c>
      <c r="E573" s="8012" t="s">
        <v>3124</v>
      </c>
      <c r="F573" s="8012" t="s">
        <v>2342</v>
      </c>
      <c r="G573" s="8012" t="s">
        <v>24</v>
      </c>
      <c r="H573" s="8012" t="s">
        <v>24</v>
      </c>
      <c r="I573" s="8012" t="s">
        <v>826</v>
      </c>
    </row>
    <row customHeight="1" ht="11.25">
      <c r="A574" s="8012" t="s">
        <v>2173</v>
      </c>
      <c r="B574" s="8012" t="s">
        <v>14</v>
      </c>
      <c r="C574" s="8012" t="s">
        <v>3125</v>
      </c>
      <c r="D574" s="8012" t="s">
        <v>3126</v>
      </c>
      <c r="E574" s="8012" t="s">
        <v>3127</v>
      </c>
      <c r="F574" s="8012" t="s">
        <v>2177</v>
      </c>
      <c r="G574" s="8012" t="s">
        <v>24</v>
      </c>
      <c r="H574" s="8012" t="s">
        <v>24</v>
      </c>
      <c r="I574" s="8012" t="s">
        <v>826</v>
      </c>
    </row>
    <row customHeight="1" ht="11.25">
      <c r="A575" s="8012" t="s">
        <v>2173</v>
      </c>
      <c r="B575" s="8012" t="s">
        <v>14</v>
      </c>
      <c r="C575" s="8012" t="s">
        <v>2618</v>
      </c>
      <c r="D575" s="8012" t="s">
        <v>2619</v>
      </c>
      <c r="E575" s="8012" t="s">
        <v>2620</v>
      </c>
      <c r="F575" s="8012" t="s">
        <v>2312</v>
      </c>
      <c r="G575" s="8012" t="s">
        <v>2254</v>
      </c>
      <c r="H575" s="8012" t="s">
        <v>24</v>
      </c>
      <c r="I575" s="8012" t="s">
        <v>826</v>
      </c>
    </row>
    <row customHeight="1" ht="11.25">
      <c r="A576" s="8012" t="s">
        <v>2173</v>
      </c>
      <c r="B576" s="8012" t="s">
        <v>14</v>
      </c>
      <c r="C576" s="8012" t="s">
        <v>3128</v>
      </c>
      <c r="D576" s="8012" t="s">
        <v>3129</v>
      </c>
      <c r="E576" s="8012" t="s">
        <v>3130</v>
      </c>
      <c r="F576" s="8012" t="s">
        <v>2332</v>
      </c>
      <c r="G576" s="8012" t="s">
        <v>3131</v>
      </c>
      <c r="H576" s="8012" t="s">
        <v>3132</v>
      </c>
      <c r="I576" s="8012" t="s">
        <v>826</v>
      </c>
    </row>
    <row customHeight="1" ht="11.25">
      <c r="A577" s="8012" t="s">
        <v>2173</v>
      </c>
      <c r="B577" s="8012" t="s">
        <v>14</v>
      </c>
      <c r="C577" s="8012" t="s">
        <v>3369</v>
      </c>
      <c r="D577" s="8012" t="s">
        <v>3370</v>
      </c>
      <c r="E577" s="8012" t="s">
        <v>3371</v>
      </c>
      <c r="F577" s="8012" t="s">
        <v>2594</v>
      </c>
      <c r="G577" s="8012" t="s">
        <v>3372</v>
      </c>
      <c r="H577" s="8012" t="s">
        <v>24</v>
      </c>
      <c r="I577" s="8012" t="s">
        <v>826</v>
      </c>
    </row>
    <row customHeight="1" ht="11.25">
      <c r="A578" s="8012" t="s">
        <v>2173</v>
      </c>
      <c r="B578" s="8012" t="s">
        <v>14</v>
      </c>
      <c r="C578" s="8012" t="s">
        <v>3133</v>
      </c>
      <c r="D578" s="8012" t="s">
        <v>3134</v>
      </c>
      <c r="E578" s="8012" t="s">
        <v>3135</v>
      </c>
      <c r="F578" s="8012" t="s">
        <v>2332</v>
      </c>
      <c r="G578" s="8012" t="s">
        <v>24</v>
      </c>
      <c r="H578" s="8012" t="s">
        <v>3035</v>
      </c>
      <c r="I578" s="8012" t="s">
        <v>826</v>
      </c>
    </row>
    <row customHeight="1" ht="11.25">
      <c r="A579" s="8012" t="s">
        <v>2173</v>
      </c>
      <c r="B579" s="8012" t="s">
        <v>14</v>
      </c>
      <c r="C579" s="8012" t="s">
        <v>3136</v>
      </c>
      <c r="D579" s="8012" t="s">
        <v>3137</v>
      </c>
      <c r="E579" s="8012" t="s">
        <v>3138</v>
      </c>
      <c r="F579" s="8012" t="s">
        <v>2312</v>
      </c>
      <c r="G579" s="8012" t="s">
        <v>24</v>
      </c>
      <c r="H579" s="8012" t="s">
        <v>24</v>
      </c>
      <c r="I579" s="8012" t="s">
        <v>826</v>
      </c>
    </row>
    <row customHeight="1" ht="11.25">
      <c r="A580" s="8012" t="s">
        <v>2173</v>
      </c>
      <c r="B580" s="8012" t="s">
        <v>14</v>
      </c>
      <c r="C580" s="8012" t="s">
        <v>3373</v>
      </c>
      <c r="D580" s="8012" t="s">
        <v>3374</v>
      </c>
      <c r="E580" s="8012" t="s">
        <v>3375</v>
      </c>
      <c r="F580" s="8012" t="s">
        <v>2181</v>
      </c>
      <c r="G580" s="8012" t="s">
        <v>3376</v>
      </c>
      <c r="H580" s="8012" t="s">
        <v>3377</v>
      </c>
      <c r="I580" s="8012" t="s">
        <v>826</v>
      </c>
    </row>
    <row customHeight="1" ht="11.25">
      <c r="A581" s="8012" t="s">
        <v>2173</v>
      </c>
      <c r="B581" s="8012" t="s">
        <v>14</v>
      </c>
      <c r="C581" s="8012" t="s">
        <v>3142</v>
      </c>
      <c r="D581" s="8012" t="s">
        <v>3143</v>
      </c>
      <c r="E581" s="8012" t="s">
        <v>3144</v>
      </c>
      <c r="F581" s="8012" t="s">
        <v>3145</v>
      </c>
      <c r="G581" s="8012" t="s">
        <v>3146</v>
      </c>
      <c r="H581" s="8012" t="s">
        <v>3147</v>
      </c>
      <c r="I581" s="8012" t="s">
        <v>826</v>
      </c>
    </row>
    <row customHeight="1" ht="11.25">
      <c r="A582" s="8012" t="s">
        <v>2173</v>
      </c>
      <c r="B582" s="8012" t="s">
        <v>14</v>
      </c>
      <c r="C582" s="8012" t="s">
        <v>2656</v>
      </c>
      <c r="D582" s="8012" t="s">
        <v>2657</v>
      </c>
      <c r="E582" s="8012" t="s">
        <v>2658</v>
      </c>
      <c r="F582" s="8012" t="s">
        <v>2471</v>
      </c>
      <c r="G582" s="8012" t="s">
        <v>24</v>
      </c>
      <c r="H582" s="8012" t="s">
        <v>24</v>
      </c>
      <c r="I582" s="8012" t="s">
        <v>826</v>
      </c>
    </row>
    <row customHeight="1" ht="11.25">
      <c r="A583" s="8012" t="s">
        <v>2173</v>
      </c>
      <c r="B583" s="8012" t="s">
        <v>14</v>
      </c>
      <c r="C583" s="8012" t="s">
        <v>3148</v>
      </c>
      <c r="D583" s="8012" t="s">
        <v>3149</v>
      </c>
      <c r="E583" s="8012" t="s">
        <v>3150</v>
      </c>
      <c r="F583" s="8012" t="s">
        <v>2770</v>
      </c>
      <c r="G583" s="8012" t="s">
        <v>24</v>
      </c>
      <c r="H583" s="8012" t="s">
        <v>3151</v>
      </c>
      <c r="I583" s="8012" t="s">
        <v>826</v>
      </c>
    </row>
    <row customHeight="1" ht="11.25">
      <c r="A584" s="8012" t="s">
        <v>2173</v>
      </c>
      <c r="B584" s="8012" t="s">
        <v>14</v>
      </c>
      <c r="C584" s="8012" t="s">
        <v>3152</v>
      </c>
      <c r="D584" s="8012" t="s">
        <v>3153</v>
      </c>
      <c r="E584" s="8012" t="s">
        <v>3154</v>
      </c>
      <c r="F584" s="8012" t="s">
        <v>2177</v>
      </c>
      <c r="G584" s="8012" t="s">
        <v>24</v>
      </c>
      <c r="H584" s="8012" t="s">
        <v>24</v>
      </c>
      <c r="I584" s="8012" t="s">
        <v>826</v>
      </c>
    </row>
    <row customHeight="1" ht="11.25">
      <c r="A585" s="8012" t="s">
        <v>2173</v>
      </c>
      <c r="B585" s="8012" t="s">
        <v>14</v>
      </c>
      <c r="C585" s="8012" t="s">
        <v>3155</v>
      </c>
      <c r="D585" s="8012" t="s">
        <v>3156</v>
      </c>
      <c r="E585" s="8012" t="s">
        <v>3157</v>
      </c>
      <c r="F585" s="8012" t="s">
        <v>2253</v>
      </c>
      <c r="G585" s="8012" t="s">
        <v>24</v>
      </c>
      <c r="H585" s="8012" t="s">
        <v>3035</v>
      </c>
      <c r="I585" s="8012" t="s">
        <v>826</v>
      </c>
    </row>
    <row customHeight="1" ht="11.25">
      <c r="A586" s="8012" t="s">
        <v>2173</v>
      </c>
      <c r="B586" s="8012" t="s">
        <v>14</v>
      </c>
      <c r="C586" s="8012" t="s">
        <v>3158</v>
      </c>
      <c r="D586" s="8012" t="s">
        <v>3159</v>
      </c>
      <c r="E586" s="8012" t="s">
        <v>3160</v>
      </c>
      <c r="F586" s="8012" t="s">
        <v>2457</v>
      </c>
      <c r="G586" s="8012" t="s">
        <v>24</v>
      </c>
      <c r="H586" s="8012" t="s">
        <v>24</v>
      </c>
      <c r="I586" s="8012" t="s">
        <v>826</v>
      </c>
    </row>
    <row customHeight="1" ht="11.25">
      <c r="A587" s="8012" t="s">
        <v>2173</v>
      </c>
      <c r="B587" s="8012" t="s">
        <v>14</v>
      </c>
      <c r="C587" s="8012" t="s">
        <v>3161</v>
      </c>
      <c r="D587" s="8012" t="s">
        <v>3162</v>
      </c>
      <c r="E587" s="8012" t="s">
        <v>3163</v>
      </c>
      <c r="F587" s="8012" t="s">
        <v>2941</v>
      </c>
      <c r="G587" s="8012" t="s">
        <v>24</v>
      </c>
      <c r="H587" s="8012" t="s">
        <v>3164</v>
      </c>
      <c r="I587" s="8012" t="s">
        <v>826</v>
      </c>
    </row>
    <row customHeight="1" ht="11.25">
      <c r="A588" s="8012" t="s">
        <v>2173</v>
      </c>
      <c r="B588" s="8012" t="s">
        <v>14</v>
      </c>
      <c r="C588" s="8012" t="s">
        <v>3165</v>
      </c>
      <c r="D588" s="8012" t="s">
        <v>3166</v>
      </c>
      <c r="E588" s="8012" t="s">
        <v>3167</v>
      </c>
      <c r="F588" s="8012" t="s">
        <v>2406</v>
      </c>
      <c r="G588" s="8012" t="s">
        <v>24</v>
      </c>
      <c r="H588" s="8012" t="s">
        <v>3168</v>
      </c>
      <c r="I588" s="8012" t="s">
        <v>826</v>
      </c>
    </row>
    <row customHeight="1" ht="11.25">
      <c r="A589" s="8012" t="s">
        <v>2173</v>
      </c>
      <c r="B589" s="8012" t="s">
        <v>14</v>
      </c>
      <c r="C589" s="8012" t="s">
        <v>3169</v>
      </c>
      <c r="D589" s="8012" t="s">
        <v>3170</v>
      </c>
      <c r="E589" s="8012" t="s">
        <v>3171</v>
      </c>
      <c r="F589" s="8012" t="s">
        <v>2377</v>
      </c>
      <c r="G589" s="8012" t="s">
        <v>24</v>
      </c>
      <c r="H589" s="8012" t="s">
        <v>3172</v>
      </c>
      <c r="I589" s="8012" t="s">
        <v>826</v>
      </c>
    </row>
    <row customHeight="1" ht="11.25">
      <c r="A590" s="8012" t="s">
        <v>2173</v>
      </c>
      <c r="B590" s="8012" t="s">
        <v>14</v>
      </c>
      <c r="C590" s="8012" t="s">
        <v>3173</v>
      </c>
      <c r="D590" s="8012" t="s">
        <v>3174</v>
      </c>
      <c r="E590" s="8012" t="s">
        <v>3175</v>
      </c>
      <c r="F590" s="8012" t="s">
        <v>2185</v>
      </c>
      <c r="G590" s="8012" t="s">
        <v>24</v>
      </c>
      <c r="H590" s="8012" t="s">
        <v>3031</v>
      </c>
      <c r="I590" s="8012" t="s">
        <v>826</v>
      </c>
    </row>
    <row customHeight="1" ht="11.25">
      <c r="A591" s="8012" t="s">
        <v>2173</v>
      </c>
      <c r="B591" s="8012" t="s">
        <v>14</v>
      </c>
      <c r="C591" s="8012" t="s">
        <v>3179</v>
      </c>
      <c r="D591" s="8012" t="s">
        <v>3180</v>
      </c>
      <c r="E591" s="8012" t="s">
        <v>3181</v>
      </c>
      <c r="F591" s="8012" t="s">
        <v>2934</v>
      </c>
      <c r="G591" s="8012" t="s">
        <v>24</v>
      </c>
      <c r="H591" s="8012" t="s">
        <v>3035</v>
      </c>
      <c r="I591" s="8012" t="s">
        <v>826</v>
      </c>
    </row>
    <row customHeight="1" ht="11.25">
      <c r="A592" s="8012" t="s">
        <v>2173</v>
      </c>
      <c r="B592" s="8012" t="s">
        <v>14</v>
      </c>
      <c r="C592" s="8012" t="s">
        <v>3185</v>
      </c>
      <c r="D592" s="8012" t="s">
        <v>3186</v>
      </c>
      <c r="E592" s="8012" t="s">
        <v>3187</v>
      </c>
      <c r="F592" s="8012" t="s">
        <v>2342</v>
      </c>
      <c r="G592" s="8012" t="s">
        <v>24</v>
      </c>
      <c r="H592" s="8012" t="s">
        <v>3031</v>
      </c>
      <c r="I592" s="8012" t="s">
        <v>826</v>
      </c>
    </row>
    <row customHeight="1" ht="11.25">
      <c r="A593" s="8012" t="s">
        <v>2173</v>
      </c>
      <c r="B593" s="8012" t="s">
        <v>14</v>
      </c>
      <c r="C593" s="8012" t="s">
        <v>3192</v>
      </c>
      <c r="D593" s="8012" t="s">
        <v>3193</v>
      </c>
      <c r="E593" s="8012" t="s">
        <v>3194</v>
      </c>
      <c r="F593" s="8012" t="s">
        <v>2298</v>
      </c>
      <c r="G593" s="8012" t="s">
        <v>24</v>
      </c>
      <c r="H593" s="8012" t="s">
        <v>24</v>
      </c>
      <c r="I593" s="8012" t="s">
        <v>826</v>
      </c>
    </row>
    <row customHeight="1" ht="11.25">
      <c r="A594" s="8012" t="s">
        <v>2173</v>
      </c>
      <c r="B594" s="8012" t="s">
        <v>14</v>
      </c>
      <c r="C594" s="8012" t="s">
        <v>3195</v>
      </c>
      <c r="D594" s="8012" t="s">
        <v>3196</v>
      </c>
      <c r="E594" s="8012" t="s">
        <v>3197</v>
      </c>
      <c r="F594" s="8012" t="s">
        <v>2181</v>
      </c>
      <c r="G594" s="8012" t="s">
        <v>24</v>
      </c>
      <c r="H594" s="8012" t="s">
        <v>24</v>
      </c>
      <c r="I594" s="8012" t="s">
        <v>826</v>
      </c>
    </row>
    <row customHeight="1" ht="11.25">
      <c r="A595" s="8012" t="s">
        <v>2173</v>
      </c>
      <c r="B595" s="8012" t="s">
        <v>14</v>
      </c>
      <c r="C595" s="8012" t="s">
        <v>3201</v>
      </c>
      <c r="D595" s="8012" t="s">
        <v>3202</v>
      </c>
      <c r="E595" s="8012" t="s">
        <v>3203</v>
      </c>
      <c r="F595" s="8012" t="s">
        <v>2177</v>
      </c>
      <c r="G595" s="8012" t="s">
        <v>24</v>
      </c>
      <c r="H595" s="8012" t="s">
        <v>3031</v>
      </c>
      <c r="I595" s="8012" t="s">
        <v>826</v>
      </c>
    </row>
    <row customHeight="1" ht="11.25">
      <c r="A596" s="8012" t="s">
        <v>2173</v>
      </c>
      <c r="B596" s="8012" t="s">
        <v>14</v>
      </c>
      <c r="C596" s="8012" t="s">
        <v>3204</v>
      </c>
      <c r="D596" s="8012" t="s">
        <v>3205</v>
      </c>
      <c r="E596" s="8012" t="s">
        <v>3206</v>
      </c>
      <c r="F596" s="8012" t="s">
        <v>2253</v>
      </c>
      <c r="G596" s="8012" t="s">
        <v>24</v>
      </c>
      <c r="H596" s="8012" t="s">
        <v>3031</v>
      </c>
      <c r="I596" s="8012" t="s">
        <v>826</v>
      </c>
    </row>
    <row customHeight="1" ht="11.25">
      <c r="A597" s="8012" t="s">
        <v>2173</v>
      </c>
      <c r="B597" s="8012" t="s">
        <v>14</v>
      </c>
      <c r="C597" s="8012" t="s">
        <v>3207</v>
      </c>
      <c r="D597" s="8012" t="s">
        <v>3208</v>
      </c>
      <c r="E597" s="8012" t="s">
        <v>3209</v>
      </c>
      <c r="F597" s="8012" t="s">
        <v>2332</v>
      </c>
      <c r="G597" s="8012" t="s">
        <v>24</v>
      </c>
      <c r="H597" s="8012" t="s">
        <v>3031</v>
      </c>
      <c r="I597" s="8012" t="s">
        <v>826</v>
      </c>
    </row>
    <row customHeight="1" ht="11.25">
      <c r="A598" s="8012" t="s">
        <v>2173</v>
      </c>
      <c r="B598" s="8012" t="s">
        <v>14</v>
      </c>
      <c r="C598" s="8012" t="s">
        <v>3210</v>
      </c>
      <c r="D598" s="8012" t="s">
        <v>3211</v>
      </c>
      <c r="E598" s="8012" t="s">
        <v>2937</v>
      </c>
      <c r="F598" s="8012" t="s">
        <v>3212</v>
      </c>
      <c r="G598" s="8012" t="s">
        <v>24</v>
      </c>
      <c r="H598" s="8012" t="s">
        <v>3031</v>
      </c>
      <c r="I598" s="8012" t="s">
        <v>826</v>
      </c>
    </row>
    <row customHeight="1" ht="11.25">
      <c r="A599" s="8012" t="s">
        <v>2173</v>
      </c>
      <c r="B599" s="8012" t="s">
        <v>14</v>
      </c>
      <c r="C599" s="8012" t="s">
        <v>3213</v>
      </c>
      <c r="D599" s="8012" t="s">
        <v>3214</v>
      </c>
      <c r="E599" s="8012" t="s">
        <v>3215</v>
      </c>
      <c r="F599" s="8012" t="s">
        <v>2185</v>
      </c>
      <c r="G599" s="8012" t="s">
        <v>3216</v>
      </c>
      <c r="H599" s="8012" t="s">
        <v>24</v>
      </c>
      <c r="I599" s="8012" t="s">
        <v>826</v>
      </c>
    </row>
    <row customHeight="1" ht="11.25">
      <c r="A600" s="8012" t="s">
        <v>2173</v>
      </c>
      <c r="B600" s="8012" t="s">
        <v>14</v>
      </c>
      <c r="C600" s="8012" t="s">
        <v>3217</v>
      </c>
      <c r="D600" s="8012" t="s">
        <v>3218</v>
      </c>
      <c r="E600" s="8012" t="s">
        <v>3219</v>
      </c>
      <c r="F600" s="8012" t="s">
        <v>2177</v>
      </c>
      <c r="G600" s="8012" t="s">
        <v>24</v>
      </c>
      <c r="H600" s="8012" t="s">
        <v>3220</v>
      </c>
      <c r="I600" s="8012" t="s">
        <v>826</v>
      </c>
    </row>
    <row customHeight="1" ht="11.25">
      <c r="A601" s="8012" t="s">
        <v>2173</v>
      </c>
      <c r="B601" s="8012" t="s">
        <v>14</v>
      </c>
      <c r="C601" s="8012" t="s">
        <v>3221</v>
      </c>
      <c r="D601" s="8012" t="s">
        <v>3222</v>
      </c>
      <c r="E601" s="8012" t="s">
        <v>2180</v>
      </c>
      <c r="F601" s="8012" t="s">
        <v>2181</v>
      </c>
      <c r="G601" s="8012" t="s">
        <v>24</v>
      </c>
      <c r="H601" s="8012" t="s">
        <v>24</v>
      </c>
      <c r="I601" s="8012" t="s">
        <v>826</v>
      </c>
    </row>
    <row customHeight="1" ht="11.25">
      <c r="A602" s="8012" t="s">
        <v>2173</v>
      </c>
      <c r="B602" s="8012" t="s">
        <v>14</v>
      </c>
      <c r="C602" s="8012" t="s">
        <v>2662</v>
      </c>
      <c r="D602" s="8012" t="s">
        <v>2663</v>
      </c>
      <c r="E602" s="8012" t="s">
        <v>2664</v>
      </c>
      <c r="F602" s="8012" t="s">
        <v>2312</v>
      </c>
      <c r="G602" s="8012" t="s">
        <v>24</v>
      </c>
      <c r="H602" s="8012" t="s">
        <v>2205</v>
      </c>
      <c r="I602" s="8012" t="s">
        <v>826</v>
      </c>
    </row>
    <row customHeight="1" ht="11.25">
      <c r="A603" s="8012" t="s">
        <v>2173</v>
      </c>
      <c r="B603" s="8012" t="s">
        <v>14</v>
      </c>
      <c r="C603" s="8012" t="s">
        <v>3223</v>
      </c>
      <c r="D603" s="8012" t="s">
        <v>3224</v>
      </c>
      <c r="E603" s="8012" t="s">
        <v>3225</v>
      </c>
      <c r="F603" s="8012" t="s">
        <v>2177</v>
      </c>
      <c r="G603" s="8012" t="s">
        <v>24</v>
      </c>
      <c r="H603" s="8012" t="s">
        <v>3031</v>
      </c>
      <c r="I603" s="8012" t="s">
        <v>826</v>
      </c>
    </row>
    <row customHeight="1" ht="11.25">
      <c r="A604" s="8012" t="s">
        <v>2173</v>
      </c>
      <c r="B604" s="8012" t="s">
        <v>14</v>
      </c>
      <c r="C604" s="8012" t="s">
        <v>3226</v>
      </c>
      <c r="D604" s="8012" t="s">
        <v>3227</v>
      </c>
      <c r="E604" s="8012" t="s">
        <v>3228</v>
      </c>
      <c r="F604" s="8012" t="s">
        <v>2190</v>
      </c>
      <c r="G604" s="8012" t="s">
        <v>24</v>
      </c>
      <c r="H604" s="8012" t="s">
        <v>24</v>
      </c>
      <c r="I604" s="8012" t="s">
        <v>826</v>
      </c>
    </row>
    <row customHeight="1" ht="11.25">
      <c r="A605" s="8012" t="s">
        <v>2173</v>
      </c>
      <c r="B605" s="8012" t="s">
        <v>14</v>
      </c>
      <c r="C605" s="8012" t="s">
        <v>3229</v>
      </c>
      <c r="D605" s="8012" t="s">
        <v>3230</v>
      </c>
      <c r="E605" s="8012" t="s">
        <v>3231</v>
      </c>
      <c r="F605" s="8012" t="s">
        <v>2312</v>
      </c>
      <c r="G605" s="8012" t="s">
        <v>24</v>
      </c>
      <c r="H605" s="8012" t="s">
        <v>3031</v>
      </c>
      <c r="I605" s="8012" t="s">
        <v>826</v>
      </c>
    </row>
    <row customHeight="1" ht="11.25">
      <c r="A606" s="8012" t="s">
        <v>2173</v>
      </c>
      <c r="B606" s="8012" t="s">
        <v>14</v>
      </c>
      <c r="C606" s="8012" t="s">
        <v>3232</v>
      </c>
      <c r="D606" s="8012" t="s">
        <v>3233</v>
      </c>
      <c r="E606" s="8012" t="s">
        <v>3234</v>
      </c>
      <c r="F606" s="8012" t="s">
        <v>2190</v>
      </c>
      <c r="G606" s="8012" t="s">
        <v>24</v>
      </c>
      <c r="H606" s="8012" t="s">
        <v>24</v>
      </c>
      <c r="I606" s="8012" t="s">
        <v>826</v>
      </c>
    </row>
    <row customHeight="1" ht="11.25">
      <c r="A607" s="8012" t="s">
        <v>2173</v>
      </c>
      <c r="B607" s="8012" t="s">
        <v>14</v>
      </c>
      <c r="C607" s="8012" t="s">
        <v>2668</v>
      </c>
      <c r="D607" s="8012" t="s">
        <v>2669</v>
      </c>
      <c r="E607" s="8012" t="s">
        <v>2670</v>
      </c>
      <c r="F607" s="8012" t="s">
        <v>2209</v>
      </c>
      <c r="G607" s="8012" t="s">
        <v>24</v>
      </c>
      <c r="H607" s="8012" t="s">
        <v>24</v>
      </c>
      <c r="I607" s="8012" t="s">
        <v>826</v>
      </c>
    </row>
    <row customHeight="1" ht="11.25">
      <c r="A608" s="8012" t="s">
        <v>2173</v>
      </c>
      <c r="B608" s="8012" t="s">
        <v>14</v>
      </c>
      <c r="C608" s="8012" t="s">
        <v>2679</v>
      </c>
      <c r="D608" s="8012" t="s">
        <v>2680</v>
      </c>
      <c r="E608" s="8012" t="s">
        <v>2681</v>
      </c>
      <c r="F608" s="8012" t="s">
        <v>2637</v>
      </c>
      <c r="G608" s="8012" t="s">
        <v>2682</v>
      </c>
      <c r="H608" s="8012" t="s">
        <v>24</v>
      </c>
      <c r="I608" s="8012" t="s">
        <v>826</v>
      </c>
    </row>
    <row customHeight="1" ht="11.25">
      <c r="A609" s="8012" t="s">
        <v>2173</v>
      </c>
      <c r="B609" s="8012" t="s">
        <v>14</v>
      </c>
      <c r="C609" s="8012" t="s">
        <v>2683</v>
      </c>
      <c r="D609" s="8012" t="s">
        <v>2684</v>
      </c>
      <c r="E609" s="8012" t="s">
        <v>2685</v>
      </c>
      <c r="F609" s="8012" t="s">
        <v>2185</v>
      </c>
      <c r="G609" s="8012" t="s">
        <v>2686</v>
      </c>
      <c r="H609" s="8012" t="s">
        <v>24</v>
      </c>
      <c r="I609" s="8012" t="s">
        <v>826</v>
      </c>
    </row>
    <row customHeight="1" ht="11.25">
      <c r="A610" s="8012" t="s">
        <v>2173</v>
      </c>
      <c r="B610" s="8012" t="s">
        <v>14</v>
      </c>
      <c r="C610" s="8012" t="s">
        <v>3241</v>
      </c>
      <c r="D610" s="8012" t="s">
        <v>3242</v>
      </c>
      <c r="E610" s="8012" t="s">
        <v>3243</v>
      </c>
      <c r="F610" s="8012" t="s">
        <v>2934</v>
      </c>
      <c r="G610" s="8012" t="s">
        <v>24</v>
      </c>
      <c r="H610" s="8012" t="s">
        <v>24</v>
      </c>
      <c r="I610" s="8012" t="s">
        <v>826</v>
      </c>
    </row>
    <row customHeight="1" ht="11.25">
      <c r="A611" s="8012" t="s">
        <v>2173</v>
      </c>
      <c r="B611" s="8012" t="s">
        <v>14</v>
      </c>
      <c r="C611" s="8012" t="s">
        <v>3244</v>
      </c>
      <c r="D611" s="8012" t="s">
        <v>3245</v>
      </c>
      <c r="E611" s="8012" t="s">
        <v>3246</v>
      </c>
      <c r="F611" s="8012" t="s">
        <v>2332</v>
      </c>
      <c r="G611" s="8012" t="s">
        <v>24</v>
      </c>
      <c r="H611" s="8012" t="s">
        <v>24</v>
      </c>
      <c r="I611" s="8012" t="s">
        <v>826</v>
      </c>
    </row>
    <row customHeight="1" ht="11.25">
      <c r="A612" s="8012" t="s">
        <v>2173</v>
      </c>
      <c r="B612" s="8012" t="s">
        <v>14</v>
      </c>
      <c r="C612" s="8012" t="s">
        <v>3247</v>
      </c>
      <c r="D612" s="8012" t="s">
        <v>3248</v>
      </c>
      <c r="E612" s="8012" t="s">
        <v>3249</v>
      </c>
      <c r="F612" s="8012" t="s">
        <v>2177</v>
      </c>
      <c r="G612" s="8012" t="s">
        <v>24</v>
      </c>
      <c r="H612" s="8012" t="s">
        <v>2354</v>
      </c>
      <c r="I612" s="8012" t="s">
        <v>826</v>
      </c>
    </row>
    <row customHeight="1" ht="11.25">
      <c r="A613" s="8012" t="s">
        <v>2173</v>
      </c>
      <c r="B613" s="8012" t="s">
        <v>14</v>
      </c>
      <c r="C613" s="8012" t="s">
        <v>3250</v>
      </c>
      <c r="D613" s="8012" t="s">
        <v>3251</v>
      </c>
      <c r="E613" s="8012" t="s">
        <v>3252</v>
      </c>
      <c r="F613" s="8012" t="s">
        <v>2177</v>
      </c>
      <c r="G613" s="8012" t="s">
        <v>24</v>
      </c>
      <c r="H613" s="8012" t="s">
        <v>3253</v>
      </c>
      <c r="I613" s="8012" t="s">
        <v>826</v>
      </c>
    </row>
    <row customHeight="1" ht="11.25">
      <c r="A614" s="8012" t="s">
        <v>2173</v>
      </c>
      <c r="B614" s="8012" t="s">
        <v>14</v>
      </c>
      <c r="C614" s="8012" t="s">
        <v>2705</v>
      </c>
      <c r="D614" s="8012" t="s">
        <v>2706</v>
      </c>
      <c r="E614" s="8012" t="s">
        <v>2707</v>
      </c>
      <c r="F614" s="8012" t="s">
        <v>2342</v>
      </c>
      <c r="G614" s="8012" t="s">
        <v>24</v>
      </c>
      <c r="H614" s="8012" t="s">
        <v>24</v>
      </c>
      <c r="I614" s="8012" t="s">
        <v>826</v>
      </c>
    </row>
    <row customHeight="1" ht="11.25">
      <c r="A615" s="8012" t="s">
        <v>2173</v>
      </c>
      <c r="B615" s="8012" t="s">
        <v>14</v>
      </c>
      <c r="C615" s="8012" t="s">
        <v>2708</v>
      </c>
      <c r="D615" s="8012" t="s">
        <v>2709</v>
      </c>
      <c r="E615" s="8012" t="s">
        <v>2710</v>
      </c>
      <c r="F615" s="8012" t="s">
        <v>2711</v>
      </c>
      <c r="G615" s="8012" t="s">
        <v>2712</v>
      </c>
      <c r="H615" s="8012" t="s">
        <v>24</v>
      </c>
      <c r="I615" s="8012" t="s">
        <v>826</v>
      </c>
    </row>
    <row customHeight="1" ht="11.25">
      <c r="A616" s="8012" t="s">
        <v>2173</v>
      </c>
      <c r="B616" s="8012" t="s">
        <v>14</v>
      </c>
      <c r="C616" s="8012" t="s">
        <v>2713</v>
      </c>
      <c r="D616" s="8012" t="s">
        <v>2714</v>
      </c>
      <c r="E616" s="8012" t="s">
        <v>2715</v>
      </c>
      <c r="F616" s="8012" t="s">
        <v>2342</v>
      </c>
      <c r="G616" s="8012" t="s">
        <v>24</v>
      </c>
      <c r="H616" s="8012" t="s">
        <v>24</v>
      </c>
      <c r="I616" s="8012" t="s">
        <v>826</v>
      </c>
    </row>
    <row customHeight="1" ht="11.25">
      <c r="A617" s="8012" t="s">
        <v>2173</v>
      </c>
      <c r="B617" s="8012" t="s">
        <v>14</v>
      </c>
      <c r="C617" s="8012" t="s">
        <v>2716</v>
      </c>
      <c r="D617" s="8012" t="s">
        <v>2717</v>
      </c>
      <c r="E617" s="8012" t="s">
        <v>2718</v>
      </c>
      <c r="F617" s="8012" t="s">
        <v>2233</v>
      </c>
      <c r="G617" s="8012" t="s">
        <v>24</v>
      </c>
      <c r="H617" s="8012" t="s">
        <v>2719</v>
      </c>
      <c r="I617" s="8012" t="s">
        <v>826</v>
      </c>
    </row>
    <row customHeight="1" ht="11.25">
      <c r="A618" s="8012" t="s">
        <v>2173</v>
      </c>
      <c r="B618" s="8012" t="s">
        <v>14</v>
      </c>
      <c r="C618" s="8012" t="s">
        <v>2723</v>
      </c>
      <c r="D618" s="8012" t="s">
        <v>2724</v>
      </c>
      <c r="E618" s="8012" t="s">
        <v>2725</v>
      </c>
      <c r="F618" s="8012" t="s">
        <v>2332</v>
      </c>
      <c r="G618" s="8012" t="s">
        <v>24</v>
      </c>
      <c r="H618" s="8012" t="s">
        <v>24</v>
      </c>
      <c r="I618" s="8012" t="s">
        <v>826</v>
      </c>
    </row>
    <row customHeight="1" ht="11.25">
      <c r="A619" s="8012" t="s">
        <v>2173</v>
      </c>
      <c r="B619" s="8012" t="s">
        <v>14</v>
      </c>
      <c r="C619" s="8012" t="s">
        <v>3254</v>
      </c>
      <c r="D619" s="8012" t="s">
        <v>3255</v>
      </c>
      <c r="E619" s="8012" t="s">
        <v>3256</v>
      </c>
      <c r="F619" s="8012" t="s">
        <v>2884</v>
      </c>
      <c r="G619" s="8012" t="s">
        <v>24</v>
      </c>
      <c r="H619" s="8012" t="s">
        <v>24</v>
      </c>
      <c r="I619" s="8012" t="s">
        <v>826</v>
      </c>
    </row>
    <row customHeight="1" ht="11.25">
      <c r="A620" s="8012" t="s">
        <v>2173</v>
      </c>
      <c r="B620" s="8012" t="s">
        <v>14</v>
      </c>
      <c r="C620" s="8012" t="s">
        <v>3257</v>
      </c>
      <c r="D620" s="8012" t="s">
        <v>3258</v>
      </c>
      <c r="E620" s="8012" t="s">
        <v>3259</v>
      </c>
      <c r="F620" s="8012" t="s">
        <v>2884</v>
      </c>
      <c r="G620" s="8012" t="s">
        <v>24</v>
      </c>
      <c r="H620" s="8012" t="s">
        <v>24</v>
      </c>
      <c r="I620" s="8012" t="s">
        <v>826</v>
      </c>
    </row>
    <row customHeight="1" ht="11.25">
      <c r="A621" s="8012" t="s">
        <v>2173</v>
      </c>
      <c r="B621" s="8012" t="s">
        <v>14</v>
      </c>
      <c r="C621" s="8012" t="s">
        <v>3260</v>
      </c>
      <c r="D621" s="8012" t="s">
        <v>3261</v>
      </c>
      <c r="E621" s="8012" t="s">
        <v>3262</v>
      </c>
      <c r="F621" s="8012" t="s">
        <v>2177</v>
      </c>
      <c r="G621" s="8012" t="s">
        <v>24</v>
      </c>
      <c r="H621" s="8012" t="s">
        <v>24</v>
      </c>
      <c r="I621" s="8012" t="s">
        <v>826</v>
      </c>
    </row>
    <row customHeight="1" ht="11.25">
      <c r="A622" s="8012" t="s">
        <v>2173</v>
      </c>
      <c r="B622" s="8012" t="s">
        <v>14</v>
      </c>
      <c r="C622" s="8012" t="s">
        <v>2736</v>
      </c>
      <c r="D622" s="8012" t="s">
        <v>2737</v>
      </c>
      <c r="E622" s="8012" t="s">
        <v>2738</v>
      </c>
      <c r="F622" s="8012" t="s">
        <v>2194</v>
      </c>
      <c r="G622" s="8012" t="s">
        <v>24</v>
      </c>
      <c r="H622" s="8012" t="s">
        <v>24</v>
      </c>
      <c r="I622" s="8012" t="s">
        <v>826</v>
      </c>
    </row>
    <row customHeight="1" ht="11.25">
      <c r="A623" s="8012" t="s">
        <v>2173</v>
      </c>
      <c r="B623" s="8012" t="s">
        <v>14</v>
      </c>
      <c r="C623" s="8012" t="s">
        <v>2739</v>
      </c>
      <c r="D623" s="8012" t="s">
        <v>2740</v>
      </c>
      <c r="E623" s="8012" t="s">
        <v>2741</v>
      </c>
      <c r="F623" s="8012" t="s">
        <v>2365</v>
      </c>
      <c r="G623" s="8012" t="s">
        <v>24</v>
      </c>
      <c r="H623" s="8012" t="s">
        <v>24</v>
      </c>
      <c r="I623" s="8012" t="s">
        <v>826</v>
      </c>
    </row>
    <row customHeight="1" ht="11.25">
      <c r="A624" s="8012" t="s">
        <v>2173</v>
      </c>
      <c r="B624" s="8012" t="s">
        <v>14</v>
      </c>
      <c r="C624" s="8012" t="s">
        <v>3269</v>
      </c>
      <c r="D624" s="8012" t="s">
        <v>3270</v>
      </c>
      <c r="E624" s="8012" t="s">
        <v>2582</v>
      </c>
      <c r="F624" s="8012" t="s">
        <v>2229</v>
      </c>
      <c r="G624" s="8012" t="s">
        <v>24</v>
      </c>
      <c r="H624" s="8012" t="s">
        <v>3271</v>
      </c>
      <c r="I624" s="8012" t="s">
        <v>826</v>
      </c>
    </row>
    <row customHeight="1" ht="11.25">
      <c r="A625" s="8012" t="s">
        <v>2173</v>
      </c>
      <c r="B625" s="8012" t="s">
        <v>14</v>
      </c>
      <c r="C625" s="8012" t="s">
        <v>3272</v>
      </c>
      <c r="D625" s="8012" t="s">
        <v>3273</v>
      </c>
      <c r="E625" s="8012" t="s">
        <v>2582</v>
      </c>
      <c r="F625" s="8012" t="s">
        <v>3274</v>
      </c>
      <c r="G625" s="8012" t="s">
        <v>24</v>
      </c>
      <c r="H625" s="8012" t="s">
        <v>3271</v>
      </c>
      <c r="I625" s="8012" t="s">
        <v>826</v>
      </c>
    </row>
    <row customHeight="1" ht="11.25">
      <c r="A626" s="8012" t="s">
        <v>2173</v>
      </c>
      <c r="B626" s="8012" t="s">
        <v>14</v>
      </c>
      <c r="C626" s="8012" t="s">
        <v>3278</v>
      </c>
      <c r="D626" s="8012" t="s">
        <v>3279</v>
      </c>
      <c r="E626" s="8012" t="s">
        <v>3280</v>
      </c>
      <c r="F626" s="8012" t="s">
        <v>2991</v>
      </c>
      <c r="G626" s="8012" t="s">
        <v>3281</v>
      </c>
      <c r="H626" s="8012" t="s">
        <v>24</v>
      </c>
      <c r="I626" s="8012" t="s">
        <v>826</v>
      </c>
    </row>
    <row customHeight="1" ht="11.25">
      <c r="A627" s="8012" t="s">
        <v>2173</v>
      </c>
      <c r="B627" s="8012" t="s">
        <v>14</v>
      </c>
      <c r="C627" s="8012" t="s">
        <v>3282</v>
      </c>
      <c r="D627" s="8012" t="s">
        <v>3283</v>
      </c>
      <c r="E627" s="8012" t="s">
        <v>3284</v>
      </c>
      <c r="F627" s="8012" t="s">
        <v>2298</v>
      </c>
      <c r="G627" s="8012" t="s">
        <v>24</v>
      </c>
      <c r="H627" s="8012" t="s">
        <v>24</v>
      </c>
      <c r="I627" s="8012" t="s">
        <v>826</v>
      </c>
    </row>
    <row customHeight="1" ht="11.25">
      <c r="A628" s="8012" t="s">
        <v>2173</v>
      </c>
      <c r="B628" s="8012" t="s">
        <v>14</v>
      </c>
      <c r="C628" s="8012" t="s">
        <v>3285</v>
      </c>
      <c r="D628" s="8012" t="s">
        <v>3286</v>
      </c>
      <c r="E628" s="8012" t="s">
        <v>3287</v>
      </c>
      <c r="F628" s="8012" t="s">
        <v>2377</v>
      </c>
      <c r="G628" s="8012" t="s">
        <v>24</v>
      </c>
      <c r="H628" s="8012" t="s">
        <v>3288</v>
      </c>
      <c r="I628" s="8012" t="s">
        <v>826</v>
      </c>
    </row>
    <row customHeight="1" ht="11.25">
      <c r="A629" s="8012" t="s">
        <v>2173</v>
      </c>
      <c r="B629" s="8012" t="s">
        <v>14</v>
      </c>
      <c r="C629" s="8012" t="s">
        <v>3289</v>
      </c>
      <c r="D629" s="8012" t="s">
        <v>3290</v>
      </c>
      <c r="E629" s="8012" t="s">
        <v>3291</v>
      </c>
      <c r="F629" s="8012" t="s">
        <v>2261</v>
      </c>
      <c r="G629" s="8012" t="s">
        <v>24</v>
      </c>
      <c r="H629" s="8012" t="s">
        <v>3292</v>
      </c>
      <c r="I629" s="8012" t="s">
        <v>826</v>
      </c>
    </row>
    <row customHeight="1" ht="11.25">
      <c r="A630" s="8012" t="s">
        <v>2173</v>
      </c>
      <c r="B630" s="8012" t="s">
        <v>14</v>
      </c>
      <c r="C630" s="8012" t="s">
        <v>3293</v>
      </c>
      <c r="D630" s="8012" t="s">
        <v>3294</v>
      </c>
      <c r="E630" s="8012" t="s">
        <v>3295</v>
      </c>
      <c r="F630" s="8012" t="s">
        <v>2770</v>
      </c>
      <c r="G630" s="8012" t="s">
        <v>24</v>
      </c>
      <c r="H630" s="8012" t="s">
        <v>3031</v>
      </c>
      <c r="I630" s="8012" t="s">
        <v>826</v>
      </c>
    </row>
    <row customHeight="1" ht="11.25">
      <c r="A631" s="8012" t="s">
        <v>2173</v>
      </c>
      <c r="B631" s="8012" t="s">
        <v>14</v>
      </c>
      <c r="C631" s="8012" t="s">
        <v>3299</v>
      </c>
      <c r="D631" s="8012" t="s">
        <v>3300</v>
      </c>
      <c r="E631" s="8012" t="s">
        <v>3301</v>
      </c>
      <c r="F631" s="8012" t="s">
        <v>2177</v>
      </c>
      <c r="G631" s="8012" t="s">
        <v>24</v>
      </c>
      <c r="H631" s="8012" t="s">
        <v>3302</v>
      </c>
      <c r="I631" s="8012" t="s">
        <v>826</v>
      </c>
    </row>
    <row customHeight="1" ht="11.25">
      <c r="A632" s="8012" t="s">
        <v>2173</v>
      </c>
      <c r="B632" s="8012" t="s">
        <v>14</v>
      </c>
      <c r="C632" s="8012" t="s">
        <v>3303</v>
      </c>
      <c r="D632" s="8012" t="s">
        <v>3304</v>
      </c>
      <c r="E632" s="8012" t="s">
        <v>3305</v>
      </c>
      <c r="F632" s="8012" t="s">
        <v>2177</v>
      </c>
      <c r="G632" s="8012" t="s">
        <v>24</v>
      </c>
      <c r="H632" s="8012" t="s">
        <v>3306</v>
      </c>
      <c r="I632" s="8012" t="s">
        <v>826</v>
      </c>
    </row>
    <row customHeight="1" ht="11.25">
      <c r="A633" s="8012" t="s">
        <v>2173</v>
      </c>
      <c r="B633" s="8012" t="s">
        <v>14</v>
      </c>
      <c r="C633" s="8012" t="s">
        <v>3307</v>
      </c>
      <c r="D633" s="8012" t="s">
        <v>3308</v>
      </c>
      <c r="E633" s="8012" t="s">
        <v>3309</v>
      </c>
      <c r="F633" s="8012" t="s">
        <v>2324</v>
      </c>
      <c r="G633" s="8012" t="s">
        <v>24</v>
      </c>
      <c r="H633" s="8012" t="s">
        <v>24</v>
      </c>
      <c r="I633" s="8012" t="s">
        <v>826</v>
      </c>
    </row>
    <row customHeight="1" ht="11.25">
      <c r="A634" s="8012" t="s">
        <v>2173</v>
      </c>
      <c r="B634" s="8012" t="s">
        <v>14</v>
      </c>
      <c r="C634" s="8012" t="s">
        <v>3310</v>
      </c>
      <c r="D634" s="8012" t="s">
        <v>3311</v>
      </c>
      <c r="E634" s="8012" t="s">
        <v>3312</v>
      </c>
      <c r="F634" s="8012" t="s">
        <v>2190</v>
      </c>
      <c r="G634" s="8012" t="s">
        <v>24</v>
      </c>
      <c r="H634" s="8012" t="s">
        <v>3313</v>
      </c>
      <c r="I634" s="8012" t="s">
        <v>826</v>
      </c>
    </row>
    <row customHeight="1" ht="11.25">
      <c r="A635" s="8012" t="s">
        <v>2173</v>
      </c>
      <c r="B635" s="8012" t="s">
        <v>14</v>
      </c>
      <c r="C635" s="8012" t="s">
        <v>3320</v>
      </c>
      <c r="D635" s="8012" t="s">
        <v>3321</v>
      </c>
      <c r="E635" s="8012" t="s">
        <v>3322</v>
      </c>
      <c r="F635" s="8012" t="s">
        <v>2377</v>
      </c>
      <c r="G635" s="8012" t="s">
        <v>24</v>
      </c>
      <c r="H635" s="8012" t="s">
        <v>3031</v>
      </c>
      <c r="I635" s="8012" t="s">
        <v>826</v>
      </c>
    </row>
    <row customHeight="1" ht="11.25">
      <c r="A636" s="8012" t="s">
        <v>2173</v>
      </c>
      <c r="B636" s="8012" t="s">
        <v>14</v>
      </c>
      <c r="C636" s="8012" t="s">
        <v>3323</v>
      </c>
      <c r="D636" s="8012" t="s">
        <v>3324</v>
      </c>
      <c r="E636" s="8012" t="s">
        <v>3325</v>
      </c>
      <c r="F636" s="8012" t="s">
        <v>2177</v>
      </c>
      <c r="G636" s="8012" t="s">
        <v>24</v>
      </c>
      <c r="H636" s="8012" t="s">
        <v>3031</v>
      </c>
      <c r="I636" s="8012" t="s">
        <v>826</v>
      </c>
    </row>
    <row customHeight="1" ht="11.25">
      <c r="A637" s="8012" t="s">
        <v>2173</v>
      </c>
      <c r="B637" s="8012" t="s">
        <v>14</v>
      </c>
      <c r="C637" s="8012" t="s">
        <v>3326</v>
      </c>
      <c r="D637" s="8012" t="s">
        <v>3327</v>
      </c>
      <c r="E637" s="8012" t="s">
        <v>3328</v>
      </c>
      <c r="F637" s="8012" t="s">
        <v>2884</v>
      </c>
      <c r="G637" s="8012" t="s">
        <v>3329</v>
      </c>
      <c r="H637" s="8012" t="s">
        <v>24</v>
      </c>
      <c r="I637" s="8012" t="s">
        <v>826</v>
      </c>
    </row>
    <row customHeight="1" ht="11.25">
      <c r="A638" s="8012" t="s">
        <v>2173</v>
      </c>
      <c r="B638" s="8012" t="s">
        <v>14</v>
      </c>
      <c r="C638" s="8012" t="s">
        <v>3330</v>
      </c>
      <c r="D638" s="8012" t="s">
        <v>3331</v>
      </c>
      <c r="E638" s="8012" t="s">
        <v>3309</v>
      </c>
      <c r="F638" s="8012" t="s">
        <v>2324</v>
      </c>
      <c r="G638" s="8012" t="s">
        <v>24</v>
      </c>
      <c r="H638" s="8012" t="s">
        <v>2382</v>
      </c>
      <c r="I638" s="8012" t="s">
        <v>826</v>
      </c>
    </row>
    <row customHeight="1" ht="11.25">
      <c r="A639" s="8012" t="s">
        <v>2173</v>
      </c>
      <c r="B639" s="8012" t="s">
        <v>14</v>
      </c>
      <c r="C639" s="8012" t="s">
        <v>3332</v>
      </c>
      <c r="D639" s="8012" t="s">
        <v>3333</v>
      </c>
      <c r="E639" s="8012" t="s">
        <v>3334</v>
      </c>
      <c r="F639" s="8012" t="s">
        <v>2253</v>
      </c>
      <c r="G639" s="8012" t="s">
        <v>24</v>
      </c>
      <c r="H639" s="8012" t="s">
        <v>3031</v>
      </c>
      <c r="I639" s="8012" t="s">
        <v>826</v>
      </c>
    </row>
    <row customHeight="1" ht="11.25">
      <c r="A640" s="8012" t="s">
        <v>2173</v>
      </c>
      <c r="B640" s="8012" t="s">
        <v>14</v>
      </c>
      <c r="C640" s="8012" t="s">
        <v>3335</v>
      </c>
      <c r="D640" s="8012" t="s">
        <v>3336</v>
      </c>
      <c r="E640" s="8012" t="s">
        <v>3337</v>
      </c>
      <c r="F640" s="8012" t="s">
        <v>2253</v>
      </c>
      <c r="G640" s="8012" t="s">
        <v>24</v>
      </c>
      <c r="H640" s="8012" t="s">
        <v>24</v>
      </c>
      <c r="I640" s="8012" t="s">
        <v>826</v>
      </c>
    </row>
    <row customHeight="1" ht="11.25">
      <c r="A641" s="8012" t="s">
        <v>2173</v>
      </c>
      <c r="B641" s="8012" t="s">
        <v>14</v>
      </c>
      <c r="C641" s="8012" t="s">
        <v>2771</v>
      </c>
      <c r="D641" s="8012" t="s">
        <v>2772</v>
      </c>
      <c r="E641" s="8012" t="s">
        <v>2773</v>
      </c>
      <c r="F641" s="8012" t="s">
        <v>2177</v>
      </c>
      <c r="G641" s="8012" t="s">
        <v>24</v>
      </c>
      <c r="H641" s="8012" t="s">
        <v>24</v>
      </c>
      <c r="I641" s="8012" t="s">
        <v>826</v>
      </c>
    </row>
    <row customHeight="1" ht="11.25">
      <c r="A642" s="8012" t="s">
        <v>2173</v>
      </c>
      <c r="B642" s="8012" t="s">
        <v>14</v>
      </c>
      <c r="C642" s="8012" t="s">
        <v>24</v>
      </c>
      <c r="D642" s="8012" t="s">
        <v>2179</v>
      </c>
      <c r="E642" s="8012" t="s">
        <v>2180</v>
      </c>
      <c r="F642" s="8012" t="s">
        <v>2181</v>
      </c>
      <c r="G642" s="8012" t="s">
        <v>24</v>
      </c>
      <c r="H642" s="8012" t="s">
        <v>24</v>
      </c>
      <c r="I642" s="8012" t="s">
        <v>1536</v>
      </c>
    </row>
    <row customHeight="1" ht="11.25">
      <c r="A643" s="8012" t="s">
        <v>2173</v>
      </c>
      <c r="B643" s="8012" t="s">
        <v>14</v>
      </c>
      <c r="C643" s="8012" t="s">
        <v>3378</v>
      </c>
      <c r="D643" s="8012" t="s">
        <v>3379</v>
      </c>
      <c r="E643" s="8012" t="s">
        <v>3380</v>
      </c>
      <c r="F643" s="8012" t="s">
        <v>578</v>
      </c>
      <c r="G643" s="8012" t="s">
        <v>3381</v>
      </c>
      <c r="H643" s="8012" t="s">
        <v>24</v>
      </c>
      <c r="I643" s="8012" t="s">
        <v>1536</v>
      </c>
    </row>
    <row customHeight="1" ht="11.25">
      <c r="A644" s="8012" t="s">
        <v>2173</v>
      </c>
      <c r="B644" s="8012" t="s">
        <v>14</v>
      </c>
      <c r="C644" s="8012" t="s">
        <v>2344</v>
      </c>
      <c r="D644" s="8012" t="s">
        <v>2345</v>
      </c>
      <c r="E644" s="8012" t="s">
        <v>2346</v>
      </c>
      <c r="F644" s="8012" t="s">
        <v>2347</v>
      </c>
      <c r="G644" s="8012" t="s">
        <v>24</v>
      </c>
      <c r="H644" s="8012" t="s">
        <v>24</v>
      </c>
      <c r="I644" s="8012" t="s">
        <v>1536</v>
      </c>
    </row>
    <row customHeight="1" ht="11.25">
      <c r="A645" s="8012" t="s">
        <v>2173</v>
      </c>
      <c r="B645" s="8012" t="s">
        <v>14</v>
      </c>
      <c r="C645" s="8012" t="s">
        <v>2850</v>
      </c>
      <c r="D645" s="8012" t="s">
        <v>2851</v>
      </c>
      <c r="E645" s="8012" t="s">
        <v>2852</v>
      </c>
      <c r="F645" s="8012" t="s">
        <v>2457</v>
      </c>
      <c r="G645" s="8012" t="s">
        <v>24</v>
      </c>
      <c r="H645" s="8012" t="s">
        <v>24</v>
      </c>
      <c r="I645" s="8012" t="s">
        <v>1536</v>
      </c>
    </row>
    <row customHeight="1" ht="11.25">
      <c r="A646" s="8012" t="s">
        <v>2173</v>
      </c>
      <c r="B646" s="8012" t="s">
        <v>14</v>
      </c>
      <c r="C646" s="8012" t="s">
        <v>3382</v>
      </c>
      <c r="D646" s="8012" t="s">
        <v>3383</v>
      </c>
      <c r="E646" s="8012" t="s">
        <v>3384</v>
      </c>
      <c r="F646" s="8012" t="s">
        <v>2496</v>
      </c>
      <c r="G646" s="8012" t="s">
        <v>3385</v>
      </c>
      <c r="H646" s="8012" t="s">
        <v>24</v>
      </c>
      <c r="I646" s="8012" t="s">
        <v>1536</v>
      </c>
    </row>
    <row customHeight="1" ht="11.25">
      <c r="A647" s="8012" t="s">
        <v>2173</v>
      </c>
      <c r="B647" s="8012" t="s">
        <v>14</v>
      </c>
      <c r="C647" s="8012" t="s">
        <v>2371</v>
      </c>
      <c r="D647" s="8012" t="s">
        <v>2372</v>
      </c>
      <c r="E647" s="8012" t="s">
        <v>2373</v>
      </c>
      <c r="F647" s="8012" t="s">
        <v>2177</v>
      </c>
      <c r="G647" s="8012" t="s">
        <v>24</v>
      </c>
      <c r="H647" s="8012" t="s">
        <v>24</v>
      </c>
      <c r="I647" s="8012" t="s">
        <v>1536</v>
      </c>
    </row>
    <row customHeight="1" ht="11.25">
      <c r="A648" s="8012" t="s">
        <v>2173</v>
      </c>
      <c r="B648" s="8012" t="s">
        <v>14</v>
      </c>
      <c r="C648" s="8012" t="s">
        <v>3386</v>
      </c>
      <c r="D648" s="8012" t="s">
        <v>3387</v>
      </c>
      <c r="E648" s="8012" t="s">
        <v>3388</v>
      </c>
      <c r="F648" s="8012" t="s">
        <v>2324</v>
      </c>
      <c r="G648" s="8012" t="s">
        <v>24</v>
      </c>
      <c r="H648" s="8012" t="s">
        <v>24</v>
      </c>
      <c r="I648" s="8012" t="s">
        <v>1536</v>
      </c>
    </row>
    <row customHeight="1" ht="11.25">
      <c r="A649" s="8012" t="s">
        <v>2173</v>
      </c>
      <c r="B649" s="8012" t="s">
        <v>14</v>
      </c>
      <c r="C649" s="8012" t="s">
        <v>2383</v>
      </c>
      <c r="D649" s="8012" t="s">
        <v>2379</v>
      </c>
      <c r="E649" s="8012" t="s">
        <v>2380</v>
      </c>
      <c r="F649" s="8012" t="s">
        <v>2381</v>
      </c>
      <c r="G649" s="8012" t="s">
        <v>24</v>
      </c>
      <c r="H649" s="8012" t="s">
        <v>24</v>
      </c>
      <c r="I649" s="8012" t="s">
        <v>1536</v>
      </c>
    </row>
    <row customHeight="1" ht="11.25">
      <c r="A650" s="8012" t="s">
        <v>2173</v>
      </c>
      <c r="B650" s="8012" t="s">
        <v>14</v>
      </c>
      <c r="C650" s="8012" t="s">
        <v>2384</v>
      </c>
      <c r="D650" s="8012" t="s">
        <v>2385</v>
      </c>
      <c r="E650" s="8012" t="s">
        <v>2386</v>
      </c>
      <c r="F650" s="8012" t="s">
        <v>2381</v>
      </c>
      <c r="G650" s="8012" t="s">
        <v>24</v>
      </c>
      <c r="H650" s="8012" t="s">
        <v>24</v>
      </c>
      <c r="I650" s="8012" t="s">
        <v>1536</v>
      </c>
    </row>
    <row customHeight="1" ht="11.25">
      <c r="A651" s="8012" t="s">
        <v>2173</v>
      </c>
      <c r="B651" s="8012" t="s">
        <v>14</v>
      </c>
      <c r="C651" s="8012" t="s">
        <v>3389</v>
      </c>
      <c r="D651" s="8012" t="s">
        <v>3390</v>
      </c>
      <c r="E651" s="8012" t="s">
        <v>3391</v>
      </c>
      <c r="F651" s="8012" t="s">
        <v>2390</v>
      </c>
      <c r="G651" s="8012" t="s">
        <v>3392</v>
      </c>
      <c r="H651" s="8012" t="s">
        <v>24</v>
      </c>
      <c r="I651" s="8012" t="s">
        <v>1536</v>
      </c>
    </row>
    <row customHeight="1" ht="11.25">
      <c r="A652" s="8012" t="s">
        <v>2173</v>
      </c>
      <c r="B652" s="8012" t="s">
        <v>14</v>
      </c>
      <c r="C652" s="8012" t="s">
        <v>3393</v>
      </c>
      <c r="D652" s="8012" t="s">
        <v>3394</v>
      </c>
      <c r="E652" s="8012" t="s">
        <v>3395</v>
      </c>
      <c r="F652" s="8012" t="s">
        <v>2370</v>
      </c>
      <c r="G652" s="8012" t="s">
        <v>24</v>
      </c>
      <c r="H652" s="8012" t="s">
        <v>24</v>
      </c>
      <c r="I652" s="8012" t="s">
        <v>1536</v>
      </c>
    </row>
    <row customHeight="1" ht="11.25">
      <c r="A653" s="8012" t="s">
        <v>2173</v>
      </c>
      <c r="B653" s="8012" t="s">
        <v>14</v>
      </c>
      <c r="C653" s="8012" t="s">
        <v>3396</v>
      </c>
      <c r="D653" s="8012" t="s">
        <v>3397</v>
      </c>
      <c r="E653" s="8012" t="s">
        <v>3398</v>
      </c>
      <c r="F653" s="8012" t="s">
        <v>2233</v>
      </c>
      <c r="G653" s="8012" t="s">
        <v>24</v>
      </c>
      <c r="H653" s="8012" t="s">
        <v>24</v>
      </c>
      <c r="I653" s="8012" t="s">
        <v>1536</v>
      </c>
    </row>
    <row customHeight="1" ht="11.25">
      <c r="A654" s="8012" t="s">
        <v>2173</v>
      </c>
      <c r="B654" s="8012" t="s">
        <v>14</v>
      </c>
      <c r="C654" s="8012" t="s">
        <v>3399</v>
      </c>
      <c r="D654" s="8012" t="s">
        <v>3400</v>
      </c>
      <c r="E654" s="8012" t="s">
        <v>3401</v>
      </c>
      <c r="F654" s="8012" t="s">
        <v>2181</v>
      </c>
      <c r="G654" s="8012" t="s">
        <v>3402</v>
      </c>
      <c r="H654" s="8012" t="s">
        <v>24</v>
      </c>
      <c r="I654" s="8012" t="s">
        <v>1536</v>
      </c>
    </row>
    <row customHeight="1" ht="11.25">
      <c r="A655" s="8012" t="s">
        <v>2173</v>
      </c>
      <c r="B655" s="8012" t="s">
        <v>14</v>
      </c>
      <c r="C655" s="8012" t="s">
        <v>3403</v>
      </c>
      <c r="D655" s="8012" t="s">
        <v>3404</v>
      </c>
      <c r="E655" s="8012" t="s">
        <v>3405</v>
      </c>
      <c r="F655" s="8012" t="s">
        <v>2413</v>
      </c>
      <c r="G655" s="8012" t="s">
        <v>3406</v>
      </c>
      <c r="H655" s="8012" t="s">
        <v>24</v>
      </c>
      <c r="I655" s="8012" t="s">
        <v>1536</v>
      </c>
    </row>
    <row customHeight="1" ht="11.25">
      <c r="A656" s="8012" t="s">
        <v>2173</v>
      </c>
      <c r="B656" s="8012" t="s">
        <v>14</v>
      </c>
      <c r="C656" s="8012" t="s">
        <v>3407</v>
      </c>
      <c r="D656" s="8012" t="s">
        <v>3408</v>
      </c>
      <c r="E656" s="8012" t="s">
        <v>3409</v>
      </c>
      <c r="F656" s="8012" t="s">
        <v>2496</v>
      </c>
      <c r="G656" s="8012" t="s">
        <v>3410</v>
      </c>
      <c r="H656" s="8012" t="s">
        <v>24</v>
      </c>
      <c r="I656" s="8012" t="s">
        <v>1536</v>
      </c>
    </row>
    <row customHeight="1" ht="11.25">
      <c r="A657" s="8012" t="s">
        <v>2173</v>
      </c>
      <c r="B657" s="8012" t="s">
        <v>14</v>
      </c>
      <c r="C657" s="8012" t="s">
        <v>3411</v>
      </c>
      <c r="D657" s="8012" t="s">
        <v>3412</v>
      </c>
      <c r="E657" s="8012" t="s">
        <v>3413</v>
      </c>
      <c r="F657" s="8012" t="s">
        <v>51</v>
      </c>
      <c r="G657" s="8012" t="s">
        <v>3414</v>
      </c>
      <c r="H657" s="8012" t="s">
        <v>24</v>
      </c>
      <c r="I657" s="8012" t="s">
        <v>1536</v>
      </c>
    </row>
    <row customHeight="1" ht="11.25">
      <c r="A658" s="8012" t="s">
        <v>2173</v>
      </c>
      <c r="B658" s="8012" t="s">
        <v>14</v>
      </c>
      <c r="C658" s="8012" t="s">
        <v>3415</v>
      </c>
      <c r="D658" s="8012" t="s">
        <v>3416</v>
      </c>
      <c r="E658" s="8012" t="s">
        <v>3417</v>
      </c>
      <c r="F658" s="8012" t="s">
        <v>2471</v>
      </c>
      <c r="G658" s="8012" t="s">
        <v>3418</v>
      </c>
      <c r="H658" s="8012" t="s">
        <v>24</v>
      </c>
      <c r="I658" s="8012" t="s">
        <v>1536</v>
      </c>
    </row>
    <row customHeight="1" ht="11.25">
      <c r="A659" s="8012" t="s">
        <v>2173</v>
      </c>
      <c r="B659" s="8012" t="s">
        <v>14</v>
      </c>
      <c r="C659" s="8012" t="s">
        <v>3419</v>
      </c>
      <c r="D659" s="8012" t="s">
        <v>3420</v>
      </c>
      <c r="E659" s="8012" t="s">
        <v>3421</v>
      </c>
      <c r="F659" s="8012" t="s">
        <v>2865</v>
      </c>
      <c r="G659" s="8012" t="s">
        <v>3422</v>
      </c>
      <c r="H659" s="8012" t="s">
        <v>24</v>
      </c>
      <c r="I659" s="8012" t="s">
        <v>1536</v>
      </c>
    </row>
    <row customHeight="1" ht="11.25">
      <c r="A660" s="8012" t="s">
        <v>2173</v>
      </c>
      <c r="B660" s="8012" t="s">
        <v>14</v>
      </c>
      <c r="C660" s="8012" t="s">
        <v>3049</v>
      </c>
      <c r="D660" s="8012" t="s">
        <v>3050</v>
      </c>
      <c r="E660" s="8012" t="s">
        <v>3051</v>
      </c>
      <c r="F660" s="8012" t="s">
        <v>2457</v>
      </c>
      <c r="G660" s="8012" t="s">
        <v>24</v>
      </c>
      <c r="H660" s="8012" t="s">
        <v>24</v>
      </c>
      <c r="I660" s="8012" t="s">
        <v>1536</v>
      </c>
    </row>
    <row customHeight="1" ht="11.25">
      <c r="A661" s="8012" t="s">
        <v>2173</v>
      </c>
      <c r="B661" s="8012" t="s">
        <v>14</v>
      </c>
      <c r="C661" s="8012" t="s">
        <v>3423</v>
      </c>
      <c r="D661" s="8012" t="s">
        <v>3424</v>
      </c>
      <c r="E661" s="8012" t="s">
        <v>3425</v>
      </c>
      <c r="F661" s="8012" t="s">
        <v>2770</v>
      </c>
      <c r="G661" s="8012" t="s">
        <v>3426</v>
      </c>
      <c r="H661" s="8012" t="s">
        <v>24</v>
      </c>
      <c r="I661" s="8012" t="s">
        <v>1536</v>
      </c>
    </row>
    <row customHeight="1" ht="11.25">
      <c r="A662" s="8012" t="s">
        <v>2173</v>
      </c>
      <c r="B662" s="8012" t="s">
        <v>14</v>
      </c>
      <c r="C662" s="8012" t="s">
        <v>3427</v>
      </c>
      <c r="D662" s="8012" t="s">
        <v>3428</v>
      </c>
      <c r="E662" s="8012" t="s">
        <v>3429</v>
      </c>
      <c r="F662" s="8012" t="s">
        <v>2253</v>
      </c>
      <c r="G662" s="8012" t="s">
        <v>24</v>
      </c>
      <c r="H662" s="8012" t="s">
        <v>24</v>
      </c>
      <c r="I662" s="8012" t="s">
        <v>1536</v>
      </c>
    </row>
    <row customHeight="1" ht="11.25">
      <c r="A663" s="8012" t="s">
        <v>2173</v>
      </c>
      <c r="B663" s="8012" t="s">
        <v>14</v>
      </c>
      <c r="C663" s="8012" t="s">
        <v>3430</v>
      </c>
      <c r="D663" s="8012" t="s">
        <v>3431</v>
      </c>
      <c r="E663" s="8012" t="s">
        <v>3432</v>
      </c>
      <c r="F663" s="8012" t="s">
        <v>2190</v>
      </c>
      <c r="G663" s="8012" t="s">
        <v>3433</v>
      </c>
      <c r="H663" s="8012" t="s">
        <v>24</v>
      </c>
      <c r="I663" s="8012" t="s">
        <v>1536</v>
      </c>
    </row>
    <row customHeight="1" ht="11.25">
      <c r="A664" s="8012" t="s">
        <v>2173</v>
      </c>
      <c r="B664" s="8012" t="s">
        <v>14</v>
      </c>
      <c r="C664" s="8012" t="s">
        <v>3434</v>
      </c>
      <c r="D664" s="8012" t="s">
        <v>3435</v>
      </c>
      <c r="E664" s="8012" t="s">
        <v>3436</v>
      </c>
      <c r="F664" s="8012" t="s">
        <v>2594</v>
      </c>
      <c r="G664" s="8012" t="s">
        <v>24</v>
      </c>
      <c r="H664" s="8012" t="s">
        <v>24</v>
      </c>
      <c r="I664" s="8012" t="s">
        <v>1536</v>
      </c>
    </row>
    <row customHeight="1" ht="11.25">
      <c r="A665" s="8012" t="s">
        <v>2173</v>
      </c>
      <c r="B665" s="8012" t="s">
        <v>14</v>
      </c>
      <c r="C665" s="8012" t="s">
        <v>3437</v>
      </c>
      <c r="D665" s="8012" t="s">
        <v>3438</v>
      </c>
      <c r="E665" s="8012" t="s">
        <v>3439</v>
      </c>
      <c r="F665" s="8012" t="s">
        <v>2370</v>
      </c>
      <c r="G665" s="8012" t="s">
        <v>3440</v>
      </c>
      <c r="H665" s="8012" t="s">
        <v>24</v>
      </c>
      <c r="I665" s="8012" t="s">
        <v>1536</v>
      </c>
    </row>
    <row customHeight="1" ht="11.25">
      <c r="A666" s="8012" t="s">
        <v>2173</v>
      </c>
      <c r="B666" s="8012" t="s">
        <v>14</v>
      </c>
      <c r="C666" s="8012" t="s">
        <v>3441</v>
      </c>
      <c r="D666" s="8012" t="s">
        <v>3442</v>
      </c>
      <c r="E666" s="8012" t="s">
        <v>3443</v>
      </c>
      <c r="F666" s="8012" t="s">
        <v>2513</v>
      </c>
      <c r="G666" s="8012" t="s">
        <v>24</v>
      </c>
      <c r="H666" s="8012" t="s">
        <v>24</v>
      </c>
      <c r="I666" s="8012" t="s">
        <v>1536</v>
      </c>
    </row>
    <row customHeight="1" ht="11.25">
      <c r="A667" s="8012" t="s">
        <v>2173</v>
      </c>
      <c r="B667" s="8012" t="s">
        <v>14</v>
      </c>
      <c r="C667" s="8012" t="s">
        <v>3444</v>
      </c>
      <c r="D667" s="8012" t="s">
        <v>3445</v>
      </c>
      <c r="E667" s="8012" t="s">
        <v>3446</v>
      </c>
      <c r="F667" s="8012" t="s">
        <v>2190</v>
      </c>
      <c r="G667" s="8012" t="s">
        <v>3447</v>
      </c>
      <c r="H667" s="8012" t="s">
        <v>24</v>
      </c>
      <c r="I667" s="8012" t="s">
        <v>1536</v>
      </c>
    </row>
    <row customHeight="1" ht="11.25">
      <c r="A668" s="8012" t="s">
        <v>2173</v>
      </c>
      <c r="B668" s="8012" t="s">
        <v>14</v>
      </c>
      <c r="C668" s="8012" t="s">
        <v>3448</v>
      </c>
      <c r="D668" s="8012" t="s">
        <v>3449</v>
      </c>
      <c r="E668" s="8012" t="s">
        <v>3450</v>
      </c>
      <c r="F668" s="8012" t="s">
        <v>2181</v>
      </c>
      <c r="G668" s="8012" t="s">
        <v>3451</v>
      </c>
      <c r="H668" s="8012" t="s">
        <v>24</v>
      </c>
      <c r="I668" s="8012" t="s">
        <v>1536</v>
      </c>
    </row>
    <row customHeight="1" ht="11.25">
      <c r="A669" s="8012" t="s">
        <v>2173</v>
      </c>
      <c r="B669" s="8012" t="s">
        <v>14</v>
      </c>
      <c r="C669" s="8012" t="s">
        <v>3452</v>
      </c>
      <c r="D669" s="8012" t="s">
        <v>3453</v>
      </c>
      <c r="E669" s="8012" t="s">
        <v>3454</v>
      </c>
      <c r="F669" s="8012" t="s">
        <v>2298</v>
      </c>
      <c r="G669" s="8012" t="s">
        <v>24</v>
      </c>
      <c r="H669" s="8012" t="s">
        <v>24</v>
      </c>
      <c r="I669" s="8012" t="s">
        <v>1536</v>
      </c>
    </row>
    <row customHeight="1" ht="11.25">
      <c r="A670" s="8012" t="s">
        <v>2173</v>
      </c>
      <c r="B670" s="8012" t="s">
        <v>14</v>
      </c>
      <c r="C670" s="8012" t="s">
        <v>3455</v>
      </c>
      <c r="D670" s="8012" t="s">
        <v>3456</v>
      </c>
      <c r="E670" s="8012" t="s">
        <v>3457</v>
      </c>
      <c r="F670" s="8012" t="s">
        <v>2177</v>
      </c>
      <c r="G670" s="8012" t="s">
        <v>3458</v>
      </c>
      <c r="H670" s="8012" t="s">
        <v>24</v>
      </c>
      <c r="I670" s="8012" t="s">
        <v>1536</v>
      </c>
    </row>
    <row customHeight="1" ht="11.25">
      <c r="A671" s="8012" t="s">
        <v>2173</v>
      </c>
      <c r="B671" s="8012" t="s">
        <v>14</v>
      </c>
      <c r="C671" s="8012" t="s">
        <v>3136</v>
      </c>
      <c r="D671" s="8012" t="s">
        <v>3137</v>
      </c>
      <c r="E671" s="8012" t="s">
        <v>3138</v>
      </c>
      <c r="F671" s="8012" t="s">
        <v>2312</v>
      </c>
      <c r="G671" s="8012" t="s">
        <v>24</v>
      </c>
      <c r="H671" s="8012" t="s">
        <v>24</v>
      </c>
      <c r="I671" s="8012" t="s">
        <v>1536</v>
      </c>
    </row>
    <row customHeight="1" ht="11.25">
      <c r="A672" s="8012" t="s">
        <v>2173</v>
      </c>
      <c r="B672" s="8012" t="s">
        <v>14</v>
      </c>
      <c r="C672" s="8012" t="s">
        <v>3459</v>
      </c>
      <c r="D672" s="8012" t="s">
        <v>3460</v>
      </c>
      <c r="E672" s="8012" t="s">
        <v>3461</v>
      </c>
      <c r="F672" s="8012" t="s">
        <v>2181</v>
      </c>
      <c r="G672" s="8012" t="s">
        <v>3462</v>
      </c>
      <c r="H672" s="8012" t="s">
        <v>24</v>
      </c>
      <c r="I672" s="8012" t="s">
        <v>1536</v>
      </c>
    </row>
    <row customHeight="1" ht="11.25">
      <c r="A673" s="8012" t="s">
        <v>2173</v>
      </c>
      <c r="B673" s="8012" t="s">
        <v>14</v>
      </c>
      <c r="C673" s="8012" t="s">
        <v>3463</v>
      </c>
      <c r="D673" s="8012" t="s">
        <v>3464</v>
      </c>
      <c r="E673" s="8012" t="s">
        <v>3465</v>
      </c>
      <c r="F673" s="8012" t="s">
        <v>2342</v>
      </c>
      <c r="G673" s="8012" t="s">
        <v>3466</v>
      </c>
      <c r="H673" s="8012" t="s">
        <v>24</v>
      </c>
      <c r="I673" s="8012" t="s">
        <v>1536</v>
      </c>
    </row>
    <row customHeight="1" ht="11.25">
      <c r="A674" s="8012" t="s">
        <v>2173</v>
      </c>
      <c r="B674" s="8012" t="s">
        <v>14</v>
      </c>
      <c r="C674" s="8012" t="s">
        <v>3467</v>
      </c>
      <c r="D674" s="8012" t="s">
        <v>3468</v>
      </c>
      <c r="E674" s="8012" t="s">
        <v>3469</v>
      </c>
      <c r="F674" s="8012" t="s">
        <v>2496</v>
      </c>
      <c r="G674" s="8012" t="s">
        <v>3470</v>
      </c>
      <c r="H674" s="8012" t="s">
        <v>24</v>
      </c>
      <c r="I674" s="8012" t="s">
        <v>1536</v>
      </c>
    </row>
    <row customHeight="1" ht="11.25">
      <c r="A675" s="8012" t="s">
        <v>2173</v>
      </c>
      <c r="B675" s="8012" t="s">
        <v>14</v>
      </c>
      <c r="C675" s="8012" t="s">
        <v>3471</v>
      </c>
      <c r="D675" s="8012" t="s">
        <v>3472</v>
      </c>
      <c r="E675" s="8012" t="s">
        <v>3473</v>
      </c>
      <c r="F675" s="8012" t="s">
        <v>51</v>
      </c>
      <c r="G675" s="8012" t="s">
        <v>3474</v>
      </c>
      <c r="H675" s="8012" t="s">
        <v>24</v>
      </c>
      <c r="I675" s="8012" t="s">
        <v>1536</v>
      </c>
    </row>
    <row customHeight="1" ht="11.25">
      <c r="A676" s="8012" t="s">
        <v>2173</v>
      </c>
      <c r="B676" s="8012" t="s">
        <v>14</v>
      </c>
      <c r="C676" s="8012" t="s">
        <v>3475</v>
      </c>
      <c r="D676" s="8012" t="s">
        <v>3476</v>
      </c>
      <c r="E676" s="8012" t="s">
        <v>3477</v>
      </c>
      <c r="F676" s="8012" t="s">
        <v>2332</v>
      </c>
      <c r="G676" s="8012" t="s">
        <v>3478</v>
      </c>
      <c r="H676" s="8012" t="s">
        <v>24</v>
      </c>
      <c r="I676" s="8012" t="s">
        <v>1536</v>
      </c>
    </row>
    <row customHeight="1" ht="11.25">
      <c r="A677" s="8012" t="s">
        <v>2173</v>
      </c>
      <c r="B677" s="8012" t="s">
        <v>14</v>
      </c>
      <c r="C677" s="8012" t="s">
        <v>3479</v>
      </c>
      <c r="D677" s="8012" t="s">
        <v>3480</v>
      </c>
      <c r="E677" s="8012" t="s">
        <v>3481</v>
      </c>
      <c r="F677" s="8012" t="s">
        <v>2413</v>
      </c>
      <c r="G677" s="8012" t="s">
        <v>3482</v>
      </c>
      <c r="H677" s="8012" t="s">
        <v>24</v>
      </c>
      <c r="I677" s="8012" t="s">
        <v>1536</v>
      </c>
    </row>
    <row customHeight="1" ht="11.25">
      <c r="A678" s="8012" t="s">
        <v>2173</v>
      </c>
      <c r="B678" s="8012" t="s">
        <v>14</v>
      </c>
      <c r="C678" s="8012" t="s">
        <v>3483</v>
      </c>
      <c r="D678" s="8012" t="s">
        <v>3484</v>
      </c>
      <c r="E678" s="8012" t="s">
        <v>3485</v>
      </c>
      <c r="F678" s="8012" t="s">
        <v>2185</v>
      </c>
      <c r="G678" s="8012" t="s">
        <v>3486</v>
      </c>
      <c r="H678" s="8012" t="s">
        <v>24</v>
      </c>
      <c r="I678" s="8012" t="s">
        <v>1536</v>
      </c>
    </row>
    <row customHeight="1" ht="11.25">
      <c r="A679" s="8012" t="s">
        <v>2173</v>
      </c>
      <c r="B679" s="8012" t="s">
        <v>14</v>
      </c>
      <c r="C679" s="8012" t="s">
        <v>3487</v>
      </c>
      <c r="D679" s="8012" t="s">
        <v>3488</v>
      </c>
      <c r="E679" s="8012" t="s">
        <v>3489</v>
      </c>
      <c r="F679" s="8012" t="s">
        <v>2457</v>
      </c>
      <c r="G679" s="8012" t="s">
        <v>24</v>
      </c>
      <c r="H679" s="8012" t="s">
        <v>3490</v>
      </c>
      <c r="I679" s="8012" t="s">
        <v>1536</v>
      </c>
    </row>
    <row customHeight="1" ht="11.25">
      <c r="A680" s="8012" t="s">
        <v>2173</v>
      </c>
      <c r="B680" s="8012" t="s">
        <v>14</v>
      </c>
      <c r="C680" s="8012" t="s">
        <v>3491</v>
      </c>
      <c r="D680" s="8012" t="s">
        <v>3492</v>
      </c>
      <c r="E680" s="8012" t="s">
        <v>3493</v>
      </c>
      <c r="F680" s="8012" t="s">
        <v>51</v>
      </c>
      <c r="G680" s="8012" t="s">
        <v>24</v>
      </c>
      <c r="H680" s="8012" t="s">
        <v>24</v>
      </c>
      <c r="I680" s="8012" t="s">
        <v>1536</v>
      </c>
    </row>
    <row customHeight="1" ht="11.25">
      <c r="A681" s="8012" t="s">
        <v>2173</v>
      </c>
      <c r="B681" s="8012" t="s">
        <v>14</v>
      </c>
      <c r="C681" s="8012" t="s">
        <v>3494</v>
      </c>
      <c r="D681" s="8012" t="s">
        <v>3495</v>
      </c>
      <c r="E681" s="8012" t="s">
        <v>3496</v>
      </c>
      <c r="F681" s="8012" t="s">
        <v>2413</v>
      </c>
      <c r="G681" s="8012" t="s">
        <v>3497</v>
      </c>
      <c r="H681" s="8012" t="s">
        <v>24</v>
      </c>
      <c r="I681" s="8012" t="s">
        <v>1536</v>
      </c>
    </row>
    <row customHeight="1" ht="11.25">
      <c r="A682" s="8012" t="s">
        <v>2173</v>
      </c>
      <c r="B682" s="8012" t="s">
        <v>14</v>
      </c>
      <c r="C682" s="8012" t="s">
        <v>3498</v>
      </c>
      <c r="D682" s="8012" t="s">
        <v>3499</v>
      </c>
      <c r="E682" s="8012" t="s">
        <v>3500</v>
      </c>
      <c r="F682" s="8012" t="s">
        <v>2233</v>
      </c>
      <c r="G682" s="8012" t="s">
        <v>3501</v>
      </c>
      <c r="H682" s="8012" t="s">
        <v>24</v>
      </c>
      <c r="I682" s="8012" t="s">
        <v>1536</v>
      </c>
    </row>
    <row customHeight="1" ht="11.25">
      <c r="A683" s="8012" t="s">
        <v>2173</v>
      </c>
      <c r="B683" s="8012" t="s">
        <v>14</v>
      </c>
      <c r="C683" s="8012" t="s">
        <v>3502</v>
      </c>
      <c r="D683" s="8012" t="s">
        <v>3503</v>
      </c>
      <c r="E683" s="8012" t="s">
        <v>3504</v>
      </c>
      <c r="F683" s="8012" t="s">
        <v>2190</v>
      </c>
      <c r="G683" s="8012" t="s">
        <v>3505</v>
      </c>
      <c r="H683" s="8012" t="s">
        <v>24</v>
      </c>
      <c r="I683" s="8012" t="s">
        <v>1536</v>
      </c>
    </row>
    <row customHeight="1" ht="11.25">
      <c r="A684" s="8012" t="s">
        <v>2173</v>
      </c>
      <c r="B684" s="8012" t="s">
        <v>14</v>
      </c>
      <c r="C684" s="8012" t="s">
        <v>3506</v>
      </c>
      <c r="D684" s="8012" t="s">
        <v>3507</v>
      </c>
      <c r="E684" s="8012" t="s">
        <v>3508</v>
      </c>
      <c r="F684" s="8012" t="s">
        <v>2190</v>
      </c>
      <c r="G684" s="8012" t="s">
        <v>3509</v>
      </c>
      <c r="H684" s="8012" t="s">
        <v>24</v>
      </c>
      <c r="I684" s="8012" t="s">
        <v>1536</v>
      </c>
    </row>
    <row customHeight="1" ht="11.25">
      <c r="A685" s="8012" t="s">
        <v>2173</v>
      </c>
      <c r="B685" s="8012" t="s">
        <v>14</v>
      </c>
      <c r="C685" s="8012" t="s">
        <v>3510</v>
      </c>
      <c r="D685" s="8012" t="s">
        <v>3511</v>
      </c>
      <c r="E685" s="8012" t="s">
        <v>3512</v>
      </c>
      <c r="F685" s="8012" t="s">
        <v>2324</v>
      </c>
      <c r="G685" s="8012" t="s">
        <v>3513</v>
      </c>
      <c r="H685" s="8012" t="s">
        <v>24</v>
      </c>
      <c r="I685" s="8012" t="s">
        <v>1536</v>
      </c>
    </row>
    <row customHeight="1" ht="11.25">
      <c r="A686" s="8012" t="s">
        <v>2173</v>
      </c>
      <c r="B686" s="8012" t="s">
        <v>14</v>
      </c>
      <c r="C686" s="8012" t="s">
        <v>3514</v>
      </c>
      <c r="D686" s="8012" t="s">
        <v>3515</v>
      </c>
      <c r="E686" s="8012" t="s">
        <v>3516</v>
      </c>
      <c r="F686" s="8012" t="s">
        <v>2934</v>
      </c>
      <c r="G686" s="8012" t="s">
        <v>3517</v>
      </c>
      <c r="H686" s="8012" t="s">
        <v>24</v>
      </c>
      <c r="I686" s="8012" t="s">
        <v>1536</v>
      </c>
    </row>
    <row customHeight="1" ht="11.25">
      <c r="A687" s="8012" t="s">
        <v>2173</v>
      </c>
      <c r="B687" s="8012" t="s">
        <v>14</v>
      </c>
      <c r="C687" s="8012" t="s">
        <v>3518</v>
      </c>
      <c r="D687" s="8012" t="s">
        <v>3519</v>
      </c>
      <c r="E687" s="8012" t="s">
        <v>3520</v>
      </c>
      <c r="F687" s="8012" t="s">
        <v>2253</v>
      </c>
      <c r="G687" s="8012" t="s">
        <v>24</v>
      </c>
      <c r="H687" s="8012" t="s">
        <v>24</v>
      </c>
      <c r="I687" s="8012" t="s">
        <v>1536</v>
      </c>
    </row>
    <row customHeight="1" ht="11.25">
      <c r="A688" s="8012" t="s">
        <v>2173</v>
      </c>
      <c r="B688" s="8012" t="s">
        <v>14</v>
      </c>
      <c r="C688" s="8012" t="s">
        <v>3521</v>
      </c>
      <c r="D688" s="8012" t="s">
        <v>3522</v>
      </c>
      <c r="E688" s="8012" t="s">
        <v>3523</v>
      </c>
      <c r="F688" s="8012" t="s">
        <v>2390</v>
      </c>
      <c r="G688" s="8012" t="s">
        <v>24</v>
      </c>
      <c r="H688" s="8012" t="s">
        <v>24</v>
      </c>
      <c r="I688" s="8012" t="s">
        <v>1536</v>
      </c>
    </row>
    <row customHeight="1" ht="11.25">
      <c r="A689" s="8012" t="s">
        <v>2173</v>
      </c>
      <c r="B689" s="8012" t="s">
        <v>14</v>
      </c>
      <c r="C689" s="8012" t="s">
        <v>3524</v>
      </c>
      <c r="D689" s="8012" t="s">
        <v>3525</v>
      </c>
      <c r="E689" s="8012" t="s">
        <v>3526</v>
      </c>
      <c r="F689" s="8012" t="s">
        <v>2190</v>
      </c>
      <c r="G689" s="8012" t="s">
        <v>24</v>
      </c>
      <c r="H689" s="8012" t="s">
        <v>24</v>
      </c>
      <c r="I689" s="8012" t="s">
        <v>1536</v>
      </c>
    </row>
    <row customHeight="1" ht="11.25">
      <c r="A690" s="8012" t="s">
        <v>2173</v>
      </c>
      <c r="B690" s="8012" t="s">
        <v>14</v>
      </c>
      <c r="C690" s="8012" t="s">
        <v>3527</v>
      </c>
      <c r="D690" s="8012" t="s">
        <v>3528</v>
      </c>
      <c r="E690" s="8012" t="s">
        <v>3529</v>
      </c>
      <c r="F690" s="8012" t="s">
        <v>2365</v>
      </c>
      <c r="G690" s="8012" t="s">
        <v>24</v>
      </c>
      <c r="H690" s="8012" t="s">
        <v>24</v>
      </c>
      <c r="I690" s="8012" t="s">
        <v>1536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77036-BAD8-2AFD-FBD2-1F91A278DC95}" mc:Ignorable="x14ac xr xr2 xr3">
  <sheetPr>
    <tabColor rgb="FFFFCC99"/>
  </sheetPr>
  <dimension ref="A1:G107"/>
  <sheetViews>
    <sheetView topLeftCell="A1" showGridLines="0" workbookViewId="0">
      <selection activeCell="A1" sqref="A1"/>
    </sheetView>
  </sheetViews>
  <sheetFormatPr customHeight="1" defaultRowHeight="11.25"/>
  <cols>
    <col min="1" max="1" style="17942" width="9.140625"/>
  </cols>
  <sheetData>
    <row customHeight="1" ht="11.25">
      <c r="A1" s="596" t="s">
        <v>3530</v>
      </c>
      <c r="B1" s="284" t="s">
        <v>3531</v>
      </c>
      <c r="C1" s="284" t="s">
        <v>3532</v>
      </c>
      <c r="D1" s="284" t="s">
        <v>3533</v>
      </c>
      <c r="E1" s="146" t="s">
        <v>3534</v>
      </c>
      <c r="F1" s="146" t="s">
        <v>3535</v>
      </c>
      <c r="G1" s="146" t="s">
        <v>3536</v>
      </c>
    </row>
    <row customHeight="1" ht="11.25">
      <c r="A2" s="596" t="s">
        <v>14</v>
      </c>
      <c r="B2" s="0" t="s">
        <v>3537</v>
      </c>
      <c r="C2" s="0" t="s">
        <v>3538</v>
      </c>
      <c r="D2" s="0" t="s">
        <v>3537</v>
      </c>
      <c r="E2" s="0" t="s">
        <v>3538</v>
      </c>
      <c r="F2" s="0" t="s">
        <v>3539</v>
      </c>
      <c r="G2" s="0" t="s">
        <v>108</v>
      </c>
    </row>
    <row customHeight="1" ht="11.25">
      <c r="A3" s="596" t="s">
        <v>14</v>
      </c>
      <c r="B3" s="0" t="s">
        <v>3540</v>
      </c>
      <c r="C3" s="0" t="s">
        <v>3541</v>
      </c>
      <c r="D3" s="0" t="s">
        <v>3540</v>
      </c>
      <c r="E3" s="0" t="s">
        <v>3541</v>
      </c>
      <c r="F3" s="0" t="s">
        <v>3542</v>
      </c>
      <c r="G3" s="0" t="s">
        <v>109</v>
      </c>
    </row>
    <row customHeight="1" ht="11.25">
      <c r="A4" s="596" t="s">
        <v>14</v>
      </c>
      <c r="B4" s="0" t="s">
        <v>3543</v>
      </c>
      <c r="C4" s="0" t="s">
        <v>3544</v>
      </c>
      <c r="D4" s="0" t="s">
        <v>3543</v>
      </c>
      <c r="E4" s="0" t="s">
        <v>3544</v>
      </c>
      <c r="F4" s="0" t="s">
        <v>3542</v>
      </c>
      <c r="G4" s="0" t="s">
        <v>89</v>
      </c>
    </row>
    <row customHeight="1" ht="11.25">
      <c r="A5" s="596" t="s">
        <v>14</v>
      </c>
      <c r="B5" s="0" t="s">
        <v>3545</v>
      </c>
      <c r="C5" s="0" t="s">
        <v>3546</v>
      </c>
      <c r="D5" s="0" t="s">
        <v>3545</v>
      </c>
      <c r="E5" s="0" t="s">
        <v>3546</v>
      </c>
      <c r="F5" s="0" t="s">
        <v>3542</v>
      </c>
      <c r="G5" s="0" t="s">
        <v>90</v>
      </c>
    </row>
    <row customHeight="1" ht="11.25">
      <c r="A6" s="596" t="s">
        <v>14</v>
      </c>
      <c r="B6" s="0" t="s">
        <v>3547</v>
      </c>
      <c r="C6" s="0" t="s">
        <v>3548</v>
      </c>
      <c r="D6" s="0" t="s">
        <v>3547</v>
      </c>
      <c r="E6" s="0" t="s">
        <v>3548</v>
      </c>
      <c r="F6" s="0" t="s">
        <v>3542</v>
      </c>
      <c r="G6" s="0" t="s">
        <v>110</v>
      </c>
    </row>
    <row customHeight="1" ht="11.25">
      <c r="A7" s="596" t="s">
        <v>14</v>
      </c>
      <c r="B7" s="0" t="s">
        <v>3549</v>
      </c>
      <c r="C7" s="0" t="s">
        <v>3550</v>
      </c>
      <c r="D7" s="0" t="s">
        <v>3549</v>
      </c>
      <c r="E7" s="0" t="s">
        <v>3550</v>
      </c>
      <c r="F7" s="0" t="s">
        <v>3542</v>
      </c>
      <c r="G7" s="0" t="s">
        <v>91</v>
      </c>
    </row>
    <row customHeight="1" ht="11.25">
      <c r="A8" s="596" t="s">
        <v>14</v>
      </c>
      <c r="B8" s="0" t="s">
        <v>3551</v>
      </c>
      <c r="C8" s="0" t="s">
        <v>3552</v>
      </c>
      <c r="D8" s="0" t="s">
        <v>3551</v>
      </c>
      <c r="E8" s="0" t="s">
        <v>3552</v>
      </c>
      <c r="F8" s="0" t="s">
        <v>3542</v>
      </c>
      <c r="G8" s="0" t="s">
        <v>92</v>
      </c>
    </row>
    <row customHeight="1" ht="11.25">
      <c r="A9" s="596" t="s">
        <v>14</v>
      </c>
      <c r="B9" s="0" t="s">
        <v>3553</v>
      </c>
      <c r="C9" s="0" t="s">
        <v>3554</v>
      </c>
      <c r="D9" s="0" t="s">
        <v>3555</v>
      </c>
      <c r="E9" s="0" t="s">
        <v>3556</v>
      </c>
      <c r="F9" s="0" t="s">
        <v>3557</v>
      </c>
      <c r="G9" s="0" t="s">
        <v>111</v>
      </c>
    </row>
    <row customHeight="1" ht="11.25">
      <c r="A10" s="596" t="s">
        <v>14</v>
      </c>
      <c r="B10" s="0" t="s">
        <v>3553</v>
      </c>
      <c r="C10" s="0" t="s">
        <v>3554</v>
      </c>
      <c r="D10" s="0" t="s">
        <v>3553</v>
      </c>
      <c r="E10" s="0" t="s">
        <v>3554</v>
      </c>
      <c r="F10" s="0" t="s">
        <v>3558</v>
      </c>
      <c r="G10" s="0" t="s">
        <v>147</v>
      </c>
    </row>
    <row customHeight="1" ht="11.25">
      <c r="A11" s="596" t="s">
        <v>14</v>
      </c>
      <c r="B11" s="0" t="s">
        <v>3553</v>
      </c>
      <c r="C11" s="0" t="s">
        <v>3554</v>
      </c>
      <c r="D11" s="0" t="s">
        <v>3559</v>
      </c>
      <c r="E11" s="0" t="s">
        <v>3560</v>
      </c>
      <c r="F11" s="0" t="s">
        <v>3557</v>
      </c>
      <c r="G11" s="0" t="s">
        <v>148</v>
      </c>
    </row>
    <row customHeight="1" ht="11.25">
      <c r="A12" s="596" t="s">
        <v>14</v>
      </c>
      <c r="B12" s="0" t="s">
        <v>3553</v>
      </c>
      <c r="C12" s="0" t="s">
        <v>3554</v>
      </c>
      <c r="D12" s="0" t="s">
        <v>3561</v>
      </c>
      <c r="E12" s="0" t="s">
        <v>3562</v>
      </c>
      <c r="F12" s="0" t="s">
        <v>3563</v>
      </c>
      <c r="G12" s="0" t="s">
        <v>149</v>
      </c>
    </row>
    <row customHeight="1" ht="11.25">
      <c r="A13" s="596" t="s">
        <v>14</v>
      </c>
      <c r="B13" s="0" t="s">
        <v>3553</v>
      </c>
      <c r="C13" s="0" t="s">
        <v>3554</v>
      </c>
      <c r="D13" s="0" t="s">
        <v>3564</v>
      </c>
      <c r="E13" s="0" t="s">
        <v>3565</v>
      </c>
      <c r="F13" s="0" t="s">
        <v>3557</v>
      </c>
      <c r="G13" s="0" t="s">
        <v>150</v>
      </c>
    </row>
    <row customHeight="1" ht="11.25">
      <c r="A14" s="596" t="s">
        <v>14</v>
      </c>
      <c r="B14" s="0" t="s">
        <v>3553</v>
      </c>
      <c r="C14" s="0" t="s">
        <v>3554</v>
      </c>
      <c r="D14" s="0" t="s">
        <v>3566</v>
      </c>
      <c r="E14" s="0" t="s">
        <v>3567</v>
      </c>
      <c r="F14" s="0" t="s">
        <v>3557</v>
      </c>
      <c r="G14" s="0" t="s">
        <v>151</v>
      </c>
    </row>
    <row customHeight="1" ht="11.25">
      <c r="A15" s="596" t="s">
        <v>14</v>
      </c>
      <c r="B15" s="0" t="s">
        <v>3553</v>
      </c>
      <c r="C15" s="0" t="s">
        <v>3554</v>
      </c>
      <c r="D15" s="0" t="s">
        <v>3568</v>
      </c>
      <c r="E15" s="0" t="s">
        <v>3569</v>
      </c>
      <c r="F15" s="0" t="s">
        <v>3557</v>
      </c>
      <c r="G15" s="0" t="s">
        <v>152</v>
      </c>
    </row>
    <row customHeight="1" ht="11.25">
      <c r="A16" s="596" t="s">
        <v>14</v>
      </c>
      <c r="B16" s="0" t="s">
        <v>3553</v>
      </c>
      <c r="C16" s="0" t="s">
        <v>3554</v>
      </c>
      <c r="D16" s="0" t="s">
        <v>3570</v>
      </c>
      <c r="E16" s="0" t="s">
        <v>3571</v>
      </c>
      <c r="F16" s="0" t="s">
        <v>3557</v>
      </c>
      <c r="G16" s="0" t="s">
        <v>1381</v>
      </c>
    </row>
    <row customHeight="1" ht="11.25">
      <c r="A17" s="596" t="s">
        <v>14</v>
      </c>
      <c r="B17" s="0" t="s">
        <v>3572</v>
      </c>
      <c r="C17" s="0" t="s">
        <v>3573</v>
      </c>
      <c r="D17" s="0" t="s">
        <v>3572</v>
      </c>
      <c r="E17" s="0" t="s">
        <v>3573</v>
      </c>
      <c r="F17" s="0" t="s">
        <v>3539</v>
      </c>
      <c r="G17" s="0" t="s">
        <v>1387</v>
      </c>
    </row>
    <row customHeight="1" ht="11.25">
      <c r="A18" s="596" t="s">
        <v>14</v>
      </c>
      <c r="B18" s="0" t="s">
        <v>3574</v>
      </c>
      <c r="C18" s="0" t="s">
        <v>3575</v>
      </c>
      <c r="D18" s="0" t="s">
        <v>3576</v>
      </c>
      <c r="E18" s="0" t="s">
        <v>3577</v>
      </c>
      <c r="F18" s="0" t="s">
        <v>3557</v>
      </c>
      <c r="G18" s="0" t="s">
        <v>1398</v>
      </c>
    </row>
    <row customHeight="1" ht="11.25">
      <c r="A19" s="596" t="s">
        <v>14</v>
      </c>
      <c r="B19" s="0" t="s">
        <v>3574</v>
      </c>
      <c r="C19" s="0" t="s">
        <v>3575</v>
      </c>
      <c r="D19" s="0" t="s">
        <v>3578</v>
      </c>
      <c r="E19" s="0" t="s">
        <v>3579</v>
      </c>
      <c r="F19" s="0" t="s">
        <v>3580</v>
      </c>
      <c r="G19" s="0" t="s">
        <v>1412</v>
      </c>
    </row>
    <row customHeight="1" ht="11.25">
      <c r="A20" s="596" t="s">
        <v>14</v>
      </c>
      <c r="B20" s="0" t="s">
        <v>3574</v>
      </c>
      <c r="C20" s="0" t="s">
        <v>3575</v>
      </c>
      <c r="D20" s="0" t="s">
        <v>3574</v>
      </c>
      <c r="E20" s="0" t="s">
        <v>3575</v>
      </c>
      <c r="F20" s="0" t="s">
        <v>3558</v>
      </c>
      <c r="G20" s="0" t="s">
        <v>1424</v>
      </c>
    </row>
    <row customHeight="1" ht="11.25">
      <c r="A21" s="596" t="s">
        <v>14</v>
      </c>
      <c r="B21" s="0" t="s">
        <v>3574</v>
      </c>
      <c r="C21" s="0" t="s">
        <v>3575</v>
      </c>
      <c r="D21" s="0" t="s">
        <v>3581</v>
      </c>
      <c r="E21" s="0" t="s">
        <v>3582</v>
      </c>
      <c r="F21" s="0" t="s">
        <v>3580</v>
      </c>
      <c r="G21" s="0" t="s">
        <v>1433</v>
      </c>
    </row>
    <row customHeight="1" ht="11.25">
      <c r="A22" s="596" t="s">
        <v>14</v>
      </c>
      <c r="B22" s="0" t="s">
        <v>3574</v>
      </c>
      <c r="C22" s="0" t="s">
        <v>3575</v>
      </c>
      <c r="D22" s="0" t="s">
        <v>3583</v>
      </c>
      <c r="E22" s="0" t="s">
        <v>3584</v>
      </c>
      <c r="F22" s="0" t="s">
        <v>3557</v>
      </c>
      <c r="G22" s="0" t="s">
        <v>1449</v>
      </c>
    </row>
    <row customHeight="1" ht="11.25">
      <c r="A23" s="596" t="s">
        <v>14</v>
      </c>
      <c r="B23" s="0" t="s">
        <v>3574</v>
      </c>
      <c r="C23" s="0" t="s">
        <v>3575</v>
      </c>
      <c r="D23" s="0" t="s">
        <v>3585</v>
      </c>
      <c r="E23" s="0" t="s">
        <v>3586</v>
      </c>
      <c r="F23" s="0" t="s">
        <v>3563</v>
      </c>
      <c r="G23" s="0" t="s">
        <v>1456</v>
      </c>
    </row>
    <row customHeight="1" ht="11.25">
      <c r="A24" s="596" t="s">
        <v>14</v>
      </c>
      <c r="B24" s="0" t="s">
        <v>3574</v>
      </c>
      <c r="C24" s="0" t="s">
        <v>3575</v>
      </c>
      <c r="D24" s="0" t="s">
        <v>3587</v>
      </c>
      <c r="E24" s="0" t="s">
        <v>3588</v>
      </c>
      <c r="F24" s="0" t="s">
        <v>3557</v>
      </c>
      <c r="G24" s="0" t="s">
        <v>1464</v>
      </c>
    </row>
    <row customHeight="1" ht="11.25">
      <c r="A25" s="596" t="s">
        <v>14</v>
      </c>
      <c r="B25" s="0" t="s">
        <v>3574</v>
      </c>
      <c r="C25" s="0" t="s">
        <v>3575</v>
      </c>
      <c r="D25" s="0" t="s">
        <v>3589</v>
      </c>
      <c r="E25" s="0" t="s">
        <v>3590</v>
      </c>
      <c r="F25" s="0" t="s">
        <v>3557</v>
      </c>
      <c r="G25" s="0" t="s">
        <v>1471</v>
      </c>
    </row>
    <row customHeight="1" ht="11.25">
      <c r="A26" s="596" t="s">
        <v>14</v>
      </c>
      <c r="B26" s="0" t="s">
        <v>3591</v>
      </c>
      <c r="C26" s="0" t="s">
        <v>3592</v>
      </c>
      <c r="D26" s="0" t="s">
        <v>3591</v>
      </c>
      <c r="E26" s="0" t="s">
        <v>3592</v>
      </c>
      <c r="F26" s="0" t="s">
        <v>3539</v>
      </c>
      <c r="G26" s="0" t="s">
        <v>1475</v>
      </c>
    </row>
    <row customHeight="1" ht="11.25">
      <c r="A27" s="596" t="s">
        <v>14</v>
      </c>
      <c r="B27" s="0" t="s">
        <v>3593</v>
      </c>
      <c r="C27" s="0" t="s">
        <v>3594</v>
      </c>
      <c r="D27" s="0" t="s">
        <v>3595</v>
      </c>
      <c r="E27" s="0" t="s">
        <v>3596</v>
      </c>
      <c r="F27" s="0" t="s">
        <v>3580</v>
      </c>
      <c r="G27" s="0" t="s">
        <v>1480</v>
      </c>
    </row>
    <row customHeight="1" ht="11.25">
      <c r="A28" s="596" t="s">
        <v>14</v>
      </c>
      <c r="B28" s="0" t="s">
        <v>3593</v>
      </c>
      <c r="C28" s="0" t="s">
        <v>3594</v>
      </c>
      <c r="D28" s="0" t="s">
        <v>3597</v>
      </c>
      <c r="E28" s="0" t="s">
        <v>3598</v>
      </c>
      <c r="F28" s="0" t="s">
        <v>3557</v>
      </c>
      <c r="G28" s="0" t="s">
        <v>1488</v>
      </c>
    </row>
    <row customHeight="1" ht="11.25">
      <c r="A29" s="596" t="s">
        <v>14</v>
      </c>
      <c r="B29" s="0" t="s">
        <v>3593</v>
      </c>
      <c r="C29" s="0" t="s">
        <v>3594</v>
      </c>
      <c r="D29" s="0" t="s">
        <v>3599</v>
      </c>
      <c r="E29" s="0" t="s">
        <v>3600</v>
      </c>
      <c r="F29" s="0" t="s">
        <v>3557</v>
      </c>
      <c r="G29" s="0" t="s">
        <v>1490</v>
      </c>
    </row>
    <row customHeight="1" ht="11.25">
      <c r="A30" s="596" t="s">
        <v>14</v>
      </c>
      <c r="B30" s="0" t="s">
        <v>3593</v>
      </c>
      <c r="C30" s="0" t="s">
        <v>3594</v>
      </c>
      <c r="D30" s="0" t="s">
        <v>3601</v>
      </c>
      <c r="E30" s="0" t="s">
        <v>3602</v>
      </c>
      <c r="F30" s="0" t="s">
        <v>3557</v>
      </c>
      <c r="G30" s="0" t="s">
        <v>1493</v>
      </c>
    </row>
    <row customHeight="1" ht="11.25">
      <c r="A31" s="596" t="s">
        <v>14</v>
      </c>
      <c r="B31" s="0" t="s">
        <v>3593</v>
      </c>
      <c r="C31" s="0" t="s">
        <v>3594</v>
      </c>
      <c r="D31" s="0" t="s">
        <v>3603</v>
      </c>
      <c r="E31" s="0" t="s">
        <v>3604</v>
      </c>
      <c r="F31" s="0" t="s">
        <v>3557</v>
      </c>
      <c r="G31" s="0" t="s">
        <v>1498</v>
      </c>
    </row>
    <row customHeight="1" ht="11.25">
      <c r="A32" s="596" t="s">
        <v>14</v>
      </c>
      <c r="B32" s="0" t="s">
        <v>3593</v>
      </c>
      <c r="C32" s="0" t="s">
        <v>3594</v>
      </c>
      <c r="D32" s="0" t="s">
        <v>3593</v>
      </c>
      <c r="E32" s="0" t="s">
        <v>3594</v>
      </c>
      <c r="F32" s="0" t="s">
        <v>3558</v>
      </c>
      <c r="G32" s="0" t="s">
        <v>1500</v>
      </c>
    </row>
    <row customHeight="1" ht="11.25">
      <c r="A33" s="596" t="s">
        <v>14</v>
      </c>
      <c r="B33" s="0" t="s">
        <v>3593</v>
      </c>
      <c r="C33" s="0" t="s">
        <v>3594</v>
      </c>
      <c r="D33" s="0" t="s">
        <v>3605</v>
      </c>
      <c r="E33" s="0" t="s">
        <v>3606</v>
      </c>
      <c r="F33" s="0" t="s">
        <v>3557</v>
      </c>
      <c r="G33" s="0" t="s">
        <v>1502</v>
      </c>
    </row>
    <row customHeight="1" ht="11.25">
      <c r="A34" s="596" t="s">
        <v>14</v>
      </c>
      <c r="B34" s="0" t="s">
        <v>3593</v>
      </c>
      <c r="C34" s="0" t="s">
        <v>3594</v>
      </c>
      <c r="D34" s="0" t="s">
        <v>3607</v>
      </c>
      <c r="E34" s="0" t="s">
        <v>3608</v>
      </c>
      <c r="F34" s="0" t="s">
        <v>3557</v>
      </c>
      <c r="G34" s="0" t="s">
        <v>1504</v>
      </c>
    </row>
    <row customHeight="1" ht="11.25">
      <c r="A35" s="596" t="s">
        <v>14</v>
      </c>
      <c r="B35" s="0" t="s">
        <v>3593</v>
      </c>
      <c r="C35" s="0" t="s">
        <v>3594</v>
      </c>
      <c r="D35" s="0" t="s">
        <v>3609</v>
      </c>
      <c r="E35" s="0" t="s">
        <v>3610</v>
      </c>
      <c r="F35" s="0" t="s">
        <v>3557</v>
      </c>
      <c r="G35" s="0" t="s">
        <v>1509</v>
      </c>
    </row>
    <row customHeight="1" ht="11.25">
      <c r="A36" s="596" t="s">
        <v>14</v>
      </c>
      <c r="B36" s="0" t="s">
        <v>3593</v>
      </c>
      <c r="C36" s="0" t="s">
        <v>3594</v>
      </c>
      <c r="D36" s="0" t="s">
        <v>3611</v>
      </c>
      <c r="E36" s="0" t="s">
        <v>3612</v>
      </c>
      <c r="F36" s="0" t="s">
        <v>3557</v>
      </c>
      <c r="G36" s="0" t="s">
        <v>1514</v>
      </c>
    </row>
    <row customHeight="1" ht="11.25">
      <c r="A37" s="596" t="s">
        <v>14</v>
      </c>
      <c r="B37" s="0" t="s">
        <v>3593</v>
      </c>
      <c r="C37" s="0" t="s">
        <v>3594</v>
      </c>
      <c r="D37" s="0" t="s">
        <v>3613</v>
      </c>
      <c r="E37" s="0" t="s">
        <v>3614</v>
      </c>
      <c r="F37" s="0" t="s">
        <v>3557</v>
      </c>
      <c r="G37" s="0" t="s">
        <v>1518</v>
      </c>
    </row>
    <row customHeight="1" ht="11.25">
      <c r="A38" s="596" t="s">
        <v>14</v>
      </c>
      <c r="B38" s="0" t="s">
        <v>3615</v>
      </c>
      <c r="C38" s="0" t="s">
        <v>3616</v>
      </c>
      <c r="D38" s="0" t="s">
        <v>3615</v>
      </c>
      <c r="E38" s="0" t="s">
        <v>3616</v>
      </c>
      <c r="F38" s="0" t="s">
        <v>3539</v>
      </c>
      <c r="G38" s="0" t="s">
        <v>1526</v>
      </c>
    </row>
    <row customHeight="1" ht="11.25">
      <c r="A39" s="596" t="s">
        <v>14</v>
      </c>
      <c r="B39" s="0" t="s">
        <v>3617</v>
      </c>
      <c r="C39" s="0" t="s">
        <v>3618</v>
      </c>
      <c r="D39" s="0" t="s">
        <v>3617</v>
      </c>
      <c r="E39" s="0" t="s">
        <v>3618</v>
      </c>
      <c r="F39" s="0" t="s">
        <v>3542</v>
      </c>
      <c r="G39" s="0" t="s">
        <v>1532</v>
      </c>
    </row>
    <row customHeight="1" ht="11.25">
      <c r="A40" s="596" t="s">
        <v>14</v>
      </c>
      <c r="B40" s="0" t="s">
        <v>3619</v>
      </c>
      <c r="C40" s="0" t="s">
        <v>3620</v>
      </c>
      <c r="D40" s="0" t="s">
        <v>3621</v>
      </c>
      <c r="E40" s="0" t="s">
        <v>3622</v>
      </c>
      <c r="F40" s="0" t="s">
        <v>3557</v>
      </c>
      <c r="G40" s="0" t="s">
        <v>1537</v>
      </c>
    </row>
    <row customHeight="1" ht="11.25">
      <c r="A41" s="596" t="s">
        <v>14</v>
      </c>
      <c r="B41" s="0" t="s">
        <v>3619</v>
      </c>
      <c r="C41" s="0" t="s">
        <v>3620</v>
      </c>
      <c r="D41" s="0" t="s">
        <v>3623</v>
      </c>
      <c r="E41" s="0" t="s">
        <v>3624</v>
      </c>
      <c r="F41" s="0" t="s">
        <v>3557</v>
      </c>
      <c r="G41" s="0" t="s">
        <v>1541</v>
      </c>
    </row>
    <row customHeight="1" ht="11.25">
      <c r="A42" s="596" t="s">
        <v>14</v>
      </c>
      <c r="B42" s="0" t="s">
        <v>3619</v>
      </c>
      <c r="C42" s="0" t="s">
        <v>3620</v>
      </c>
      <c r="D42" s="0" t="s">
        <v>3625</v>
      </c>
      <c r="E42" s="0" t="s">
        <v>3626</v>
      </c>
      <c r="F42" s="0" t="s">
        <v>3557</v>
      </c>
      <c r="G42" s="0" t="s">
        <v>1544</v>
      </c>
    </row>
    <row customHeight="1" ht="11.25">
      <c r="A43" s="596" t="s">
        <v>14</v>
      </c>
      <c r="B43" s="0" t="s">
        <v>3619</v>
      </c>
      <c r="C43" s="0" t="s">
        <v>3620</v>
      </c>
      <c r="D43" s="0" t="s">
        <v>3619</v>
      </c>
      <c r="E43" s="0" t="s">
        <v>3620</v>
      </c>
      <c r="F43" s="0" t="s">
        <v>3558</v>
      </c>
      <c r="G43" s="0" t="s">
        <v>1551</v>
      </c>
    </row>
    <row customHeight="1" ht="11.25">
      <c r="A44" s="596" t="s">
        <v>14</v>
      </c>
      <c r="B44" s="0" t="s">
        <v>3619</v>
      </c>
      <c r="C44" s="0" t="s">
        <v>3620</v>
      </c>
      <c r="D44" s="0" t="s">
        <v>3627</v>
      </c>
      <c r="E44" s="0" t="s">
        <v>3628</v>
      </c>
      <c r="F44" s="0" t="s">
        <v>3557</v>
      </c>
      <c r="G44" s="0" t="s">
        <v>1560</v>
      </c>
    </row>
    <row customHeight="1" ht="11.25">
      <c r="A45" s="596" t="s">
        <v>14</v>
      </c>
      <c r="B45" s="0" t="s">
        <v>3619</v>
      </c>
      <c r="C45" s="0" t="s">
        <v>3620</v>
      </c>
      <c r="D45" s="0" t="s">
        <v>3629</v>
      </c>
      <c r="E45" s="0" t="s">
        <v>3630</v>
      </c>
      <c r="F45" s="0" t="s">
        <v>3580</v>
      </c>
      <c r="G45" s="0" t="s">
        <v>1565</v>
      </c>
    </row>
    <row customHeight="1" ht="11.25">
      <c r="A46" s="596" t="s">
        <v>14</v>
      </c>
      <c r="B46" s="0" t="s">
        <v>3619</v>
      </c>
      <c r="C46" s="0" t="s">
        <v>3620</v>
      </c>
      <c r="D46" s="0" t="s">
        <v>3631</v>
      </c>
      <c r="E46" s="0" t="s">
        <v>3632</v>
      </c>
      <c r="F46" s="0" t="s">
        <v>3557</v>
      </c>
      <c r="G46" s="0" t="s">
        <v>1569</v>
      </c>
    </row>
    <row customHeight="1" ht="11.25">
      <c r="A47" s="596" t="s">
        <v>14</v>
      </c>
      <c r="B47" s="0" t="s">
        <v>3619</v>
      </c>
      <c r="C47" s="0" t="s">
        <v>3620</v>
      </c>
      <c r="D47" s="0" t="s">
        <v>3633</v>
      </c>
      <c r="E47" s="0" t="s">
        <v>3634</v>
      </c>
      <c r="F47" s="0" t="s">
        <v>3557</v>
      </c>
      <c r="G47" s="0" t="s">
        <v>1575</v>
      </c>
    </row>
    <row customHeight="1" ht="11.25">
      <c r="A48" s="596" t="s">
        <v>14</v>
      </c>
      <c r="B48" s="0" t="s">
        <v>3635</v>
      </c>
      <c r="C48" s="0" t="s">
        <v>3636</v>
      </c>
      <c r="D48" s="0" t="s">
        <v>3635</v>
      </c>
      <c r="E48" s="0" t="s">
        <v>3636</v>
      </c>
      <c r="F48" s="0" t="s">
        <v>3558</v>
      </c>
      <c r="G48" s="0" t="s">
        <v>1579</v>
      </c>
    </row>
    <row customHeight="1" ht="11.25">
      <c r="A49" s="596" t="s">
        <v>14</v>
      </c>
      <c r="B49" s="0" t="s">
        <v>3635</v>
      </c>
      <c r="C49" s="0" t="s">
        <v>3636</v>
      </c>
      <c r="D49" s="0" t="s">
        <v>3637</v>
      </c>
      <c r="E49" s="0" t="s">
        <v>3638</v>
      </c>
      <c r="F49" s="0" t="s">
        <v>3557</v>
      </c>
      <c r="G49" s="0" t="s">
        <v>1582</v>
      </c>
    </row>
    <row customHeight="1" ht="11.25">
      <c r="A50" s="596" t="s">
        <v>14</v>
      </c>
      <c r="B50" s="0" t="s">
        <v>3635</v>
      </c>
      <c r="C50" s="0" t="s">
        <v>3636</v>
      </c>
      <c r="D50" s="0" t="s">
        <v>3639</v>
      </c>
      <c r="E50" s="0" t="s">
        <v>3640</v>
      </c>
      <c r="F50" s="0" t="s">
        <v>3557</v>
      </c>
      <c r="G50" s="0" t="s">
        <v>1586</v>
      </c>
    </row>
    <row customHeight="1" ht="11.25">
      <c r="A51" s="596" t="s">
        <v>14</v>
      </c>
      <c r="B51" s="0" t="s">
        <v>3635</v>
      </c>
      <c r="C51" s="0" t="s">
        <v>3636</v>
      </c>
      <c r="D51" s="0" t="s">
        <v>3641</v>
      </c>
      <c r="E51" s="0" t="s">
        <v>3642</v>
      </c>
      <c r="F51" s="0" t="s">
        <v>3557</v>
      </c>
      <c r="G51" s="0" t="s">
        <v>1590</v>
      </c>
    </row>
    <row customHeight="1" ht="11.25">
      <c r="A52" s="596" t="s">
        <v>14</v>
      </c>
      <c r="B52" s="0" t="s">
        <v>3643</v>
      </c>
      <c r="C52" s="0" t="s">
        <v>3644</v>
      </c>
      <c r="D52" s="0" t="s">
        <v>3643</v>
      </c>
      <c r="E52" s="0" t="s">
        <v>3644</v>
      </c>
      <c r="F52" s="0" t="s">
        <v>3542</v>
      </c>
      <c r="G52" s="0" t="s">
        <v>1594</v>
      </c>
    </row>
    <row customHeight="1" ht="11.25">
      <c r="A53" s="596" t="s">
        <v>14</v>
      </c>
      <c r="B53" s="0" t="s">
        <v>3645</v>
      </c>
      <c r="C53" s="0" t="s">
        <v>3646</v>
      </c>
      <c r="D53" s="0" t="s">
        <v>3645</v>
      </c>
      <c r="E53" s="0" t="s">
        <v>3646</v>
      </c>
      <c r="F53" s="0" t="s">
        <v>3539</v>
      </c>
      <c r="G53" s="0" t="s">
        <v>1596</v>
      </c>
    </row>
    <row customHeight="1" ht="11.25">
      <c r="A54" s="596" t="s">
        <v>14</v>
      </c>
      <c r="B54" s="0" t="s">
        <v>3647</v>
      </c>
      <c r="C54" s="0" t="s">
        <v>3648</v>
      </c>
      <c r="D54" s="0" t="s">
        <v>3647</v>
      </c>
      <c r="E54" s="0" t="s">
        <v>3648</v>
      </c>
      <c r="F54" s="0" t="s">
        <v>3539</v>
      </c>
      <c r="G54" s="0" t="s">
        <v>1599</v>
      </c>
    </row>
    <row customHeight="1" ht="11.25">
      <c r="A55" s="596" t="s">
        <v>14</v>
      </c>
      <c r="B55" s="0" t="s">
        <v>3649</v>
      </c>
      <c r="C55" s="0" t="s">
        <v>3650</v>
      </c>
      <c r="D55" s="0" t="s">
        <v>3649</v>
      </c>
      <c r="E55" s="0" t="s">
        <v>3650</v>
      </c>
      <c r="F55" s="0" t="s">
        <v>3542</v>
      </c>
      <c r="G55" s="0" t="s">
        <v>1603</v>
      </c>
    </row>
    <row customHeight="1" ht="11.25">
      <c r="A56" s="596" t="s">
        <v>14</v>
      </c>
      <c r="B56" s="0" t="s">
        <v>3651</v>
      </c>
      <c r="C56" s="0" t="s">
        <v>3652</v>
      </c>
      <c r="D56" s="0" t="s">
        <v>3651</v>
      </c>
      <c r="E56" s="0" t="s">
        <v>3652</v>
      </c>
      <c r="F56" s="0" t="s">
        <v>3539</v>
      </c>
      <c r="G56" s="0" t="s">
        <v>1606</v>
      </c>
    </row>
    <row customHeight="1" ht="11.25">
      <c r="A57" s="596" t="s">
        <v>14</v>
      </c>
      <c r="B57" s="0" t="s">
        <v>3653</v>
      </c>
      <c r="C57" s="0" t="s">
        <v>3654</v>
      </c>
      <c r="D57" s="0" t="s">
        <v>3655</v>
      </c>
      <c r="E57" s="0" t="s">
        <v>3656</v>
      </c>
      <c r="F57" s="0" t="s">
        <v>3557</v>
      </c>
      <c r="G57" s="0" t="s">
        <v>1609</v>
      </c>
    </row>
    <row customHeight="1" ht="11.25">
      <c r="A58" s="596" t="s">
        <v>14</v>
      </c>
      <c r="B58" s="0" t="s">
        <v>3653</v>
      </c>
      <c r="C58" s="0" t="s">
        <v>3654</v>
      </c>
      <c r="D58" s="0" t="s">
        <v>3657</v>
      </c>
      <c r="E58" s="0" t="s">
        <v>3658</v>
      </c>
      <c r="F58" s="0" t="s">
        <v>3557</v>
      </c>
      <c r="G58" s="0" t="s">
        <v>1612</v>
      </c>
    </row>
    <row customHeight="1" ht="11.25">
      <c r="A59" s="596" t="s">
        <v>14</v>
      </c>
      <c r="B59" s="0" t="s">
        <v>3653</v>
      </c>
      <c r="C59" s="0" t="s">
        <v>3654</v>
      </c>
      <c r="D59" s="0" t="s">
        <v>3659</v>
      </c>
      <c r="E59" s="0" t="s">
        <v>3660</v>
      </c>
      <c r="F59" s="0" t="s">
        <v>3557</v>
      </c>
      <c r="G59" s="0" t="s">
        <v>1616</v>
      </c>
    </row>
    <row customHeight="1" ht="11.25">
      <c r="A60" s="596" t="s">
        <v>14</v>
      </c>
      <c r="B60" s="0" t="s">
        <v>3653</v>
      </c>
      <c r="C60" s="0" t="s">
        <v>3654</v>
      </c>
      <c r="D60" s="0" t="s">
        <v>3661</v>
      </c>
      <c r="E60" s="0" t="s">
        <v>3662</v>
      </c>
      <c r="F60" s="0" t="s">
        <v>3563</v>
      </c>
      <c r="G60" s="0" t="s">
        <v>1619</v>
      </c>
    </row>
    <row customHeight="1" ht="11.25">
      <c r="A61" s="596" t="s">
        <v>14</v>
      </c>
      <c r="B61" s="0" t="s">
        <v>3653</v>
      </c>
      <c r="C61" s="0" t="s">
        <v>3654</v>
      </c>
      <c r="D61" s="0" t="s">
        <v>3663</v>
      </c>
      <c r="E61" s="0" t="s">
        <v>3664</v>
      </c>
      <c r="F61" s="0" t="s">
        <v>3557</v>
      </c>
      <c r="G61" s="0" t="s">
        <v>3665</v>
      </c>
    </row>
    <row customHeight="1" ht="11.25">
      <c r="A62" s="596" t="s">
        <v>14</v>
      </c>
      <c r="B62" s="0" t="s">
        <v>3653</v>
      </c>
      <c r="C62" s="0" t="s">
        <v>3654</v>
      </c>
      <c r="D62" s="0" t="s">
        <v>3666</v>
      </c>
      <c r="E62" s="0" t="s">
        <v>3667</v>
      </c>
      <c r="F62" s="0" t="s">
        <v>3557</v>
      </c>
      <c r="G62" s="0" t="s">
        <v>3668</v>
      </c>
    </row>
    <row customHeight="1" ht="11.25">
      <c r="A63" s="596" t="s">
        <v>14</v>
      </c>
      <c r="B63" s="0" t="s">
        <v>3653</v>
      </c>
      <c r="C63" s="0" t="s">
        <v>3654</v>
      </c>
      <c r="D63" s="0" t="s">
        <v>3653</v>
      </c>
      <c r="E63" s="0" t="s">
        <v>3654</v>
      </c>
      <c r="F63" s="0" t="s">
        <v>3558</v>
      </c>
      <c r="G63" s="0" t="s">
        <v>3669</v>
      </c>
    </row>
    <row customHeight="1" ht="11.25">
      <c r="A64" s="596" t="s">
        <v>14</v>
      </c>
      <c r="B64" s="0" t="s">
        <v>3653</v>
      </c>
      <c r="C64" s="0" t="s">
        <v>3654</v>
      </c>
      <c r="D64" s="0" t="s">
        <v>3670</v>
      </c>
      <c r="E64" s="0" t="s">
        <v>3671</v>
      </c>
      <c r="F64" s="0" t="s">
        <v>3557</v>
      </c>
      <c r="G64" s="0" t="s">
        <v>3672</v>
      </c>
    </row>
    <row customHeight="1" ht="11.25">
      <c r="A65" s="596" t="s">
        <v>14</v>
      </c>
      <c r="B65" s="0" t="s">
        <v>3673</v>
      </c>
      <c r="C65" s="0" t="s">
        <v>3674</v>
      </c>
      <c r="D65" s="0" t="s">
        <v>3673</v>
      </c>
      <c r="E65" s="0" t="s">
        <v>3674</v>
      </c>
      <c r="F65" s="0" t="s">
        <v>3539</v>
      </c>
      <c r="G65" s="0" t="s">
        <v>3675</v>
      </c>
    </row>
    <row customHeight="1" ht="11.25">
      <c r="A66" s="596" t="s">
        <v>14</v>
      </c>
      <c r="B66" s="0" t="s">
        <v>3676</v>
      </c>
      <c r="C66" s="0" t="s">
        <v>3677</v>
      </c>
      <c r="D66" s="0" t="s">
        <v>3676</v>
      </c>
      <c r="E66" s="0" t="s">
        <v>3677</v>
      </c>
      <c r="F66" s="0" t="s">
        <v>3539</v>
      </c>
      <c r="G66" s="0" t="s">
        <v>3678</v>
      </c>
    </row>
    <row customHeight="1" ht="11.25">
      <c r="A67" s="596" t="s">
        <v>14</v>
      </c>
      <c r="B67" s="0" t="s">
        <v>3679</v>
      </c>
      <c r="C67" s="0" t="s">
        <v>3680</v>
      </c>
      <c r="D67" s="0" t="s">
        <v>3681</v>
      </c>
      <c r="E67" s="0" t="s">
        <v>3682</v>
      </c>
      <c r="F67" s="0" t="s">
        <v>3557</v>
      </c>
      <c r="G67" s="0" t="s">
        <v>1939</v>
      </c>
    </row>
    <row customHeight="1" ht="11.25">
      <c r="A68" s="596" t="s">
        <v>14</v>
      </c>
      <c r="B68" s="0" t="s">
        <v>3679</v>
      </c>
      <c r="C68" s="0" t="s">
        <v>3680</v>
      </c>
      <c r="D68" s="0" t="s">
        <v>3683</v>
      </c>
      <c r="E68" s="0" t="s">
        <v>3684</v>
      </c>
      <c r="F68" s="0" t="s">
        <v>3557</v>
      </c>
      <c r="G68" s="0" t="s">
        <v>3685</v>
      </c>
    </row>
    <row customHeight="1" ht="11.25">
      <c r="A69" s="596" t="s">
        <v>14</v>
      </c>
      <c r="B69" s="0" t="s">
        <v>3679</v>
      </c>
      <c r="C69" s="0" t="s">
        <v>3680</v>
      </c>
      <c r="D69" s="0" t="s">
        <v>3686</v>
      </c>
      <c r="E69" s="0" t="s">
        <v>3687</v>
      </c>
      <c r="F69" s="0" t="s">
        <v>3557</v>
      </c>
      <c r="G69" s="0" t="s">
        <v>2150</v>
      </c>
    </row>
    <row customHeight="1" ht="11.25">
      <c r="A70" s="596" t="s">
        <v>14</v>
      </c>
      <c r="B70" s="0" t="s">
        <v>3679</v>
      </c>
      <c r="C70" s="0" t="s">
        <v>3680</v>
      </c>
      <c r="D70" s="0" t="s">
        <v>3688</v>
      </c>
      <c r="E70" s="0" t="s">
        <v>3689</v>
      </c>
      <c r="F70" s="0" t="s">
        <v>3557</v>
      </c>
      <c r="G70" s="0" t="s">
        <v>3690</v>
      </c>
    </row>
    <row customHeight="1" ht="11.25">
      <c r="A71" s="596" t="s">
        <v>14</v>
      </c>
      <c r="B71" s="0" t="s">
        <v>3679</v>
      </c>
      <c r="C71" s="0" t="s">
        <v>3680</v>
      </c>
      <c r="D71" s="0" t="s">
        <v>3691</v>
      </c>
      <c r="E71" s="0" t="s">
        <v>3692</v>
      </c>
      <c r="F71" s="0" t="s">
        <v>3557</v>
      </c>
      <c r="G71" s="0" t="s">
        <v>3693</v>
      </c>
    </row>
    <row customHeight="1" ht="11.25">
      <c r="A72" s="596" t="s">
        <v>14</v>
      </c>
      <c r="B72" s="0" t="s">
        <v>3679</v>
      </c>
      <c r="C72" s="0" t="s">
        <v>3680</v>
      </c>
      <c r="D72" s="0" t="s">
        <v>3679</v>
      </c>
      <c r="E72" s="0" t="s">
        <v>3680</v>
      </c>
      <c r="F72" s="0" t="s">
        <v>3558</v>
      </c>
      <c r="G72" s="0" t="s">
        <v>3694</v>
      </c>
    </row>
    <row customHeight="1" ht="11.25">
      <c r="A73" s="596" t="s">
        <v>14</v>
      </c>
      <c r="B73" s="0" t="s">
        <v>3679</v>
      </c>
      <c r="C73" s="0" t="s">
        <v>3680</v>
      </c>
      <c r="D73" s="0" t="s">
        <v>3695</v>
      </c>
      <c r="E73" s="0" t="s">
        <v>3696</v>
      </c>
      <c r="F73" s="0" t="s">
        <v>3557</v>
      </c>
      <c r="G73" s="0" t="s">
        <v>3697</v>
      </c>
    </row>
    <row customHeight="1" ht="11.25">
      <c r="A74" s="596" t="s">
        <v>14</v>
      </c>
      <c r="B74" s="0" t="s">
        <v>3679</v>
      </c>
      <c r="C74" s="0" t="s">
        <v>3680</v>
      </c>
      <c r="D74" s="0" t="s">
        <v>3698</v>
      </c>
      <c r="E74" s="0" t="s">
        <v>3699</v>
      </c>
      <c r="F74" s="0" t="s">
        <v>3557</v>
      </c>
      <c r="G74" s="0" t="s">
        <v>3700</v>
      </c>
    </row>
    <row customHeight="1" ht="11.25">
      <c r="A75" s="596" t="s">
        <v>14</v>
      </c>
      <c r="B75" s="0" t="s">
        <v>3679</v>
      </c>
      <c r="C75" s="0" t="s">
        <v>3680</v>
      </c>
      <c r="D75" s="0" t="s">
        <v>3701</v>
      </c>
      <c r="E75" s="0" t="s">
        <v>3702</v>
      </c>
      <c r="F75" s="0" t="s">
        <v>3557</v>
      </c>
      <c r="G75" s="0" t="s">
        <v>3703</v>
      </c>
    </row>
    <row customHeight="1" ht="11.25">
      <c r="A76" s="596" t="s">
        <v>14</v>
      </c>
      <c r="B76" s="0" t="s">
        <v>3704</v>
      </c>
      <c r="C76" s="0" t="s">
        <v>3705</v>
      </c>
      <c r="D76" s="0" t="s">
        <v>3704</v>
      </c>
      <c r="E76" s="0" t="s">
        <v>3705</v>
      </c>
      <c r="F76" s="0" t="s">
        <v>3539</v>
      </c>
      <c r="G76" s="0" t="s">
        <v>3706</v>
      </c>
    </row>
    <row customHeight="1" ht="11.25">
      <c r="A77" s="596" t="s">
        <v>14</v>
      </c>
      <c r="B77" s="0" t="s">
        <v>3707</v>
      </c>
      <c r="C77" s="0" t="s">
        <v>3708</v>
      </c>
      <c r="D77" s="0" t="s">
        <v>3707</v>
      </c>
      <c r="E77" s="0" t="s">
        <v>3708</v>
      </c>
      <c r="F77" s="0" t="s">
        <v>3542</v>
      </c>
      <c r="G77" s="0" t="s">
        <v>3709</v>
      </c>
    </row>
    <row customHeight="1" ht="11.25">
      <c r="A78" s="596" t="s">
        <v>14</v>
      </c>
      <c r="B78" s="0" t="s">
        <v>3710</v>
      </c>
      <c r="C78" s="0" t="s">
        <v>3711</v>
      </c>
      <c r="D78" s="0" t="s">
        <v>3710</v>
      </c>
      <c r="E78" s="0" t="s">
        <v>3711</v>
      </c>
      <c r="F78" s="0" t="s">
        <v>3539</v>
      </c>
      <c r="G78" s="0" t="s">
        <v>3712</v>
      </c>
    </row>
    <row customHeight="1" ht="11.25">
      <c r="A79" s="596" t="s">
        <v>14</v>
      </c>
      <c r="B79" s="0" t="s">
        <v>3713</v>
      </c>
      <c r="C79" s="0" t="s">
        <v>3714</v>
      </c>
      <c r="D79" s="0" t="s">
        <v>3713</v>
      </c>
      <c r="E79" s="0" t="s">
        <v>3714</v>
      </c>
      <c r="F79" s="0" t="s">
        <v>3539</v>
      </c>
      <c r="G79" s="0" t="s">
        <v>3715</v>
      </c>
    </row>
    <row customHeight="1" ht="11.25">
      <c r="A80" s="596" t="s">
        <v>14</v>
      </c>
      <c r="B80" s="0" t="s">
        <v>3716</v>
      </c>
      <c r="C80" s="0" t="s">
        <v>3717</v>
      </c>
      <c r="D80" s="0" t="s">
        <v>3716</v>
      </c>
      <c r="E80" s="0" t="s">
        <v>3717</v>
      </c>
      <c r="F80" s="0" t="s">
        <v>3539</v>
      </c>
      <c r="G80" s="0" t="s">
        <v>3718</v>
      </c>
    </row>
    <row customHeight="1" ht="11.25">
      <c r="A81" s="596" t="s">
        <v>14</v>
      </c>
      <c r="B81" s="0" t="s">
        <v>3719</v>
      </c>
      <c r="C81" s="0" t="s">
        <v>3720</v>
      </c>
      <c r="D81" s="0" t="s">
        <v>3719</v>
      </c>
      <c r="E81" s="0" t="s">
        <v>3720</v>
      </c>
      <c r="F81" s="0" t="s">
        <v>3539</v>
      </c>
      <c r="G81" s="0" t="s">
        <v>3721</v>
      </c>
    </row>
    <row customHeight="1" ht="11.25">
      <c r="A82" s="596" t="s">
        <v>14</v>
      </c>
      <c r="B82" s="0" t="s">
        <v>3722</v>
      </c>
      <c r="C82" s="0" t="s">
        <v>3723</v>
      </c>
      <c r="D82" s="0" t="s">
        <v>3724</v>
      </c>
      <c r="E82" s="0" t="s">
        <v>3725</v>
      </c>
      <c r="F82" s="0" t="s">
        <v>3557</v>
      </c>
      <c r="G82" s="0" t="s">
        <v>3726</v>
      </c>
    </row>
    <row customHeight="1" ht="11.25">
      <c r="A83" s="596" t="s">
        <v>14</v>
      </c>
      <c r="B83" s="0" t="s">
        <v>3722</v>
      </c>
      <c r="C83" s="0" t="s">
        <v>3723</v>
      </c>
      <c r="D83" s="0" t="s">
        <v>3727</v>
      </c>
      <c r="E83" s="0" t="s">
        <v>3728</v>
      </c>
      <c r="F83" s="0" t="s">
        <v>3563</v>
      </c>
      <c r="G83" s="0" t="s">
        <v>3729</v>
      </c>
    </row>
    <row customHeight="1" ht="11.25">
      <c r="A84" s="596" t="s">
        <v>14</v>
      </c>
      <c r="B84" s="0" t="s">
        <v>3722</v>
      </c>
      <c r="C84" s="0" t="s">
        <v>3723</v>
      </c>
      <c r="D84" s="0" t="s">
        <v>3730</v>
      </c>
      <c r="E84" s="0" t="s">
        <v>3731</v>
      </c>
      <c r="F84" s="0" t="s">
        <v>3557</v>
      </c>
      <c r="G84" s="0" t="s">
        <v>3732</v>
      </c>
    </row>
    <row customHeight="1" ht="11.25">
      <c r="A85" s="596" t="s">
        <v>14</v>
      </c>
      <c r="B85" s="0" t="s">
        <v>3722</v>
      </c>
      <c r="C85" s="0" t="s">
        <v>3723</v>
      </c>
      <c r="D85" s="0" t="s">
        <v>3733</v>
      </c>
      <c r="E85" s="0" t="s">
        <v>3734</v>
      </c>
      <c r="F85" s="0" t="s">
        <v>3580</v>
      </c>
      <c r="G85" s="0" t="s">
        <v>3735</v>
      </c>
    </row>
    <row customHeight="1" ht="11.25">
      <c r="A86" s="596" t="s">
        <v>14</v>
      </c>
      <c r="B86" s="0" t="s">
        <v>3722</v>
      </c>
      <c r="C86" s="0" t="s">
        <v>3723</v>
      </c>
      <c r="D86" s="0" t="s">
        <v>3736</v>
      </c>
      <c r="E86" s="0" t="s">
        <v>3737</v>
      </c>
      <c r="F86" s="0" t="s">
        <v>3557</v>
      </c>
      <c r="G86" s="0" t="s">
        <v>3738</v>
      </c>
    </row>
    <row customHeight="1" ht="11.25">
      <c r="A87" s="596" t="s">
        <v>14</v>
      </c>
      <c r="B87" s="0" t="s">
        <v>3722</v>
      </c>
      <c r="C87" s="0" t="s">
        <v>3723</v>
      </c>
      <c r="D87" s="0" t="s">
        <v>3722</v>
      </c>
      <c r="E87" s="0" t="s">
        <v>3723</v>
      </c>
      <c r="F87" s="0" t="s">
        <v>3558</v>
      </c>
      <c r="G87" s="0" t="s">
        <v>3739</v>
      </c>
    </row>
    <row customHeight="1" ht="11.25">
      <c r="A88" s="596" t="s">
        <v>14</v>
      </c>
      <c r="B88" s="0" t="s">
        <v>3722</v>
      </c>
      <c r="C88" s="0" t="s">
        <v>3723</v>
      </c>
      <c r="D88" s="0" t="s">
        <v>3740</v>
      </c>
      <c r="E88" s="0" t="s">
        <v>3741</v>
      </c>
      <c r="F88" s="0" t="s">
        <v>3557</v>
      </c>
      <c r="G88" s="0" t="s">
        <v>3742</v>
      </c>
    </row>
    <row customHeight="1" ht="11.25">
      <c r="A89" s="596" t="s">
        <v>14</v>
      </c>
      <c r="B89" s="0" t="s">
        <v>3743</v>
      </c>
      <c r="C89" s="0" t="s">
        <v>3744</v>
      </c>
      <c r="D89" s="0" t="s">
        <v>3743</v>
      </c>
      <c r="E89" s="0" t="s">
        <v>3744</v>
      </c>
      <c r="F89" s="0" t="s">
        <v>3539</v>
      </c>
      <c r="G89" s="0" t="s">
        <v>3745</v>
      </c>
    </row>
    <row customHeight="1" ht="11.25">
      <c r="A90" s="596" t="s">
        <v>14</v>
      </c>
      <c r="B90" s="0" t="s">
        <v>3746</v>
      </c>
      <c r="C90" s="0" t="s">
        <v>3747</v>
      </c>
      <c r="D90" s="0" t="s">
        <v>3746</v>
      </c>
      <c r="E90" s="0" t="s">
        <v>3747</v>
      </c>
      <c r="F90" s="0" t="s">
        <v>3539</v>
      </c>
      <c r="G90" s="0" t="s">
        <v>3748</v>
      </c>
    </row>
    <row customHeight="1" ht="11.25">
      <c r="A91" s="596" t="s">
        <v>14</v>
      </c>
      <c r="B91" s="0" t="s">
        <v>3749</v>
      </c>
      <c r="C91" s="0" t="s">
        <v>3750</v>
      </c>
      <c r="D91" s="0" t="s">
        <v>3751</v>
      </c>
      <c r="E91" s="0" t="s">
        <v>3752</v>
      </c>
      <c r="F91" s="0" t="s">
        <v>3557</v>
      </c>
      <c r="G91" s="0" t="s">
        <v>3753</v>
      </c>
    </row>
    <row customHeight="1" ht="11.25">
      <c r="A92" s="596" t="s">
        <v>14</v>
      </c>
      <c r="B92" s="0" t="s">
        <v>3749</v>
      </c>
      <c r="C92" s="0" t="s">
        <v>3750</v>
      </c>
      <c r="D92" s="0" t="s">
        <v>3754</v>
      </c>
      <c r="E92" s="0" t="s">
        <v>3755</v>
      </c>
      <c r="F92" s="0" t="s">
        <v>3557</v>
      </c>
      <c r="G92" s="0" t="s">
        <v>3756</v>
      </c>
    </row>
    <row customHeight="1" ht="11.25">
      <c r="A93" s="596" t="s">
        <v>14</v>
      </c>
      <c r="B93" s="0" t="s">
        <v>3749</v>
      </c>
      <c r="C93" s="0" t="s">
        <v>3750</v>
      </c>
      <c r="D93" s="0" t="s">
        <v>3757</v>
      </c>
      <c r="E93" s="0" t="s">
        <v>3758</v>
      </c>
      <c r="F93" s="0" t="s">
        <v>3557</v>
      </c>
      <c r="G93" s="0" t="s">
        <v>3759</v>
      </c>
    </row>
    <row customHeight="1" ht="11.25">
      <c r="A94" s="596" t="s">
        <v>14</v>
      </c>
      <c r="B94" s="0" t="s">
        <v>3749</v>
      </c>
      <c r="C94" s="0" t="s">
        <v>3750</v>
      </c>
      <c r="D94" s="0" t="s">
        <v>3760</v>
      </c>
      <c r="E94" s="0" t="s">
        <v>3761</v>
      </c>
      <c r="F94" s="0" t="s">
        <v>3580</v>
      </c>
      <c r="G94" s="0" t="s">
        <v>3762</v>
      </c>
    </row>
    <row customHeight="1" ht="11.25">
      <c r="A95" s="596" t="s">
        <v>14</v>
      </c>
      <c r="B95" s="0" t="s">
        <v>3749</v>
      </c>
      <c r="C95" s="0" t="s">
        <v>3750</v>
      </c>
      <c r="D95" s="0" t="s">
        <v>3763</v>
      </c>
      <c r="E95" s="0" t="s">
        <v>3764</v>
      </c>
      <c r="F95" s="0" t="s">
        <v>3557</v>
      </c>
      <c r="G95" s="0" t="s">
        <v>3765</v>
      </c>
    </row>
    <row customHeight="1" ht="11.25">
      <c r="A96" s="596" t="s">
        <v>14</v>
      </c>
      <c r="B96" s="0" t="s">
        <v>3749</v>
      </c>
      <c r="C96" s="0" t="s">
        <v>3750</v>
      </c>
      <c r="D96" s="0" t="s">
        <v>3749</v>
      </c>
      <c r="E96" s="0" t="s">
        <v>3750</v>
      </c>
      <c r="F96" s="0" t="s">
        <v>3558</v>
      </c>
      <c r="G96" s="0" t="s">
        <v>3766</v>
      </c>
    </row>
    <row customHeight="1" ht="11.25">
      <c r="A97" s="596" t="s">
        <v>14</v>
      </c>
      <c r="B97" s="0" t="s">
        <v>3749</v>
      </c>
      <c r="C97" s="0" t="s">
        <v>3750</v>
      </c>
      <c r="D97" s="0" t="s">
        <v>3767</v>
      </c>
      <c r="E97" s="0" t="s">
        <v>3768</v>
      </c>
      <c r="F97" s="0" t="s">
        <v>3580</v>
      </c>
      <c r="G97" s="0" t="s">
        <v>3769</v>
      </c>
    </row>
    <row customHeight="1" ht="11.25">
      <c r="A98" s="596" t="s">
        <v>14</v>
      </c>
      <c r="B98" s="0" t="s">
        <v>3749</v>
      </c>
      <c r="C98" s="0" t="s">
        <v>3750</v>
      </c>
      <c r="D98" s="0" t="s">
        <v>3770</v>
      </c>
      <c r="E98" s="0" t="s">
        <v>3771</v>
      </c>
      <c r="F98" s="0" t="s">
        <v>3557</v>
      </c>
      <c r="G98" s="0" t="s">
        <v>3772</v>
      </c>
    </row>
    <row customHeight="1" ht="11.25">
      <c r="A99" s="596" t="s">
        <v>14</v>
      </c>
      <c r="B99" s="0" t="s">
        <v>3773</v>
      </c>
      <c r="C99" s="0" t="s">
        <v>3774</v>
      </c>
      <c r="D99" s="0" t="s">
        <v>3773</v>
      </c>
      <c r="E99" s="0" t="s">
        <v>3774</v>
      </c>
      <c r="F99" s="0" t="s">
        <v>3539</v>
      </c>
      <c r="G99" s="0" t="s">
        <v>3775</v>
      </c>
    </row>
    <row customHeight="1" ht="11.25">
      <c r="A100" s="596" t="s">
        <v>14</v>
      </c>
      <c r="B100" s="0" t="s">
        <v>3776</v>
      </c>
      <c r="C100" s="0" t="s">
        <v>3777</v>
      </c>
      <c r="D100" s="0" t="s">
        <v>3778</v>
      </c>
      <c r="E100" s="0" t="s">
        <v>3779</v>
      </c>
      <c r="F100" s="0" t="s">
        <v>3557</v>
      </c>
      <c r="G100" s="0" t="s">
        <v>3780</v>
      </c>
    </row>
    <row customHeight="1" ht="11.25">
      <c r="A101" s="596" t="s">
        <v>14</v>
      </c>
      <c r="B101" s="0" t="s">
        <v>3776</v>
      </c>
      <c r="C101" s="0" t="s">
        <v>3777</v>
      </c>
      <c r="D101" s="0" t="s">
        <v>3781</v>
      </c>
      <c r="E101" s="0" t="s">
        <v>3782</v>
      </c>
      <c r="F101" s="0" t="s">
        <v>3557</v>
      </c>
      <c r="G101" s="0" t="s">
        <v>3783</v>
      </c>
    </row>
    <row customHeight="1" ht="11.25">
      <c r="A102" s="596" t="s">
        <v>14</v>
      </c>
      <c r="B102" s="0" t="s">
        <v>3776</v>
      </c>
      <c r="C102" s="0" t="s">
        <v>3777</v>
      </c>
      <c r="D102" s="0" t="s">
        <v>3784</v>
      </c>
      <c r="E102" s="0" t="s">
        <v>3785</v>
      </c>
      <c r="F102" s="0" t="s">
        <v>3557</v>
      </c>
      <c r="G102" s="0" t="s">
        <v>3786</v>
      </c>
    </row>
    <row customHeight="1" ht="11.25">
      <c r="A103" s="596" t="s">
        <v>14</v>
      </c>
      <c r="B103" s="0" t="s">
        <v>3776</v>
      </c>
      <c r="C103" s="0" t="s">
        <v>3777</v>
      </c>
      <c r="D103" s="0" t="s">
        <v>3787</v>
      </c>
      <c r="E103" s="0" t="s">
        <v>3788</v>
      </c>
      <c r="F103" s="0" t="s">
        <v>3557</v>
      </c>
      <c r="G103" s="0" t="s">
        <v>3789</v>
      </c>
    </row>
    <row customHeight="1" ht="11.25">
      <c r="A104" s="596" t="s">
        <v>14</v>
      </c>
      <c r="B104" s="0" t="s">
        <v>3776</v>
      </c>
      <c r="C104" s="0" t="s">
        <v>3777</v>
      </c>
      <c r="D104" s="0" t="s">
        <v>3776</v>
      </c>
      <c r="E104" s="0" t="s">
        <v>3777</v>
      </c>
      <c r="F104" s="0" t="s">
        <v>3558</v>
      </c>
      <c r="G104" s="0" t="s">
        <v>3790</v>
      </c>
    </row>
    <row customHeight="1" ht="11.25">
      <c r="A105" s="596" t="s">
        <v>14</v>
      </c>
      <c r="B105" s="0" t="s">
        <v>3776</v>
      </c>
      <c r="C105" s="0" t="s">
        <v>3777</v>
      </c>
      <c r="D105" s="0" t="s">
        <v>3791</v>
      </c>
      <c r="E105" s="0" t="s">
        <v>3792</v>
      </c>
      <c r="F105" s="0" t="s">
        <v>3557</v>
      </c>
      <c r="G105" s="0" t="s">
        <v>3793</v>
      </c>
    </row>
    <row customHeight="1" ht="11.25">
      <c r="A106" s="596" t="s">
        <v>14</v>
      </c>
      <c r="B106" s="0" t="s">
        <v>99</v>
      </c>
      <c r="C106" s="0" t="s">
        <v>100</v>
      </c>
      <c r="D106" s="0" t="s">
        <v>99</v>
      </c>
      <c r="E106" s="0" t="s">
        <v>100</v>
      </c>
      <c r="F106" s="0" t="s">
        <v>3542</v>
      </c>
      <c r="G106" s="0" t="s">
        <v>3794</v>
      </c>
    </row>
    <row customHeight="1" ht="11.25">
      <c r="A107" s="596" t="s">
        <v>14</v>
      </c>
      <c r="B107" s="0" t="s">
        <v>3795</v>
      </c>
      <c r="C107" s="0" t="s">
        <v>3796</v>
      </c>
      <c r="D107" s="0" t="s">
        <v>3795</v>
      </c>
      <c r="E107" s="0" t="s">
        <v>3796</v>
      </c>
      <c r="F107" s="0" t="s">
        <v>3542</v>
      </c>
      <c r="G107" s="0" t="s">
        <v>3797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54F92-0E87-3EBA-C969-DB1455B1868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7971" width="13.8515625" customWidth="1"/>
    <col min="2" max="2" style="17971" width="10.421875" customWidth="1"/>
    <col min="3" max="3" style="17972" width="7.57421875" customWidth="1"/>
    <col min="4" max="4" style="17971" width="13.8515625" customWidth="1"/>
    <col min="5" max="5" style="17971" width="11.57421875" customWidth="1"/>
    <col min="6" max="6" style="17971" width="16.28125" customWidth="1"/>
    <col min="7" max="7" style="17971" width="16.00390625" customWidth="1"/>
    <col min="8" max="9" style="17971" width="16.140625" customWidth="1"/>
  </cols>
  <sheetData>
    <row customHeight="1" ht="11.25">
      <c r="A1" s="1058" t="s">
        <v>3798</v>
      </c>
      <c r="B1" s="1058" t="s">
        <v>3799</v>
      </c>
      <c r="C1" s="1384" t="s">
        <v>3800</v>
      </c>
      <c r="D1" s="1058" t="s">
        <v>3801</v>
      </c>
      <c r="E1" s="1058" t="s">
        <v>3802</v>
      </c>
      <c r="F1" s="1384" t="s">
        <v>3803</v>
      </c>
      <c r="G1" s="1384" t="s">
        <v>3804</v>
      </c>
      <c r="H1" s="1384" t="s">
        <v>3805</v>
      </c>
      <c r="I1" s="1384" t="s">
        <v>3806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34ED4-0C0D-4D02-5D8D-F9BF9075530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0BE9E-753D-F7B6-BE2C-6443A3C4B1E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129</v>
      </c>
      <c r="B1" s="80" t="s">
        <v>3807</v>
      </c>
    </row>
    <row customHeight="1" ht="11.25">
      <c r="A2" s="80" t="s">
        <v>97</v>
      </c>
      <c r="B2" s="80" t="s">
        <v>3808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09E12-44AC-F04E-40C1-C8E6FC73918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971" width="9.140625"/>
    <col min="2" max="2" style="17971" width="65.28125" customWidth="1"/>
  </cols>
  <sheetData>
    <row customHeight="1" ht="11.25">
      <c r="A1" s="1058" t="s">
        <v>3809</v>
      </c>
      <c r="B1" s="1058" t="s">
        <v>3810</v>
      </c>
    </row>
    <row customHeight="1" ht="11.25">
      <c r="A2" s="1058">
        <v>4213775</v>
      </c>
      <c r="B2" s="1058" t="s">
        <v>1140</v>
      </c>
    </row>
    <row customHeight="1" ht="11.25">
      <c r="A3" s="1058">
        <v>4213784</v>
      </c>
      <c r="B3" s="1058" t="s">
        <v>1174</v>
      </c>
    </row>
    <row customHeight="1" ht="11.25">
      <c r="A4" s="1058">
        <v>4213781</v>
      </c>
      <c r="B4" s="1058" t="s">
        <v>1167</v>
      </c>
    </row>
    <row customHeight="1" ht="11.25">
      <c r="A5" s="1058">
        <v>4213776</v>
      </c>
      <c r="B5" s="1058" t="s">
        <v>165</v>
      </c>
    </row>
    <row customHeight="1" ht="11.25">
      <c r="A6" s="1058">
        <v>4213777</v>
      </c>
      <c r="B6" s="1058" t="s">
        <v>171</v>
      </c>
    </row>
    <row customHeight="1" ht="11.25">
      <c r="A7" s="1058">
        <v>4213778</v>
      </c>
      <c r="B7" s="1058" t="s">
        <v>177</v>
      </c>
    </row>
    <row customHeight="1" ht="11.25">
      <c r="A8" s="1058">
        <v>4213780</v>
      </c>
      <c r="B8" s="1058" t="s">
        <v>183</v>
      </c>
    </row>
    <row customHeight="1" ht="11.25">
      <c r="A9" s="1058">
        <v>4213779</v>
      </c>
      <c r="B9" s="1058" t="s">
        <v>1307</v>
      </c>
    </row>
    <row customHeight="1" ht="11.25">
      <c r="A10" s="1058">
        <v>4213783</v>
      </c>
      <c r="B10" s="1058" t="s">
        <v>201</v>
      </c>
    </row>
    <row customHeight="1" ht="11.25">
      <c r="A11" s="1058">
        <v>4213782</v>
      </c>
      <c r="B11" s="1058"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6EABA-F121-E197-F638-833D70D1F4A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971" width="9.140625"/>
    <col min="2" max="2" style="17971" width="65.28125" customWidth="1"/>
  </cols>
  <sheetData>
    <row customHeight="1" ht="11.25">
      <c r="A1" s="1058" t="s">
        <v>3809</v>
      </c>
      <c r="B1" s="1058" t="s">
        <v>3811</v>
      </c>
    </row>
    <row customHeight="1" ht="11.25">
      <c r="A2" s="1058" t="s">
        <v>3812</v>
      </c>
      <c r="B2" s="1058" t="s">
        <v>1420</v>
      </c>
    </row>
    <row customHeight="1" ht="11.25">
      <c r="A3" s="1058" t="s">
        <v>3813</v>
      </c>
      <c r="B3" s="1058" t="s">
        <v>1430</v>
      </c>
    </row>
    <row customHeight="1" ht="11.25">
      <c r="A4" s="1058" t="s">
        <v>3814</v>
      </c>
      <c r="B4" s="1058" t="s">
        <v>1439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BF251-F50B-A31F-F17A-AB8D38E35B5C}"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596" t="s">
        <v>3530</v>
      </c>
      <c r="B1" s="596" t="s">
        <v>3531</v>
      </c>
      <c r="C1" s="596" t="s">
        <v>3532</v>
      </c>
      <c r="D1" s="596" t="s">
        <v>3533</v>
      </c>
      <c r="E1" s="0" t="s">
        <v>3534</v>
      </c>
      <c r="F1" s="0" t="s">
        <v>3535</v>
      </c>
      <c r="G1" s="0" t="s">
        <v>3536</v>
      </c>
    </row>
    <row customHeight="1" ht="11.25">
      <c r="A2" s="0" t="s">
        <v>14</v>
      </c>
      <c r="B2" s="0" t="s">
        <v>3537</v>
      </c>
      <c r="C2" s="0" t="s">
        <v>3538</v>
      </c>
      <c r="D2" s="0" t="s">
        <v>3537</v>
      </c>
      <c r="E2" s="0" t="s">
        <v>3538</v>
      </c>
      <c r="F2" s="0" t="s">
        <v>3539</v>
      </c>
      <c r="G2" s="0" t="s">
        <v>108</v>
      </c>
    </row>
    <row customHeight="1" ht="11.25">
      <c r="A3" s="0" t="s">
        <v>14</v>
      </c>
      <c r="B3" s="0" t="s">
        <v>3815</v>
      </c>
      <c r="C3" s="0" t="s">
        <v>3816</v>
      </c>
      <c r="D3" s="0" t="s">
        <v>3815</v>
      </c>
      <c r="E3" s="0" t="s">
        <v>3816</v>
      </c>
      <c r="F3" s="0" t="s">
        <v>3558</v>
      </c>
      <c r="G3" s="0" t="s">
        <v>109</v>
      </c>
    </row>
    <row customHeight="1" ht="11.25">
      <c r="A4" s="0" t="s">
        <v>14</v>
      </c>
      <c r="B4" s="0" t="s">
        <v>3815</v>
      </c>
      <c r="C4" s="0" t="s">
        <v>3816</v>
      </c>
      <c r="D4" s="0" t="s">
        <v>3817</v>
      </c>
      <c r="E4" s="0" t="s">
        <v>3818</v>
      </c>
      <c r="F4" s="0" t="s">
        <v>3557</v>
      </c>
      <c r="G4" s="0" t="s">
        <v>89</v>
      </c>
    </row>
    <row customHeight="1" ht="11.25">
      <c r="A5" s="0" t="s">
        <v>14</v>
      </c>
      <c r="B5" s="0" t="s">
        <v>3815</v>
      </c>
      <c r="C5" s="0" t="s">
        <v>3816</v>
      </c>
      <c r="D5" s="0" t="s">
        <v>3819</v>
      </c>
      <c r="E5" s="0" t="s">
        <v>3820</v>
      </c>
      <c r="F5" s="0" t="s">
        <v>3557</v>
      </c>
      <c r="G5" s="0" t="s">
        <v>90</v>
      </c>
    </row>
    <row customHeight="1" ht="11.25">
      <c r="A6" s="0" t="s">
        <v>14</v>
      </c>
      <c r="B6" s="0" t="s">
        <v>3815</v>
      </c>
      <c r="C6" s="0" t="s">
        <v>3816</v>
      </c>
      <c r="D6" s="0" t="s">
        <v>3821</v>
      </c>
      <c r="E6" s="0" t="s">
        <v>3822</v>
      </c>
      <c r="F6" s="0" t="s">
        <v>3557</v>
      </c>
      <c r="G6" s="0" t="s">
        <v>110</v>
      </c>
    </row>
    <row customHeight="1" ht="11.25">
      <c r="A7" s="0" t="s">
        <v>14</v>
      </c>
      <c r="B7" s="0" t="s">
        <v>3815</v>
      </c>
      <c r="C7" s="0" t="s">
        <v>3816</v>
      </c>
      <c r="D7" s="0" t="s">
        <v>3823</v>
      </c>
      <c r="E7" s="0" t="s">
        <v>3824</v>
      </c>
      <c r="F7" s="0" t="s">
        <v>3557</v>
      </c>
      <c r="G7" s="0" t="s">
        <v>91</v>
      </c>
    </row>
    <row customHeight="1" ht="11.25">
      <c r="A8" s="0" t="s">
        <v>14</v>
      </c>
      <c r="B8" s="0" t="s">
        <v>3540</v>
      </c>
      <c r="C8" s="0" t="s">
        <v>3541</v>
      </c>
      <c r="D8" s="0" t="s">
        <v>3540</v>
      </c>
      <c r="E8" s="0" t="s">
        <v>3541</v>
      </c>
      <c r="F8" s="0" t="s">
        <v>3542</v>
      </c>
      <c r="G8" s="0" t="s">
        <v>92</v>
      </c>
    </row>
    <row customHeight="1" ht="11.25">
      <c r="A9" s="0" t="s">
        <v>14</v>
      </c>
      <c r="B9" s="0" t="s">
        <v>3543</v>
      </c>
      <c r="C9" s="0" t="s">
        <v>3544</v>
      </c>
      <c r="D9" s="0" t="s">
        <v>3543</v>
      </c>
      <c r="E9" s="0" t="s">
        <v>3544</v>
      </c>
      <c r="F9" s="0" t="s">
        <v>3542</v>
      </c>
      <c r="G9" s="0" t="s">
        <v>111</v>
      </c>
    </row>
    <row customHeight="1" ht="11.25">
      <c r="A10" s="0" t="s">
        <v>14</v>
      </c>
      <c r="B10" s="0" t="s">
        <v>3545</v>
      </c>
      <c r="C10" s="0" t="s">
        <v>3546</v>
      </c>
      <c r="D10" s="0" t="s">
        <v>3545</v>
      </c>
      <c r="E10" s="0" t="s">
        <v>3546</v>
      </c>
      <c r="F10" s="0" t="s">
        <v>3542</v>
      </c>
      <c r="G10" s="0" t="s">
        <v>147</v>
      </c>
    </row>
    <row customHeight="1" ht="11.25">
      <c r="A11" s="0" t="s">
        <v>14</v>
      </c>
      <c r="B11" s="0" t="s">
        <v>3547</v>
      </c>
      <c r="C11" s="0" t="s">
        <v>3548</v>
      </c>
      <c r="D11" s="0" t="s">
        <v>3547</v>
      </c>
      <c r="E11" s="0" t="s">
        <v>3548</v>
      </c>
      <c r="F11" s="0" t="s">
        <v>3542</v>
      </c>
      <c r="G11" s="0" t="s">
        <v>148</v>
      </c>
    </row>
    <row customHeight="1" ht="11.25">
      <c r="A12" s="0" t="s">
        <v>14</v>
      </c>
      <c r="B12" s="0" t="s">
        <v>3549</v>
      </c>
      <c r="C12" s="0" t="s">
        <v>3550</v>
      </c>
      <c r="D12" s="0" t="s">
        <v>3549</v>
      </c>
      <c r="E12" s="0" t="s">
        <v>3550</v>
      </c>
      <c r="F12" s="0" t="s">
        <v>3542</v>
      </c>
      <c r="G12" s="0" t="s">
        <v>149</v>
      </c>
    </row>
    <row customHeight="1" ht="11.25">
      <c r="A13" s="0" t="s">
        <v>14</v>
      </c>
      <c r="B13" s="0" t="s">
        <v>3551</v>
      </c>
      <c r="C13" s="0" t="s">
        <v>3552</v>
      </c>
      <c r="D13" s="0" t="s">
        <v>3551</v>
      </c>
      <c r="E13" s="0" t="s">
        <v>3552</v>
      </c>
      <c r="F13" s="0" t="s">
        <v>3542</v>
      </c>
      <c r="G13" s="0" t="s">
        <v>150</v>
      </c>
    </row>
    <row customHeight="1" ht="11.25">
      <c r="A14" s="0" t="s">
        <v>14</v>
      </c>
      <c r="B14" s="0" t="s">
        <v>3553</v>
      </c>
      <c r="C14" s="0" t="s">
        <v>3554</v>
      </c>
      <c r="D14" s="0" t="s">
        <v>3555</v>
      </c>
      <c r="E14" s="0" t="s">
        <v>3556</v>
      </c>
      <c r="F14" s="0" t="s">
        <v>3557</v>
      </c>
      <c r="G14" s="0" t="s">
        <v>151</v>
      </c>
    </row>
    <row customHeight="1" ht="11.25">
      <c r="A15" s="0" t="s">
        <v>14</v>
      </c>
      <c r="B15" s="0" t="s">
        <v>3553</v>
      </c>
      <c r="C15" s="0" t="s">
        <v>3554</v>
      </c>
      <c r="D15" s="0" t="s">
        <v>3553</v>
      </c>
      <c r="E15" s="0" t="s">
        <v>3554</v>
      </c>
      <c r="F15" s="0" t="s">
        <v>3558</v>
      </c>
      <c r="G15" s="0" t="s">
        <v>152</v>
      </c>
    </row>
    <row customHeight="1" ht="11.25">
      <c r="A16" s="0" t="s">
        <v>14</v>
      </c>
      <c r="B16" s="0" t="s">
        <v>3553</v>
      </c>
      <c r="C16" s="0" t="s">
        <v>3554</v>
      </c>
      <c r="D16" s="0" t="s">
        <v>3559</v>
      </c>
      <c r="E16" s="0" t="s">
        <v>3560</v>
      </c>
      <c r="F16" s="0" t="s">
        <v>3557</v>
      </c>
      <c r="G16" s="0" t="s">
        <v>1381</v>
      </c>
    </row>
    <row customHeight="1" ht="11.25">
      <c r="A17" s="0" t="s">
        <v>14</v>
      </c>
      <c r="B17" s="0" t="s">
        <v>3553</v>
      </c>
      <c r="C17" s="0" t="s">
        <v>3554</v>
      </c>
      <c r="D17" s="0" t="s">
        <v>3561</v>
      </c>
      <c r="E17" s="0" t="s">
        <v>3562</v>
      </c>
      <c r="F17" s="0" t="s">
        <v>3563</v>
      </c>
      <c r="G17" s="0" t="s">
        <v>1387</v>
      </c>
    </row>
    <row customHeight="1" ht="11.25">
      <c r="A18" s="0" t="s">
        <v>14</v>
      </c>
      <c r="B18" s="0" t="s">
        <v>3553</v>
      </c>
      <c r="C18" s="0" t="s">
        <v>3554</v>
      </c>
      <c r="D18" s="0" t="s">
        <v>3564</v>
      </c>
      <c r="E18" s="0" t="s">
        <v>3565</v>
      </c>
      <c r="F18" s="0" t="s">
        <v>3557</v>
      </c>
      <c r="G18" s="0" t="s">
        <v>1398</v>
      </c>
    </row>
    <row customHeight="1" ht="11.25">
      <c r="A19" s="0" t="s">
        <v>14</v>
      </c>
      <c r="B19" s="0" t="s">
        <v>3553</v>
      </c>
      <c r="C19" s="0" t="s">
        <v>3554</v>
      </c>
      <c r="D19" s="0" t="s">
        <v>3566</v>
      </c>
      <c r="E19" s="0" t="s">
        <v>3567</v>
      </c>
      <c r="F19" s="0" t="s">
        <v>3557</v>
      </c>
      <c r="G19" s="0" t="s">
        <v>1412</v>
      </c>
    </row>
    <row customHeight="1" ht="11.25">
      <c r="A20" s="0" t="s">
        <v>14</v>
      </c>
      <c r="B20" s="0" t="s">
        <v>3553</v>
      </c>
      <c r="C20" s="0" t="s">
        <v>3554</v>
      </c>
      <c r="D20" s="0" t="s">
        <v>3568</v>
      </c>
      <c r="E20" s="0" t="s">
        <v>3569</v>
      </c>
      <c r="F20" s="0" t="s">
        <v>3557</v>
      </c>
      <c r="G20" s="0" t="s">
        <v>1424</v>
      </c>
    </row>
    <row customHeight="1" ht="11.25">
      <c r="A21" s="0" t="s">
        <v>14</v>
      </c>
      <c r="B21" s="0" t="s">
        <v>3553</v>
      </c>
      <c r="C21" s="0" t="s">
        <v>3554</v>
      </c>
      <c r="D21" s="0" t="s">
        <v>3570</v>
      </c>
      <c r="E21" s="0" t="s">
        <v>3571</v>
      </c>
      <c r="F21" s="0" t="s">
        <v>3557</v>
      </c>
      <c r="G21" s="0" t="s">
        <v>1433</v>
      </c>
    </row>
    <row customHeight="1" ht="11.25">
      <c r="A22" s="0" t="s">
        <v>14</v>
      </c>
      <c r="B22" s="0" t="s">
        <v>3572</v>
      </c>
      <c r="C22" s="0" t="s">
        <v>3573</v>
      </c>
      <c r="D22" s="0" t="s">
        <v>3572</v>
      </c>
      <c r="E22" s="0" t="s">
        <v>3573</v>
      </c>
      <c r="F22" s="0" t="s">
        <v>3539</v>
      </c>
      <c r="G22" s="0" t="s">
        <v>1449</v>
      </c>
    </row>
    <row customHeight="1" ht="11.25">
      <c r="A23" s="0" t="s">
        <v>14</v>
      </c>
      <c r="B23" s="0" t="s">
        <v>3825</v>
      </c>
      <c r="C23" s="0" t="s">
        <v>3826</v>
      </c>
      <c r="D23" s="0" t="s">
        <v>3827</v>
      </c>
      <c r="E23" s="0" t="s">
        <v>3828</v>
      </c>
      <c r="F23" s="0" t="s">
        <v>3557</v>
      </c>
      <c r="G23" s="0" t="s">
        <v>1456</v>
      </c>
    </row>
    <row customHeight="1" ht="11.25">
      <c r="A24" s="0" t="s">
        <v>14</v>
      </c>
      <c r="B24" s="0" t="s">
        <v>3825</v>
      </c>
      <c r="C24" s="0" t="s">
        <v>3826</v>
      </c>
      <c r="D24" s="0" t="s">
        <v>3829</v>
      </c>
      <c r="E24" s="0" t="s">
        <v>3830</v>
      </c>
      <c r="F24" s="0" t="s">
        <v>3580</v>
      </c>
      <c r="G24" s="0" t="s">
        <v>1464</v>
      </c>
    </row>
    <row customHeight="1" ht="11.25">
      <c r="A25" s="0" t="s">
        <v>14</v>
      </c>
      <c r="B25" s="0" t="s">
        <v>3825</v>
      </c>
      <c r="C25" s="0" t="s">
        <v>3826</v>
      </c>
      <c r="D25" s="0" t="s">
        <v>3831</v>
      </c>
      <c r="E25" s="0" t="s">
        <v>3832</v>
      </c>
      <c r="F25" s="0" t="s">
        <v>3580</v>
      </c>
      <c r="G25" s="0" t="s">
        <v>1471</v>
      </c>
    </row>
    <row customHeight="1" ht="11.25">
      <c r="A26" s="0" t="s">
        <v>14</v>
      </c>
      <c r="B26" s="0" t="s">
        <v>3825</v>
      </c>
      <c r="C26" s="0" t="s">
        <v>3826</v>
      </c>
      <c r="D26" s="0" t="s">
        <v>3825</v>
      </c>
      <c r="E26" s="0" t="s">
        <v>3826</v>
      </c>
      <c r="F26" s="0" t="s">
        <v>3558</v>
      </c>
      <c r="G26" s="0" t="s">
        <v>1475</v>
      </c>
    </row>
    <row customHeight="1" ht="11.25">
      <c r="A27" s="0" t="s">
        <v>14</v>
      </c>
      <c r="B27" s="0" t="s">
        <v>3825</v>
      </c>
      <c r="C27" s="0" t="s">
        <v>3826</v>
      </c>
      <c r="D27" s="0" t="s">
        <v>3833</v>
      </c>
      <c r="E27" s="0" t="s">
        <v>3834</v>
      </c>
      <c r="F27" s="0" t="s">
        <v>3557</v>
      </c>
      <c r="G27" s="0" t="s">
        <v>1480</v>
      </c>
    </row>
    <row customHeight="1" ht="11.25">
      <c r="A28" s="0" t="s">
        <v>14</v>
      </c>
      <c r="B28" s="0" t="s">
        <v>3825</v>
      </c>
      <c r="C28" s="0" t="s">
        <v>3826</v>
      </c>
      <c r="D28" s="0" t="s">
        <v>3835</v>
      </c>
      <c r="E28" s="0" t="s">
        <v>3836</v>
      </c>
      <c r="F28" s="0" t="s">
        <v>3557</v>
      </c>
      <c r="G28" s="0" t="s">
        <v>1488</v>
      </c>
    </row>
    <row customHeight="1" ht="11.25">
      <c r="A29" s="0" t="s">
        <v>14</v>
      </c>
      <c r="B29" s="0" t="s">
        <v>3825</v>
      </c>
      <c r="C29" s="0" t="s">
        <v>3826</v>
      </c>
      <c r="D29" s="0" t="s">
        <v>3837</v>
      </c>
      <c r="E29" s="0" t="s">
        <v>3838</v>
      </c>
      <c r="F29" s="0" t="s">
        <v>3580</v>
      </c>
      <c r="G29" s="0" t="s">
        <v>1490</v>
      </c>
    </row>
    <row customHeight="1" ht="11.25">
      <c r="A30" s="0" t="s">
        <v>14</v>
      </c>
      <c r="B30" s="0" t="s">
        <v>3574</v>
      </c>
      <c r="C30" s="0" t="s">
        <v>3575</v>
      </c>
      <c r="D30" s="0" t="s">
        <v>3576</v>
      </c>
      <c r="E30" s="0" t="s">
        <v>3577</v>
      </c>
      <c r="F30" s="0" t="s">
        <v>3557</v>
      </c>
      <c r="G30" s="0" t="s">
        <v>1493</v>
      </c>
    </row>
    <row customHeight="1" ht="11.25">
      <c r="A31" s="0" t="s">
        <v>14</v>
      </c>
      <c r="B31" s="0" t="s">
        <v>3574</v>
      </c>
      <c r="C31" s="0" t="s">
        <v>3575</v>
      </c>
      <c r="D31" s="0" t="s">
        <v>3578</v>
      </c>
      <c r="E31" s="0" t="s">
        <v>3579</v>
      </c>
      <c r="F31" s="0" t="s">
        <v>3580</v>
      </c>
      <c r="G31" s="0" t="s">
        <v>1498</v>
      </c>
    </row>
    <row customHeight="1" ht="11.25">
      <c r="A32" s="0" t="s">
        <v>14</v>
      </c>
      <c r="B32" s="0" t="s">
        <v>3574</v>
      </c>
      <c r="C32" s="0" t="s">
        <v>3575</v>
      </c>
      <c r="D32" s="0" t="s">
        <v>3574</v>
      </c>
      <c r="E32" s="0" t="s">
        <v>3575</v>
      </c>
      <c r="F32" s="0" t="s">
        <v>3558</v>
      </c>
      <c r="G32" s="0" t="s">
        <v>1500</v>
      </c>
    </row>
    <row customHeight="1" ht="11.25">
      <c r="A33" s="0" t="s">
        <v>14</v>
      </c>
      <c r="B33" s="0" t="s">
        <v>3574</v>
      </c>
      <c r="C33" s="0" t="s">
        <v>3575</v>
      </c>
      <c r="D33" s="0" t="s">
        <v>3581</v>
      </c>
      <c r="E33" s="0" t="s">
        <v>3582</v>
      </c>
      <c r="F33" s="0" t="s">
        <v>3580</v>
      </c>
      <c r="G33" s="0" t="s">
        <v>1502</v>
      </c>
    </row>
    <row customHeight="1" ht="11.25">
      <c r="A34" s="0" t="s">
        <v>14</v>
      </c>
      <c r="B34" s="0" t="s">
        <v>3574</v>
      </c>
      <c r="C34" s="0" t="s">
        <v>3575</v>
      </c>
      <c r="D34" s="0" t="s">
        <v>3583</v>
      </c>
      <c r="E34" s="0" t="s">
        <v>3584</v>
      </c>
      <c r="F34" s="0" t="s">
        <v>3557</v>
      </c>
      <c r="G34" s="0" t="s">
        <v>1504</v>
      </c>
    </row>
    <row customHeight="1" ht="11.25">
      <c r="A35" s="0" t="s">
        <v>14</v>
      </c>
      <c r="B35" s="0" t="s">
        <v>3574</v>
      </c>
      <c r="C35" s="0" t="s">
        <v>3575</v>
      </c>
      <c r="D35" s="0" t="s">
        <v>3585</v>
      </c>
      <c r="E35" s="0" t="s">
        <v>3586</v>
      </c>
      <c r="F35" s="0" t="s">
        <v>3563</v>
      </c>
      <c r="G35" s="0" t="s">
        <v>1509</v>
      </c>
    </row>
    <row customHeight="1" ht="11.25">
      <c r="A36" s="0" t="s">
        <v>14</v>
      </c>
      <c r="B36" s="0" t="s">
        <v>3574</v>
      </c>
      <c r="C36" s="0" t="s">
        <v>3575</v>
      </c>
      <c r="D36" s="0" t="s">
        <v>3587</v>
      </c>
      <c r="E36" s="0" t="s">
        <v>3588</v>
      </c>
      <c r="F36" s="0" t="s">
        <v>3557</v>
      </c>
      <c r="G36" s="0" t="s">
        <v>1514</v>
      </c>
    </row>
    <row customHeight="1" ht="11.25">
      <c r="A37" s="0" t="s">
        <v>14</v>
      </c>
      <c r="B37" s="0" t="s">
        <v>3574</v>
      </c>
      <c r="C37" s="0" t="s">
        <v>3575</v>
      </c>
      <c r="D37" s="0" t="s">
        <v>3589</v>
      </c>
      <c r="E37" s="0" t="s">
        <v>3590</v>
      </c>
      <c r="F37" s="0" t="s">
        <v>3557</v>
      </c>
      <c r="G37" s="0" t="s">
        <v>1518</v>
      </c>
    </row>
    <row customHeight="1" ht="11.25">
      <c r="A38" s="0" t="s">
        <v>14</v>
      </c>
      <c r="B38" s="0" t="s">
        <v>3591</v>
      </c>
      <c r="C38" s="0" t="s">
        <v>3592</v>
      </c>
      <c r="D38" s="0" t="s">
        <v>3591</v>
      </c>
      <c r="E38" s="0" t="s">
        <v>3592</v>
      </c>
      <c r="F38" s="0" t="s">
        <v>3539</v>
      </c>
      <c r="G38" s="0" t="s">
        <v>1526</v>
      </c>
    </row>
    <row customHeight="1" ht="11.25">
      <c r="A39" s="0" t="s">
        <v>14</v>
      </c>
      <c r="B39" s="0" t="s">
        <v>3593</v>
      </c>
      <c r="C39" s="0" t="s">
        <v>3594</v>
      </c>
      <c r="D39" s="0" t="s">
        <v>3595</v>
      </c>
      <c r="E39" s="0" t="s">
        <v>3596</v>
      </c>
      <c r="F39" s="0" t="s">
        <v>3580</v>
      </c>
      <c r="G39" s="0" t="s">
        <v>1532</v>
      </c>
    </row>
    <row customHeight="1" ht="11.25">
      <c r="A40" s="0" t="s">
        <v>14</v>
      </c>
      <c r="B40" s="0" t="s">
        <v>3593</v>
      </c>
      <c r="C40" s="0" t="s">
        <v>3594</v>
      </c>
      <c r="D40" s="0" t="s">
        <v>3597</v>
      </c>
      <c r="E40" s="0" t="s">
        <v>3598</v>
      </c>
      <c r="F40" s="0" t="s">
        <v>3557</v>
      </c>
      <c r="G40" s="0" t="s">
        <v>1537</v>
      </c>
    </row>
    <row customHeight="1" ht="11.25">
      <c r="A41" s="0" t="s">
        <v>14</v>
      </c>
      <c r="B41" s="0" t="s">
        <v>3593</v>
      </c>
      <c r="C41" s="0" t="s">
        <v>3594</v>
      </c>
      <c r="D41" s="0" t="s">
        <v>3599</v>
      </c>
      <c r="E41" s="0" t="s">
        <v>3600</v>
      </c>
      <c r="F41" s="0" t="s">
        <v>3557</v>
      </c>
      <c r="G41" s="0" t="s">
        <v>1541</v>
      </c>
    </row>
    <row customHeight="1" ht="11.25">
      <c r="A42" s="0" t="s">
        <v>14</v>
      </c>
      <c r="B42" s="0" t="s">
        <v>3593</v>
      </c>
      <c r="C42" s="0" t="s">
        <v>3594</v>
      </c>
      <c r="D42" s="0" t="s">
        <v>3601</v>
      </c>
      <c r="E42" s="0" t="s">
        <v>3602</v>
      </c>
      <c r="F42" s="0" t="s">
        <v>3557</v>
      </c>
      <c r="G42" s="0" t="s">
        <v>1544</v>
      </c>
    </row>
    <row customHeight="1" ht="11.25">
      <c r="A43" s="0" t="s">
        <v>14</v>
      </c>
      <c r="B43" s="0" t="s">
        <v>3593</v>
      </c>
      <c r="C43" s="0" t="s">
        <v>3594</v>
      </c>
      <c r="D43" s="0" t="s">
        <v>3603</v>
      </c>
      <c r="E43" s="0" t="s">
        <v>3604</v>
      </c>
      <c r="F43" s="0" t="s">
        <v>3557</v>
      </c>
      <c r="G43" s="0" t="s">
        <v>1551</v>
      </c>
    </row>
    <row customHeight="1" ht="11.25">
      <c r="A44" s="0" t="s">
        <v>14</v>
      </c>
      <c r="B44" s="0" t="s">
        <v>3593</v>
      </c>
      <c r="C44" s="0" t="s">
        <v>3594</v>
      </c>
      <c r="D44" s="0" t="s">
        <v>3593</v>
      </c>
      <c r="E44" s="0" t="s">
        <v>3594</v>
      </c>
      <c r="F44" s="0" t="s">
        <v>3558</v>
      </c>
      <c r="G44" s="0" t="s">
        <v>1560</v>
      </c>
    </row>
    <row customHeight="1" ht="11.25">
      <c r="A45" s="0" t="s">
        <v>14</v>
      </c>
      <c r="B45" s="0" t="s">
        <v>3593</v>
      </c>
      <c r="C45" s="0" t="s">
        <v>3594</v>
      </c>
      <c r="D45" s="0" t="s">
        <v>3605</v>
      </c>
      <c r="E45" s="0" t="s">
        <v>3606</v>
      </c>
      <c r="F45" s="0" t="s">
        <v>3557</v>
      </c>
      <c r="G45" s="0" t="s">
        <v>1565</v>
      </c>
    </row>
    <row customHeight="1" ht="11.25">
      <c r="A46" s="0" t="s">
        <v>14</v>
      </c>
      <c r="B46" s="0" t="s">
        <v>3593</v>
      </c>
      <c r="C46" s="0" t="s">
        <v>3594</v>
      </c>
      <c r="D46" s="0" t="s">
        <v>3607</v>
      </c>
      <c r="E46" s="0" t="s">
        <v>3608</v>
      </c>
      <c r="F46" s="0" t="s">
        <v>3557</v>
      </c>
      <c r="G46" s="0" t="s">
        <v>1569</v>
      </c>
    </row>
    <row customHeight="1" ht="11.25">
      <c r="A47" s="0" t="s">
        <v>14</v>
      </c>
      <c r="B47" s="0" t="s">
        <v>3593</v>
      </c>
      <c r="C47" s="0" t="s">
        <v>3594</v>
      </c>
      <c r="D47" s="0" t="s">
        <v>3609</v>
      </c>
      <c r="E47" s="0" t="s">
        <v>3610</v>
      </c>
      <c r="F47" s="0" t="s">
        <v>3557</v>
      </c>
      <c r="G47" s="0" t="s">
        <v>1575</v>
      </c>
    </row>
    <row customHeight="1" ht="11.25">
      <c r="A48" s="0" t="s">
        <v>14</v>
      </c>
      <c r="B48" s="0" t="s">
        <v>3593</v>
      </c>
      <c r="C48" s="0" t="s">
        <v>3594</v>
      </c>
      <c r="D48" s="0" t="s">
        <v>3611</v>
      </c>
      <c r="E48" s="0" t="s">
        <v>3612</v>
      </c>
      <c r="F48" s="0" t="s">
        <v>3557</v>
      </c>
      <c r="G48" s="0" t="s">
        <v>1579</v>
      </c>
    </row>
    <row customHeight="1" ht="11.25">
      <c r="A49" s="0" t="s">
        <v>14</v>
      </c>
      <c r="B49" s="0" t="s">
        <v>3593</v>
      </c>
      <c r="C49" s="0" t="s">
        <v>3594</v>
      </c>
      <c r="D49" s="0" t="s">
        <v>3613</v>
      </c>
      <c r="E49" s="0" t="s">
        <v>3614</v>
      </c>
      <c r="F49" s="0" t="s">
        <v>3557</v>
      </c>
      <c r="G49" s="0" t="s">
        <v>1582</v>
      </c>
    </row>
    <row customHeight="1" ht="11.25">
      <c r="A50" s="0" t="s">
        <v>14</v>
      </c>
      <c r="B50" s="0" t="s">
        <v>3615</v>
      </c>
      <c r="C50" s="0" t="s">
        <v>3616</v>
      </c>
      <c r="D50" s="0" t="s">
        <v>3615</v>
      </c>
      <c r="E50" s="0" t="s">
        <v>3616</v>
      </c>
      <c r="F50" s="0" t="s">
        <v>3539</v>
      </c>
      <c r="G50" s="0" t="s">
        <v>1586</v>
      </c>
    </row>
    <row customHeight="1" ht="11.25">
      <c r="A51" s="0" t="s">
        <v>14</v>
      </c>
      <c r="B51" s="0" t="s">
        <v>3839</v>
      </c>
      <c r="C51" s="0" t="s">
        <v>3840</v>
      </c>
      <c r="D51" s="0" t="s">
        <v>3841</v>
      </c>
      <c r="E51" s="0" t="s">
        <v>3842</v>
      </c>
      <c r="F51" s="0" t="s">
        <v>3557</v>
      </c>
      <c r="G51" s="0" t="s">
        <v>1590</v>
      </c>
    </row>
    <row customHeight="1" ht="11.25">
      <c r="A52" s="0" t="s">
        <v>14</v>
      </c>
      <c r="B52" s="0" t="s">
        <v>3839</v>
      </c>
      <c r="C52" s="0" t="s">
        <v>3840</v>
      </c>
      <c r="D52" s="0" t="s">
        <v>3843</v>
      </c>
      <c r="E52" s="0" t="s">
        <v>3844</v>
      </c>
      <c r="F52" s="0" t="s">
        <v>3557</v>
      </c>
      <c r="G52" s="0" t="s">
        <v>1594</v>
      </c>
    </row>
    <row customHeight="1" ht="11.25">
      <c r="A53" s="0" t="s">
        <v>14</v>
      </c>
      <c r="B53" s="0" t="s">
        <v>3839</v>
      </c>
      <c r="C53" s="0" t="s">
        <v>3840</v>
      </c>
      <c r="D53" s="0" t="s">
        <v>3839</v>
      </c>
      <c r="E53" s="0" t="s">
        <v>3840</v>
      </c>
      <c r="F53" s="0" t="s">
        <v>3558</v>
      </c>
      <c r="G53" s="0" t="s">
        <v>1596</v>
      </c>
    </row>
    <row customHeight="1" ht="11.25">
      <c r="A54" s="0" t="s">
        <v>14</v>
      </c>
      <c r="B54" s="0" t="s">
        <v>3839</v>
      </c>
      <c r="C54" s="0" t="s">
        <v>3840</v>
      </c>
      <c r="D54" s="0" t="s">
        <v>3845</v>
      </c>
      <c r="E54" s="0" t="s">
        <v>3846</v>
      </c>
      <c r="F54" s="0" t="s">
        <v>3557</v>
      </c>
      <c r="G54" s="0" t="s">
        <v>1599</v>
      </c>
    </row>
    <row customHeight="1" ht="11.25">
      <c r="A55" s="0" t="s">
        <v>14</v>
      </c>
      <c r="B55" s="0" t="s">
        <v>3839</v>
      </c>
      <c r="C55" s="0" t="s">
        <v>3840</v>
      </c>
      <c r="D55" s="0" t="s">
        <v>3847</v>
      </c>
      <c r="E55" s="0" t="s">
        <v>3848</v>
      </c>
      <c r="F55" s="0" t="s">
        <v>3580</v>
      </c>
      <c r="G55" s="0" t="s">
        <v>1603</v>
      </c>
    </row>
    <row customHeight="1" ht="11.25">
      <c r="A56" s="0" t="s">
        <v>14</v>
      </c>
      <c r="B56" s="0" t="s">
        <v>3839</v>
      </c>
      <c r="C56" s="0" t="s">
        <v>3840</v>
      </c>
      <c r="D56" s="0" t="s">
        <v>3849</v>
      </c>
      <c r="E56" s="0" t="s">
        <v>3850</v>
      </c>
      <c r="F56" s="0" t="s">
        <v>3557</v>
      </c>
      <c r="G56" s="0" t="s">
        <v>1606</v>
      </c>
    </row>
    <row customHeight="1" ht="11.25">
      <c r="A57" s="0" t="s">
        <v>14</v>
      </c>
      <c r="B57" s="0" t="s">
        <v>3617</v>
      </c>
      <c r="C57" s="0" t="s">
        <v>3618</v>
      </c>
      <c r="D57" s="0" t="s">
        <v>3617</v>
      </c>
      <c r="E57" s="0" t="s">
        <v>3618</v>
      </c>
      <c r="F57" s="0" t="s">
        <v>3542</v>
      </c>
      <c r="G57" s="0" t="s">
        <v>1609</v>
      </c>
    </row>
    <row customHeight="1" ht="11.25">
      <c r="A58" s="0" t="s">
        <v>14</v>
      </c>
      <c r="B58" s="0" t="s">
        <v>3619</v>
      </c>
      <c r="C58" s="0" t="s">
        <v>3620</v>
      </c>
      <c r="D58" s="0" t="s">
        <v>3621</v>
      </c>
      <c r="E58" s="0" t="s">
        <v>3622</v>
      </c>
      <c r="F58" s="0" t="s">
        <v>3557</v>
      </c>
      <c r="G58" s="0" t="s">
        <v>1612</v>
      </c>
    </row>
    <row customHeight="1" ht="11.25">
      <c r="A59" s="0" t="s">
        <v>14</v>
      </c>
      <c r="B59" s="0" t="s">
        <v>3619</v>
      </c>
      <c r="C59" s="0" t="s">
        <v>3620</v>
      </c>
      <c r="D59" s="0" t="s">
        <v>3623</v>
      </c>
      <c r="E59" s="0" t="s">
        <v>3624</v>
      </c>
      <c r="F59" s="0" t="s">
        <v>3557</v>
      </c>
      <c r="G59" s="0" t="s">
        <v>1616</v>
      </c>
    </row>
    <row customHeight="1" ht="11.25">
      <c r="A60" s="0" t="s">
        <v>14</v>
      </c>
      <c r="B60" s="0" t="s">
        <v>3619</v>
      </c>
      <c r="C60" s="0" t="s">
        <v>3620</v>
      </c>
      <c r="D60" s="0" t="s">
        <v>3625</v>
      </c>
      <c r="E60" s="0" t="s">
        <v>3626</v>
      </c>
      <c r="F60" s="0" t="s">
        <v>3557</v>
      </c>
      <c r="G60" s="0" t="s">
        <v>1619</v>
      </c>
    </row>
    <row customHeight="1" ht="11.25">
      <c r="A61" s="0" t="s">
        <v>14</v>
      </c>
      <c r="B61" s="0" t="s">
        <v>3619</v>
      </c>
      <c r="C61" s="0" t="s">
        <v>3620</v>
      </c>
      <c r="D61" s="0" t="s">
        <v>3619</v>
      </c>
      <c r="E61" s="0" t="s">
        <v>3620</v>
      </c>
      <c r="F61" s="0" t="s">
        <v>3558</v>
      </c>
      <c r="G61" s="0" t="s">
        <v>3665</v>
      </c>
    </row>
    <row customHeight="1" ht="11.25">
      <c r="A62" s="0" t="s">
        <v>14</v>
      </c>
      <c r="B62" s="0" t="s">
        <v>3619</v>
      </c>
      <c r="C62" s="0" t="s">
        <v>3620</v>
      </c>
      <c r="D62" s="0" t="s">
        <v>3627</v>
      </c>
      <c r="E62" s="0" t="s">
        <v>3628</v>
      </c>
      <c r="F62" s="0" t="s">
        <v>3557</v>
      </c>
      <c r="G62" s="0" t="s">
        <v>3668</v>
      </c>
    </row>
    <row customHeight="1" ht="11.25">
      <c r="A63" s="0" t="s">
        <v>14</v>
      </c>
      <c r="B63" s="0" t="s">
        <v>3619</v>
      </c>
      <c r="C63" s="0" t="s">
        <v>3620</v>
      </c>
      <c r="D63" s="0" t="s">
        <v>3629</v>
      </c>
      <c r="E63" s="0" t="s">
        <v>3630</v>
      </c>
      <c r="F63" s="0" t="s">
        <v>3580</v>
      </c>
      <c r="G63" s="0" t="s">
        <v>3669</v>
      </c>
    </row>
    <row customHeight="1" ht="11.25">
      <c r="A64" s="0" t="s">
        <v>14</v>
      </c>
      <c r="B64" s="0" t="s">
        <v>3619</v>
      </c>
      <c r="C64" s="0" t="s">
        <v>3620</v>
      </c>
      <c r="D64" s="0" t="s">
        <v>3631</v>
      </c>
      <c r="E64" s="0" t="s">
        <v>3632</v>
      </c>
      <c r="F64" s="0" t="s">
        <v>3557</v>
      </c>
      <c r="G64" s="0" t="s">
        <v>3672</v>
      </c>
    </row>
    <row customHeight="1" ht="11.25">
      <c r="A65" s="0" t="s">
        <v>14</v>
      </c>
      <c r="B65" s="0" t="s">
        <v>3619</v>
      </c>
      <c r="C65" s="0" t="s">
        <v>3620</v>
      </c>
      <c r="D65" s="0" t="s">
        <v>3633</v>
      </c>
      <c r="E65" s="0" t="s">
        <v>3634</v>
      </c>
      <c r="F65" s="0" t="s">
        <v>3557</v>
      </c>
      <c r="G65" s="0" t="s">
        <v>3675</v>
      </c>
    </row>
    <row customHeight="1" ht="11.25">
      <c r="A66" s="0" t="s">
        <v>14</v>
      </c>
      <c r="B66" s="0" t="s">
        <v>3635</v>
      </c>
      <c r="C66" s="0" t="s">
        <v>3636</v>
      </c>
      <c r="D66" s="0" t="s">
        <v>3635</v>
      </c>
      <c r="E66" s="0" t="s">
        <v>3636</v>
      </c>
      <c r="F66" s="0" t="s">
        <v>3558</v>
      </c>
      <c r="G66" s="0" t="s">
        <v>3678</v>
      </c>
    </row>
    <row customHeight="1" ht="11.25">
      <c r="A67" s="0" t="s">
        <v>14</v>
      </c>
      <c r="B67" s="0" t="s">
        <v>3635</v>
      </c>
      <c r="C67" s="0" t="s">
        <v>3636</v>
      </c>
      <c r="D67" s="0" t="s">
        <v>3637</v>
      </c>
      <c r="E67" s="0" t="s">
        <v>3638</v>
      </c>
      <c r="F67" s="0" t="s">
        <v>3557</v>
      </c>
      <c r="G67" s="0" t="s">
        <v>1939</v>
      </c>
    </row>
    <row customHeight="1" ht="11.25">
      <c r="A68" s="0" t="s">
        <v>14</v>
      </c>
      <c r="B68" s="0" t="s">
        <v>3635</v>
      </c>
      <c r="C68" s="0" t="s">
        <v>3636</v>
      </c>
      <c r="D68" s="0" t="s">
        <v>3639</v>
      </c>
      <c r="E68" s="0" t="s">
        <v>3640</v>
      </c>
      <c r="F68" s="0" t="s">
        <v>3557</v>
      </c>
      <c r="G68" s="0" t="s">
        <v>3685</v>
      </c>
    </row>
    <row customHeight="1" ht="11.25">
      <c r="A69" s="0" t="s">
        <v>14</v>
      </c>
      <c r="B69" s="0" t="s">
        <v>3635</v>
      </c>
      <c r="C69" s="0" t="s">
        <v>3636</v>
      </c>
      <c r="D69" s="0" t="s">
        <v>3641</v>
      </c>
      <c r="E69" s="0" t="s">
        <v>3642</v>
      </c>
      <c r="F69" s="0" t="s">
        <v>3557</v>
      </c>
      <c r="G69" s="0" t="s">
        <v>2150</v>
      </c>
    </row>
    <row customHeight="1" ht="11.25">
      <c r="A70" s="0" t="s">
        <v>14</v>
      </c>
      <c r="B70" s="0" t="s">
        <v>3643</v>
      </c>
      <c r="C70" s="0" t="s">
        <v>3644</v>
      </c>
      <c r="D70" s="0" t="s">
        <v>3643</v>
      </c>
      <c r="E70" s="0" t="s">
        <v>3644</v>
      </c>
      <c r="F70" s="0" t="s">
        <v>3542</v>
      </c>
      <c r="G70" s="0" t="s">
        <v>3690</v>
      </c>
    </row>
    <row customHeight="1" ht="11.25">
      <c r="A71" s="0" t="s">
        <v>14</v>
      </c>
      <c r="B71" s="0" t="s">
        <v>3645</v>
      </c>
      <c r="C71" s="0" t="s">
        <v>3646</v>
      </c>
      <c r="D71" s="0" t="s">
        <v>3645</v>
      </c>
      <c r="E71" s="0" t="s">
        <v>3646</v>
      </c>
      <c r="F71" s="0" t="s">
        <v>3539</v>
      </c>
      <c r="G71" s="0" t="s">
        <v>3693</v>
      </c>
    </row>
    <row customHeight="1" ht="11.25">
      <c r="A72" s="0" t="s">
        <v>14</v>
      </c>
      <c r="B72" s="0" t="s">
        <v>3851</v>
      </c>
      <c r="C72" s="0" t="s">
        <v>3852</v>
      </c>
      <c r="D72" s="0" t="s">
        <v>3853</v>
      </c>
      <c r="E72" s="0" t="s">
        <v>3854</v>
      </c>
      <c r="F72" s="0" t="s">
        <v>3557</v>
      </c>
      <c r="G72" s="0" t="s">
        <v>3694</v>
      </c>
    </row>
    <row customHeight="1" ht="11.25">
      <c r="A73" s="0" t="s">
        <v>14</v>
      </c>
      <c r="B73" s="0" t="s">
        <v>3851</v>
      </c>
      <c r="C73" s="0" t="s">
        <v>3852</v>
      </c>
      <c r="D73" s="0" t="s">
        <v>3855</v>
      </c>
      <c r="E73" s="0" t="s">
        <v>3856</v>
      </c>
      <c r="F73" s="0" t="s">
        <v>3580</v>
      </c>
      <c r="G73" s="0" t="s">
        <v>3697</v>
      </c>
    </row>
    <row customHeight="1" ht="11.25">
      <c r="A74" s="0" t="s">
        <v>14</v>
      </c>
      <c r="B74" s="0" t="s">
        <v>3851</v>
      </c>
      <c r="C74" s="0" t="s">
        <v>3852</v>
      </c>
      <c r="D74" s="0" t="s">
        <v>3857</v>
      </c>
      <c r="E74" s="0" t="s">
        <v>3858</v>
      </c>
      <c r="F74" s="0" t="s">
        <v>3563</v>
      </c>
      <c r="G74" s="0" t="s">
        <v>3700</v>
      </c>
    </row>
    <row customHeight="1" ht="11.25">
      <c r="A75" s="0" t="s">
        <v>14</v>
      </c>
      <c r="B75" s="0" t="s">
        <v>3851</v>
      </c>
      <c r="C75" s="0" t="s">
        <v>3852</v>
      </c>
      <c r="D75" s="0" t="s">
        <v>3859</v>
      </c>
      <c r="E75" s="0" t="s">
        <v>3860</v>
      </c>
      <c r="F75" s="0" t="s">
        <v>3557</v>
      </c>
      <c r="G75" s="0" t="s">
        <v>3703</v>
      </c>
    </row>
    <row customHeight="1" ht="11.25">
      <c r="A76" s="0" t="s">
        <v>14</v>
      </c>
      <c r="B76" s="0" t="s">
        <v>3851</v>
      </c>
      <c r="C76" s="0" t="s">
        <v>3852</v>
      </c>
      <c r="D76" s="0" t="s">
        <v>3851</v>
      </c>
      <c r="E76" s="0" t="s">
        <v>3852</v>
      </c>
      <c r="F76" s="0" t="s">
        <v>3558</v>
      </c>
      <c r="G76" s="0" t="s">
        <v>3706</v>
      </c>
    </row>
    <row customHeight="1" ht="11.25">
      <c r="A77" s="0" t="s">
        <v>14</v>
      </c>
      <c r="B77" s="0" t="s">
        <v>3851</v>
      </c>
      <c r="C77" s="0" t="s">
        <v>3852</v>
      </c>
      <c r="D77" s="0" t="s">
        <v>3784</v>
      </c>
      <c r="E77" s="0" t="s">
        <v>3861</v>
      </c>
      <c r="F77" s="0" t="s">
        <v>3557</v>
      </c>
      <c r="G77" s="0" t="s">
        <v>3709</v>
      </c>
    </row>
    <row customHeight="1" ht="11.25">
      <c r="A78" s="0" t="s">
        <v>14</v>
      </c>
      <c r="B78" s="0" t="s">
        <v>3647</v>
      </c>
      <c r="C78" s="0" t="s">
        <v>3648</v>
      </c>
      <c r="D78" s="0" t="s">
        <v>3647</v>
      </c>
      <c r="E78" s="0" t="s">
        <v>3648</v>
      </c>
      <c r="F78" s="0" t="s">
        <v>3539</v>
      </c>
      <c r="G78" s="0" t="s">
        <v>3712</v>
      </c>
    </row>
    <row customHeight="1" ht="11.25">
      <c r="A79" s="0" t="s">
        <v>14</v>
      </c>
      <c r="B79" s="0" t="s">
        <v>3862</v>
      </c>
      <c r="C79" s="0" t="s">
        <v>3863</v>
      </c>
      <c r="D79" s="0" t="s">
        <v>3864</v>
      </c>
      <c r="E79" s="0" t="s">
        <v>3865</v>
      </c>
      <c r="F79" s="0" t="s">
        <v>3557</v>
      </c>
      <c r="G79" s="0" t="s">
        <v>3715</v>
      </c>
    </row>
    <row customHeight="1" ht="11.25">
      <c r="A80" s="0" t="s">
        <v>14</v>
      </c>
      <c r="B80" s="0" t="s">
        <v>3862</v>
      </c>
      <c r="C80" s="0" t="s">
        <v>3863</v>
      </c>
      <c r="D80" s="0" t="s">
        <v>3866</v>
      </c>
      <c r="E80" s="0" t="s">
        <v>3867</v>
      </c>
      <c r="F80" s="0" t="s">
        <v>3563</v>
      </c>
      <c r="G80" s="0" t="s">
        <v>3718</v>
      </c>
    </row>
    <row customHeight="1" ht="11.25">
      <c r="A81" s="0" t="s">
        <v>14</v>
      </c>
      <c r="B81" s="0" t="s">
        <v>3862</v>
      </c>
      <c r="C81" s="0" t="s">
        <v>3863</v>
      </c>
      <c r="D81" s="0" t="s">
        <v>3868</v>
      </c>
      <c r="E81" s="0" t="s">
        <v>3869</v>
      </c>
      <c r="F81" s="0" t="s">
        <v>3557</v>
      </c>
      <c r="G81" s="0" t="s">
        <v>3721</v>
      </c>
    </row>
    <row customHeight="1" ht="11.25">
      <c r="A82" s="0" t="s">
        <v>14</v>
      </c>
      <c r="B82" s="0" t="s">
        <v>3862</v>
      </c>
      <c r="C82" s="0" t="s">
        <v>3863</v>
      </c>
      <c r="D82" s="0" t="s">
        <v>3870</v>
      </c>
      <c r="E82" s="0" t="s">
        <v>3871</v>
      </c>
      <c r="F82" s="0" t="s">
        <v>3557</v>
      </c>
      <c r="G82" s="0" t="s">
        <v>3726</v>
      </c>
    </row>
    <row customHeight="1" ht="11.25">
      <c r="A83" s="0" t="s">
        <v>14</v>
      </c>
      <c r="B83" s="0" t="s">
        <v>3862</v>
      </c>
      <c r="C83" s="0" t="s">
        <v>3863</v>
      </c>
      <c r="D83" s="0" t="s">
        <v>3872</v>
      </c>
      <c r="E83" s="0" t="s">
        <v>3873</v>
      </c>
      <c r="F83" s="0" t="s">
        <v>3557</v>
      </c>
      <c r="G83" s="0" t="s">
        <v>3729</v>
      </c>
    </row>
    <row customHeight="1" ht="11.25">
      <c r="A84" s="0" t="s">
        <v>14</v>
      </c>
      <c r="B84" s="0" t="s">
        <v>3862</v>
      </c>
      <c r="C84" s="0" t="s">
        <v>3863</v>
      </c>
      <c r="D84" s="0" t="s">
        <v>3862</v>
      </c>
      <c r="E84" s="0" t="s">
        <v>3863</v>
      </c>
      <c r="F84" s="0" t="s">
        <v>3558</v>
      </c>
      <c r="G84" s="0" t="s">
        <v>3732</v>
      </c>
    </row>
    <row customHeight="1" ht="11.25">
      <c r="A85" s="0" t="s">
        <v>14</v>
      </c>
      <c r="B85" s="0" t="s">
        <v>3862</v>
      </c>
      <c r="C85" s="0" t="s">
        <v>3863</v>
      </c>
      <c r="D85" s="0" t="s">
        <v>3874</v>
      </c>
      <c r="E85" s="0" t="s">
        <v>3875</v>
      </c>
      <c r="F85" s="0" t="s">
        <v>3580</v>
      </c>
      <c r="G85" s="0" t="s">
        <v>3735</v>
      </c>
    </row>
    <row customHeight="1" ht="11.25">
      <c r="A86" s="0" t="s">
        <v>14</v>
      </c>
      <c r="B86" s="0" t="s">
        <v>3862</v>
      </c>
      <c r="C86" s="0" t="s">
        <v>3863</v>
      </c>
      <c r="D86" s="0" t="s">
        <v>3876</v>
      </c>
      <c r="E86" s="0" t="s">
        <v>3877</v>
      </c>
      <c r="F86" s="0" t="s">
        <v>3557</v>
      </c>
      <c r="G86" s="0" t="s">
        <v>3738</v>
      </c>
    </row>
    <row customHeight="1" ht="11.25">
      <c r="A87" s="0" t="s">
        <v>14</v>
      </c>
      <c r="B87" s="0" t="s">
        <v>3862</v>
      </c>
      <c r="C87" s="0" t="s">
        <v>3863</v>
      </c>
      <c r="D87" s="0" t="s">
        <v>3878</v>
      </c>
      <c r="E87" s="0" t="s">
        <v>3879</v>
      </c>
      <c r="F87" s="0" t="s">
        <v>3557</v>
      </c>
      <c r="G87" s="0" t="s">
        <v>3739</v>
      </c>
    </row>
    <row customHeight="1" ht="11.25">
      <c r="A88" s="0" t="s">
        <v>14</v>
      </c>
      <c r="B88" s="0" t="s">
        <v>3649</v>
      </c>
      <c r="C88" s="0" t="s">
        <v>3650</v>
      </c>
      <c r="D88" s="0" t="s">
        <v>3649</v>
      </c>
      <c r="E88" s="0" t="s">
        <v>3650</v>
      </c>
      <c r="F88" s="0" t="s">
        <v>3542</v>
      </c>
      <c r="G88" s="0" t="s">
        <v>3742</v>
      </c>
    </row>
    <row customHeight="1" ht="11.25">
      <c r="A89" s="0" t="s">
        <v>14</v>
      </c>
      <c r="B89" s="0" t="s">
        <v>3651</v>
      </c>
      <c r="C89" s="0" t="s">
        <v>3652</v>
      </c>
      <c r="D89" s="0" t="s">
        <v>3651</v>
      </c>
      <c r="E89" s="0" t="s">
        <v>3652</v>
      </c>
      <c r="F89" s="0" t="s">
        <v>3539</v>
      </c>
      <c r="G89" s="0" t="s">
        <v>3745</v>
      </c>
    </row>
    <row customHeight="1" ht="11.25">
      <c r="A90" s="0" t="s">
        <v>14</v>
      </c>
      <c r="B90" s="0" t="s">
        <v>3653</v>
      </c>
      <c r="C90" s="0" t="s">
        <v>3654</v>
      </c>
      <c r="D90" s="0" t="s">
        <v>3655</v>
      </c>
      <c r="E90" s="0" t="s">
        <v>3656</v>
      </c>
      <c r="F90" s="0" t="s">
        <v>3557</v>
      </c>
      <c r="G90" s="0" t="s">
        <v>3748</v>
      </c>
    </row>
    <row customHeight="1" ht="11.25">
      <c r="A91" s="0" t="s">
        <v>14</v>
      </c>
      <c r="B91" s="0" t="s">
        <v>3653</v>
      </c>
      <c r="C91" s="0" t="s">
        <v>3654</v>
      </c>
      <c r="D91" s="0" t="s">
        <v>3657</v>
      </c>
      <c r="E91" s="0" t="s">
        <v>3658</v>
      </c>
      <c r="F91" s="0" t="s">
        <v>3557</v>
      </c>
      <c r="G91" s="0" t="s">
        <v>3753</v>
      </c>
    </row>
    <row customHeight="1" ht="11.25">
      <c r="A92" s="0" t="s">
        <v>14</v>
      </c>
      <c r="B92" s="0" t="s">
        <v>3653</v>
      </c>
      <c r="C92" s="0" t="s">
        <v>3654</v>
      </c>
      <c r="D92" s="0" t="s">
        <v>3659</v>
      </c>
      <c r="E92" s="0" t="s">
        <v>3660</v>
      </c>
      <c r="F92" s="0" t="s">
        <v>3557</v>
      </c>
      <c r="G92" s="0" t="s">
        <v>3756</v>
      </c>
    </row>
    <row customHeight="1" ht="11.25">
      <c r="A93" s="0" t="s">
        <v>14</v>
      </c>
      <c r="B93" s="0" t="s">
        <v>3653</v>
      </c>
      <c r="C93" s="0" t="s">
        <v>3654</v>
      </c>
      <c r="D93" s="0" t="s">
        <v>3661</v>
      </c>
      <c r="E93" s="0" t="s">
        <v>3662</v>
      </c>
      <c r="F93" s="0" t="s">
        <v>3563</v>
      </c>
      <c r="G93" s="0" t="s">
        <v>3759</v>
      </c>
    </row>
    <row customHeight="1" ht="11.25">
      <c r="A94" s="0" t="s">
        <v>14</v>
      </c>
      <c r="B94" s="0" t="s">
        <v>3653</v>
      </c>
      <c r="C94" s="0" t="s">
        <v>3654</v>
      </c>
      <c r="D94" s="0" t="s">
        <v>3663</v>
      </c>
      <c r="E94" s="0" t="s">
        <v>3664</v>
      </c>
      <c r="F94" s="0" t="s">
        <v>3557</v>
      </c>
      <c r="G94" s="0" t="s">
        <v>3762</v>
      </c>
    </row>
    <row customHeight="1" ht="11.25">
      <c r="A95" s="0" t="s">
        <v>14</v>
      </c>
      <c r="B95" s="0" t="s">
        <v>3653</v>
      </c>
      <c r="C95" s="0" t="s">
        <v>3654</v>
      </c>
      <c r="D95" s="0" t="s">
        <v>3666</v>
      </c>
      <c r="E95" s="0" t="s">
        <v>3667</v>
      </c>
      <c r="F95" s="0" t="s">
        <v>3557</v>
      </c>
      <c r="G95" s="0" t="s">
        <v>3765</v>
      </c>
    </row>
    <row customHeight="1" ht="11.25">
      <c r="A96" s="0" t="s">
        <v>14</v>
      </c>
      <c r="B96" s="0" t="s">
        <v>3653</v>
      </c>
      <c r="C96" s="0" t="s">
        <v>3654</v>
      </c>
      <c r="D96" s="0" t="s">
        <v>3653</v>
      </c>
      <c r="E96" s="0" t="s">
        <v>3654</v>
      </c>
      <c r="F96" s="0" t="s">
        <v>3558</v>
      </c>
      <c r="G96" s="0" t="s">
        <v>3766</v>
      </c>
    </row>
    <row customHeight="1" ht="11.25">
      <c r="A97" s="0" t="s">
        <v>14</v>
      </c>
      <c r="B97" s="0" t="s">
        <v>3653</v>
      </c>
      <c r="C97" s="0" t="s">
        <v>3654</v>
      </c>
      <c r="D97" s="0" t="s">
        <v>3670</v>
      </c>
      <c r="E97" s="0" t="s">
        <v>3671</v>
      </c>
      <c r="F97" s="0" t="s">
        <v>3557</v>
      </c>
      <c r="G97" s="0" t="s">
        <v>3769</v>
      </c>
    </row>
    <row customHeight="1" ht="11.25">
      <c r="A98" s="0" t="s">
        <v>14</v>
      </c>
      <c r="B98" s="0" t="s">
        <v>3673</v>
      </c>
      <c r="C98" s="0" t="s">
        <v>3674</v>
      </c>
      <c r="D98" s="0" t="s">
        <v>3673</v>
      </c>
      <c r="E98" s="0" t="s">
        <v>3674</v>
      </c>
      <c r="F98" s="0" t="s">
        <v>3539</v>
      </c>
      <c r="G98" s="0" t="s">
        <v>3772</v>
      </c>
    </row>
    <row customHeight="1" ht="11.25">
      <c r="A99" s="0" t="s">
        <v>14</v>
      </c>
      <c r="B99" s="0" t="s">
        <v>3880</v>
      </c>
      <c r="C99" s="0" t="s">
        <v>3881</v>
      </c>
      <c r="D99" s="0" t="s">
        <v>3882</v>
      </c>
      <c r="E99" s="0" t="s">
        <v>3883</v>
      </c>
      <c r="F99" s="0" t="s">
        <v>3557</v>
      </c>
      <c r="G99" s="0" t="s">
        <v>3775</v>
      </c>
    </row>
    <row customHeight="1" ht="11.25">
      <c r="A100" s="0" t="s">
        <v>14</v>
      </c>
      <c r="B100" s="0" t="s">
        <v>3880</v>
      </c>
      <c r="C100" s="0" t="s">
        <v>3881</v>
      </c>
      <c r="D100" s="0" t="s">
        <v>3884</v>
      </c>
      <c r="E100" s="0" t="s">
        <v>3885</v>
      </c>
      <c r="F100" s="0" t="s">
        <v>3557</v>
      </c>
      <c r="G100" s="0" t="s">
        <v>3780</v>
      </c>
    </row>
    <row customHeight="1" ht="11.25">
      <c r="A101" s="0" t="s">
        <v>14</v>
      </c>
      <c r="B101" s="0" t="s">
        <v>3880</v>
      </c>
      <c r="C101" s="0" t="s">
        <v>3881</v>
      </c>
      <c r="D101" s="0" t="s">
        <v>3886</v>
      </c>
      <c r="E101" s="0" t="s">
        <v>3887</v>
      </c>
      <c r="F101" s="0" t="s">
        <v>3580</v>
      </c>
      <c r="G101" s="0" t="s">
        <v>3783</v>
      </c>
    </row>
    <row customHeight="1" ht="11.25">
      <c r="A102" s="0" t="s">
        <v>14</v>
      </c>
      <c r="B102" s="0" t="s">
        <v>3880</v>
      </c>
      <c r="C102" s="0" t="s">
        <v>3881</v>
      </c>
      <c r="D102" s="0" t="s">
        <v>3880</v>
      </c>
      <c r="E102" s="0" t="s">
        <v>3881</v>
      </c>
      <c r="F102" s="0" t="s">
        <v>3558</v>
      </c>
      <c r="G102" s="0" t="s">
        <v>3786</v>
      </c>
    </row>
    <row customHeight="1" ht="11.25">
      <c r="A103" s="0" t="s">
        <v>14</v>
      </c>
      <c r="B103" s="0" t="s">
        <v>3880</v>
      </c>
      <c r="C103" s="0" t="s">
        <v>3881</v>
      </c>
      <c r="D103" s="0" t="s">
        <v>3670</v>
      </c>
      <c r="E103" s="0" t="s">
        <v>3888</v>
      </c>
      <c r="F103" s="0" t="s">
        <v>3557</v>
      </c>
      <c r="G103" s="0" t="s">
        <v>3789</v>
      </c>
    </row>
    <row customHeight="1" ht="11.25">
      <c r="A104" s="0" t="s">
        <v>14</v>
      </c>
      <c r="B104" s="0" t="s">
        <v>3676</v>
      </c>
      <c r="C104" s="0" t="s">
        <v>3677</v>
      </c>
      <c r="D104" s="0" t="s">
        <v>3676</v>
      </c>
      <c r="E104" s="0" t="s">
        <v>3677</v>
      </c>
      <c r="F104" s="0" t="s">
        <v>3539</v>
      </c>
      <c r="G104" s="0" t="s">
        <v>3790</v>
      </c>
    </row>
    <row customHeight="1" ht="11.25">
      <c r="A105" s="0" t="s">
        <v>14</v>
      </c>
      <c r="B105" s="0" t="s">
        <v>3889</v>
      </c>
      <c r="C105" s="0" t="s">
        <v>3890</v>
      </c>
      <c r="D105" s="0" t="s">
        <v>3891</v>
      </c>
      <c r="E105" s="0" t="s">
        <v>3892</v>
      </c>
      <c r="F105" s="0" t="s">
        <v>3557</v>
      </c>
      <c r="G105" s="0" t="s">
        <v>3793</v>
      </c>
    </row>
    <row customHeight="1" ht="11.25">
      <c r="A106" s="0" t="s">
        <v>14</v>
      </c>
      <c r="B106" s="0" t="s">
        <v>3889</v>
      </c>
      <c r="C106" s="0" t="s">
        <v>3890</v>
      </c>
      <c r="D106" s="0" t="s">
        <v>3893</v>
      </c>
      <c r="E106" s="0" t="s">
        <v>3894</v>
      </c>
      <c r="F106" s="0" t="s">
        <v>3557</v>
      </c>
      <c r="G106" s="0" t="s">
        <v>3794</v>
      </c>
    </row>
    <row customHeight="1" ht="11.25">
      <c r="A107" s="0" t="s">
        <v>14</v>
      </c>
      <c r="B107" s="0" t="s">
        <v>3889</v>
      </c>
      <c r="C107" s="0" t="s">
        <v>3890</v>
      </c>
      <c r="D107" s="0" t="s">
        <v>3895</v>
      </c>
      <c r="E107" s="0" t="s">
        <v>3896</v>
      </c>
      <c r="F107" s="0" t="s">
        <v>3557</v>
      </c>
      <c r="G107" s="0" t="s">
        <v>3797</v>
      </c>
    </row>
    <row customHeight="1" ht="11.25">
      <c r="A108" s="0" t="s">
        <v>14</v>
      </c>
      <c r="B108" s="0" t="s">
        <v>3889</v>
      </c>
      <c r="C108" s="0" t="s">
        <v>3890</v>
      </c>
      <c r="D108" s="0" t="s">
        <v>3897</v>
      </c>
      <c r="E108" s="0" t="s">
        <v>3898</v>
      </c>
      <c r="F108" s="0" t="s">
        <v>3557</v>
      </c>
      <c r="G108" s="0" t="s">
        <v>3899</v>
      </c>
    </row>
    <row customHeight="1" ht="11.25">
      <c r="A109" s="0" t="s">
        <v>14</v>
      </c>
      <c r="B109" s="0" t="s">
        <v>3889</v>
      </c>
      <c r="C109" s="0" t="s">
        <v>3890</v>
      </c>
      <c r="D109" s="0" t="s">
        <v>3900</v>
      </c>
      <c r="E109" s="0" t="s">
        <v>3901</v>
      </c>
      <c r="F109" s="0" t="s">
        <v>3580</v>
      </c>
      <c r="G109" s="0" t="s">
        <v>3902</v>
      </c>
    </row>
    <row customHeight="1" ht="11.25">
      <c r="A110" s="0" t="s">
        <v>14</v>
      </c>
      <c r="B110" s="0" t="s">
        <v>3889</v>
      </c>
      <c r="C110" s="0" t="s">
        <v>3890</v>
      </c>
      <c r="D110" s="0" t="s">
        <v>3903</v>
      </c>
      <c r="E110" s="0" t="s">
        <v>3904</v>
      </c>
      <c r="F110" s="0" t="s">
        <v>3563</v>
      </c>
      <c r="G110" s="0" t="s">
        <v>3905</v>
      </c>
    </row>
    <row customHeight="1" ht="11.25">
      <c r="A111" s="0" t="s">
        <v>14</v>
      </c>
      <c r="B111" s="0" t="s">
        <v>3889</v>
      </c>
      <c r="C111" s="0" t="s">
        <v>3890</v>
      </c>
      <c r="D111" s="0" t="s">
        <v>3906</v>
      </c>
      <c r="E111" s="0" t="s">
        <v>3907</v>
      </c>
      <c r="F111" s="0" t="s">
        <v>3557</v>
      </c>
      <c r="G111" s="0" t="s">
        <v>3908</v>
      </c>
    </row>
    <row customHeight="1" ht="11.25">
      <c r="A112" s="0" t="s">
        <v>14</v>
      </c>
      <c r="B112" s="0" t="s">
        <v>3889</v>
      </c>
      <c r="C112" s="0" t="s">
        <v>3890</v>
      </c>
      <c r="D112" s="0" t="s">
        <v>3889</v>
      </c>
      <c r="E112" s="0" t="s">
        <v>3890</v>
      </c>
      <c r="F112" s="0" t="s">
        <v>3558</v>
      </c>
      <c r="G112" s="0" t="s">
        <v>3909</v>
      </c>
    </row>
    <row customHeight="1" ht="11.25">
      <c r="A113" s="0" t="s">
        <v>14</v>
      </c>
      <c r="B113" s="0" t="s">
        <v>3889</v>
      </c>
      <c r="C113" s="0" t="s">
        <v>3890</v>
      </c>
      <c r="D113" s="0" t="s">
        <v>3910</v>
      </c>
      <c r="E113" s="0" t="s">
        <v>3911</v>
      </c>
      <c r="F113" s="0" t="s">
        <v>3557</v>
      </c>
      <c r="G113" s="0" t="s">
        <v>3912</v>
      </c>
    </row>
    <row customHeight="1" ht="11.25">
      <c r="A114" s="0" t="s">
        <v>14</v>
      </c>
      <c r="B114" s="0" t="s">
        <v>3889</v>
      </c>
      <c r="C114" s="0" t="s">
        <v>3890</v>
      </c>
      <c r="D114" s="0" t="s">
        <v>3913</v>
      </c>
      <c r="E114" s="0" t="s">
        <v>3914</v>
      </c>
      <c r="F114" s="0" t="s">
        <v>3557</v>
      </c>
      <c r="G114" s="0" t="s">
        <v>3915</v>
      </c>
    </row>
    <row customHeight="1" ht="11.25">
      <c r="A115" s="0" t="s">
        <v>14</v>
      </c>
      <c r="B115" s="0" t="s">
        <v>3889</v>
      </c>
      <c r="C115" s="0" t="s">
        <v>3890</v>
      </c>
      <c r="D115" s="0" t="s">
        <v>3916</v>
      </c>
      <c r="E115" s="0" t="s">
        <v>3917</v>
      </c>
      <c r="F115" s="0" t="s">
        <v>3557</v>
      </c>
      <c r="G115" s="0" t="s">
        <v>3918</v>
      </c>
    </row>
    <row customHeight="1" ht="11.25">
      <c r="A116" s="0" t="s">
        <v>14</v>
      </c>
      <c r="B116" s="0" t="s">
        <v>3889</v>
      </c>
      <c r="C116" s="0" t="s">
        <v>3890</v>
      </c>
      <c r="D116" s="0" t="s">
        <v>3919</v>
      </c>
      <c r="E116" s="0" t="s">
        <v>3920</v>
      </c>
      <c r="F116" s="0" t="s">
        <v>3557</v>
      </c>
      <c r="G116" s="0" t="s">
        <v>3921</v>
      </c>
    </row>
    <row customHeight="1" ht="11.25">
      <c r="A117" s="0" t="s">
        <v>14</v>
      </c>
      <c r="B117" s="0" t="s">
        <v>3679</v>
      </c>
      <c r="C117" s="0" t="s">
        <v>3680</v>
      </c>
      <c r="D117" s="0" t="s">
        <v>3681</v>
      </c>
      <c r="E117" s="0" t="s">
        <v>3682</v>
      </c>
      <c r="F117" s="0" t="s">
        <v>3557</v>
      </c>
      <c r="G117" s="0" t="s">
        <v>3922</v>
      </c>
    </row>
    <row customHeight="1" ht="11.25">
      <c r="A118" s="0" t="s">
        <v>14</v>
      </c>
      <c r="B118" s="0" t="s">
        <v>3679</v>
      </c>
      <c r="C118" s="0" t="s">
        <v>3680</v>
      </c>
      <c r="D118" s="0" t="s">
        <v>3683</v>
      </c>
      <c r="E118" s="0" t="s">
        <v>3684</v>
      </c>
      <c r="F118" s="0" t="s">
        <v>3557</v>
      </c>
      <c r="G118" s="0" t="s">
        <v>3923</v>
      </c>
    </row>
    <row customHeight="1" ht="11.25">
      <c r="A119" s="0" t="s">
        <v>14</v>
      </c>
      <c r="B119" s="0" t="s">
        <v>3679</v>
      </c>
      <c r="C119" s="0" t="s">
        <v>3680</v>
      </c>
      <c r="D119" s="0" t="s">
        <v>3686</v>
      </c>
      <c r="E119" s="0" t="s">
        <v>3687</v>
      </c>
      <c r="F119" s="0" t="s">
        <v>3557</v>
      </c>
      <c r="G119" s="0" t="s">
        <v>3924</v>
      </c>
    </row>
    <row customHeight="1" ht="11.25">
      <c r="A120" s="0" t="s">
        <v>14</v>
      </c>
      <c r="B120" s="0" t="s">
        <v>3679</v>
      </c>
      <c r="C120" s="0" t="s">
        <v>3680</v>
      </c>
      <c r="D120" s="0" t="s">
        <v>3688</v>
      </c>
      <c r="E120" s="0" t="s">
        <v>3689</v>
      </c>
      <c r="F120" s="0" t="s">
        <v>3557</v>
      </c>
      <c r="G120" s="0" t="s">
        <v>3925</v>
      </c>
    </row>
    <row customHeight="1" ht="11.25">
      <c r="A121" s="0" t="s">
        <v>14</v>
      </c>
      <c r="B121" s="0" t="s">
        <v>3679</v>
      </c>
      <c r="C121" s="0" t="s">
        <v>3680</v>
      </c>
      <c r="D121" s="0" t="s">
        <v>3691</v>
      </c>
      <c r="E121" s="0" t="s">
        <v>3692</v>
      </c>
      <c r="F121" s="0" t="s">
        <v>3557</v>
      </c>
      <c r="G121" s="0" t="s">
        <v>3926</v>
      </c>
    </row>
    <row customHeight="1" ht="11.25">
      <c r="A122" s="0" t="s">
        <v>14</v>
      </c>
      <c r="B122" s="0" t="s">
        <v>3679</v>
      </c>
      <c r="C122" s="0" t="s">
        <v>3680</v>
      </c>
      <c r="D122" s="0" t="s">
        <v>3679</v>
      </c>
      <c r="E122" s="0" t="s">
        <v>3680</v>
      </c>
      <c r="F122" s="0" t="s">
        <v>3558</v>
      </c>
      <c r="G122" s="0" t="s">
        <v>3927</v>
      </c>
    </row>
    <row customHeight="1" ht="11.25">
      <c r="A123" s="0" t="s">
        <v>14</v>
      </c>
      <c r="B123" s="0" t="s">
        <v>3679</v>
      </c>
      <c r="C123" s="0" t="s">
        <v>3680</v>
      </c>
      <c r="D123" s="0" t="s">
        <v>3695</v>
      </c>
      <c r="E123" s="0" t="s">
        <v>3696</v>
      </c>
      <c r="F123" s="0" t="s">
        <v>3557</v>
      </c>
      <c r="G123" s="0" t="s">
        <v>3928</v>
      </c>
    </row>
    <row customHeight="1" ht="11.25">
      <c r="A124" s="0" t="s">
        <v>14</v>
      </c>
      <c r="B124" s="0" t="s">
        <v>3679</v>
      </c>
      <c r="C124" s="0" t="s">
        <v>3680</v>
      </c>
      <c r="D124" s="0" t="s">
        <v>3698</v>
      </c>
      <c r="E124" s="0" t="s">
        <v>3699</v>
      </c>
      <c r="F124" s="0" t="s">
        <v>3557</v>
      </c>
      <c r="G124" s="0" t="s">
        <v>3929</v>
      </c>
    </row>
    <row customHeight="1" ht="11.25">
      <c r="A125" s="0" t="s">
        <v>14</v>
      </c>
      <c r="B125" s="0" t="s">
        <v>3679</v>
      </c>
      <c r="C125" s="0" t="s">
        <v>3680</v>
      </c>
      <c r="D125" s="0" t="s">
        <v>3701</v>
      </c>
      <c r="E125" s="0" t="s">
        <v>3702</v>
      </c>
      <c r="F125" s="0" t="s">
        <v>3557</v>
      </c>
      <c r="G125" s="0" t="s">
        <v>3930</v>
      </c>
    </row>
    <row customHeight="1" ht="11.25">
      <c r="A126" s="0" t="s">
        <v>14</v>
      </c>
      <c r="B126" s="0" t="s">
        <v>3704</v>
      </c>
      <c r="C126" s="0" t="s">
        <v>3705</v>
      </c>
      <c r="D126" s="0" t="s">
        <v>3704</v>
      </c>
      <c r="E126" s="0" t="s">
        <v>3705</v>
      </c>
      <c r="F126" s="0" t="s">
        <v>3539</v>
      </c>
      <c r="G126" s="0" t="s">
        <v>3931</v>
      </c>
    </row>
    <row customHeight="1" ht="11.25">
      <c r="A127" s="0" t="s">
        <v>14</v>
      </c>
      <c r="B127" s="0" t="s">
        <v>3932</v>
      </c>
      <c r="C127" s="0" t="s">
        <v>3933</v>
      </c>
      <c r="D127" s="0" t="s">
        <v>3934</v>
      </c>
      <c r="E127" s="0" t="s">
        <v>3935</v>
      </c>
      <c r="F127" s="0" t="s">
        <v>3557</v>
      </c>
      <c r="G127" s="0" t="s">
        <v>3936</v>
      </c>
    </row>
    <row customHeight="1" ht="11.25">
      <c r="A128" s="0" t="s">
        <v>14</v>
      </c>
      <c r="B128" s="0" t="s">
        <v>3932</v>
      </c>
      <c r="C128" s="0" t="s">
        <v>3933</v>
      </c>
      <c r="D128" s="0" t="s">
        <v>3937</v>
      </c>
      <c r="E128" s="0" t="s">
        <v>3938</v>
      </c>
      <c r="F128" s="0" t="s">
        <v>3557</v>
      </c>
      <c r="G128" s="0" t="s">
        <v>3939</v>
      </c>
    </row>
    <row customHeight="1" ht="11.25">
      <c r="A129" s="0" t="s">
        <v>14</v>
      </c>
      <c r="B129" s="0" t="s">
        <v>3932</v>
      </c>
      <c r="C129" s="0" t="s">
        <v>3933</v>
      </c>
      <c r="D129" s="0" t="s">
        <v>3940</v>
      </c>
      <c r="E129" s="0" t="s">
        <v>3941</v>
      </c>
      <c r="F129" s="0" t="s">
        <v>3557</v>
      </c>
      <c r="G129" s="0" t="s">
        <v>3942</v>
      </c>
    </row>
    <row customHeight="1" ht="11.25">
      <c r="A130" s="0" t="s">
        <v>14</v>
      </c>
      <c r="B130" s="0" t="s">
        <v>3932</v>
      </c>
      <c r="C130" s="0" t="s">
        <v>3933</v>
      </c>
      <c r="D130" s="0" t="s">
        <v>3943</v>
      </c>
      <c r="E130" s="0" t="s">
        <v>3944</v>
      </c>
      <c r="F130" s="0" t="s">
        <v>3557</v>
      </c>
      <c r="G130" s="0" t="s">
        <v>3945</v>
      </c>
    </row>
    <row customHeight="1" ht="11.25">
      <c r="A131" s="0" t="s">
        <v>14</v>
      </c>
      <c r="B131" s="0" t="s">
        <v>3932</v>
      </c>
      <c r="C131" s="0" t="s">
        <v>3933</v>
      </c>
      <c r="D131" s="0" t="s">
        <v>3946</v>
      </c>
      <c r="E131" s="0" t="s">
        <v>3947</v>
      </c>
      <c r="F131" s="0" t="s">
        <v>3563</v>
      </c>
      <c r="G131" s="0" t="s">
        <v>3948</v>
      </c>
    </row>
    <row customHeight="1" ht="11.25">
      <c r="A132" s="0" t="s">
        <v>14</v>
      </c>
      <c r="B132" s="0" t="s">
        <v>3932</v>
      </c>
      <c r="C132" s="0" t="s">
        <v>3933</v>
      </c>
      <c r="D132" s="0" t="s">
        <v>3949</v>
      </c>
      <c r="E132" s="0" t="s">
        <v>3950</v>
      </c>
      <c r="F132" s="0" t="s">
        <v>3580</v>
      </c>
      <c r="G132" s="0" t="s">
        <v>3951</v>
      </c>
    </row>
    <row customHeight="1" ht="11.25">
      <c r="A133" s="0" t="s">
        <v>14</v>
      </c>
      <c r="B133" s="0" t="s">
        <v>3932</v>
      </c>
      <c r="C133" s="0" t="s">
        <v>3933</v>
      </c>
      <c r="D133" s="0" t="s">
        <v>3952</v>
      </c>
      <c r="E133" s="0" t="s">
        <v>3953</v>
      </c>
      <c r="F133" s="0" t="s">
        <v>3557</v>
      </c>
      <c r="G133" s="0" t="s">
        <v>3954</v>
      </c>
    </row>
    <row customHeight="1" ht="11.25">
      <c r="A134" s="0" t="s">
        <v>14</v>
      </c>
      <c r="B134" s="0" t="s">
        <v>3932</v>
      </c>
      <c r="C134" s="0" t="s">
        <v>3933</v>
      </c>
      <c r="D134" s="0" t="s">
        <v>3955</v>
      </c>
      <c r="E134" s="0" t="s">
        <v>3956</v>
      </c>
      <c r="F134" s="0" t="s">
        <v>3580</v>
      </c>
      <c r="G134" s="0" t="s">
        <v>3957</v>
      </c>
    </row>
    <row customHeight="1" ht="11.25">
      <c r="A135" s="0" t="s">
        <v>14</v>
      </c>
      <c r="B135" s="0" t="s">
        <v>3932</v>
      </c>
      <c r="C135" s="0" t="s">
        <v>3933</v>
      </c>
      <c r="D135" s="0" t="s">
        <v>3932</v>
      </c>
      <c r="E135" s="0" t="s">
        <v>3933</v>
      </c>
      <c r="F135" s="0" t="s">
        <v>3558</v>
      </c>
      <c r="G135" s="0" t="s">
        <v>3958</v>
      </c>
    </row>
    <row customHeight="1" ht="11.25">
      <c r="A136" s="0" t="s">
        <v>14</v>
      </c>
      <c r="B136" s="0" t="s">
        <v>3932</v>
      </c>
      <c r="C136" s="0" t="s">
        <v>3933</v>
      </c>
      <c r="D136" s="0" t="s">
        <v>3959</v>
      </c>
      <c r="E136" s="0" t="s">
        <v>3960</v>
      </c>
      <c r="F136" s="0" t="s">
        <v>3580</v>
      </c>
      <c r="G136" s="0" t="s">
        <v>3961</v>
      </c>
    </row>
    <row customHeight="1" ht="11.25">
      <c r="A137" s="0" t="s">
        <v>14</v>
      </c>
      <c r="B137" s="0" t="s">
        <v>3932</v>
      </c>
      <c r="C137" s="0" t="s">
        <v>3933</v>
      </c>
      <c r="D137" s="0" t="s">
        <v>3962</v>
      </c>
      <c r="E137" s="0" t="s">
        <v>3963</v>
      </c>
      <c r="F137" s="0" t="s">
        <v>3557</v>
      </c>
      <c r="G137" s="0" t="s">
        <v>3964</v>
      </c>
    </row>
    <row customHeight="1" ht="11.25">
      <c r="A138" s="0" t="s">
        <v>14</v>
      </c>
      <c r="B138" s="0" t="s">
        <v>3932</v>
      </c>
      <c r="C138" s="0" t="s">
        <v>3933</v>
      </c>
      <c r="D138" s="0" t="s">
        <v>3965</v>
      </c>
      <c r="E138" s="0" t="s">
        <v>3966</v>
      </c>
      <c r="F138" s="0" t="s">
        <v>3557</v>
      </c>
      <c r="G138" s="0" t="s">
        <v>3967</v>
      </c>
    </row>
    <row customHeight="1" ht="11.25">
      <c r="A139" s="0" t="s">
        <v>14</v>
      </c>
      <c r="B139" s="0" t="s">
        <v>3707</v>
      </c>
      <c r="C139" s="0" t="s">
        <v>3708</v>
      </c>
      <c r="D139" s="0" t="s">
        <v>3707</v>
      </c>
      <c r="E139" s="0" t="s">
        <v>3708</v>
      </c>
      <c r="F139" s="0" t="s">
        <v>3542</v>
      </c>
      <c r="G139" s="0" t="s">
        <v>3968</v>
      </c>
    </row>
    <row customHeight="1" ht="11.25">
      <c r="A140" s="0" t="s">
        <v>14</v>
      </c>
      <c r="B140" s="0" t="s">
        <v>3710</v>
      </c>
      <c r="C140" s="0" t="s">
        <v>3711</v>
      </c>
      <c r="D140" s="0" t="s">
        <v>3710</v>
      </c>
      <c r="E140" s="0" t="s">
        <v>3711</v>
      </c>
      <c r="F140" s="0" t="s">
        <v>3539</v>
      </c>
      <c r="G140" s="0" t="s">
        <v>3969</v>
      </c>
    </row>
    <row customHeight="1" ht="11.25">
      <c r="A141" s="0" t="s">
        <v>14</v>
      </c>
      <c r="B141" s="0" t="s">
        <v>3970</v>
      </c>
      <c r="C141" s="0" t="s">
        <v>3971</v>
      </c>
      <c r="D141" s="0" t="s">
        <v>3972</v>
      </c>
      <c r="E141" s="0" t="s">
        <v>3973</v>
      </c>
      <c r="F141" s="0" t="s">
        <v>3557</v>
      </c>
      <c r="G141" s="0" t="s">
        <v>3974</v>
      </c>
    </row>
    <row customHeight="1" ht="11.25">
      <c r="A142" s="0" t="s">
        <v>14</v>
      </c>
      <c r="B142" s="0" t="s">
        <v>3970</v>
      </c>
      <c r="C142" s="0" t="s">
        <v>3971</v>
      </c>
      <c r="D142" s="0" t="s">
        <v>3975</v>
      </c>
      <c r="E142" s="0" t="s">
        <v>3976</v>
      </c>
      <c r="F142" s="0" t="s">
        <v>3557</v>
      </c>
      <c r="G142" s="0" t="s">
        <v>3977</v>
      </c>
    </row>
    <row customHeight="1" ht="11.25">
      <c r="A143" s="0" t="s">
        <v>14</v>
      </c>
      <c r="B143" s="0" t="s">
        <v>3970</v>
      </c>
      <c r="C143" s="0" t="s">
        <v>3971</v>
      </c>
      <c r="D143" s="0" t="s">
        <v>3978</v>
      </c>
      <c r="E143" s="0" t="s">
        <v>3979</v>
      </c>
      <c r="F143" s="0" t="s">
        <v>3557</v>
      </c>
      <c r="G143" s="0" t="s">
        <v>3980</v>
      </c>
    </row>
    <row customHeight="1" ht="11.25">
      <c r="A144" s="0" t="s">
        <v>14</v>
      </c>
      <c r="B144" s="0" t="s">
        <v>3970</v>
      </c>
      <c r="C144" s="0" t="s">
        <v>3971</v>
      </c>
      <c r="D144" s="0" t="s">
        <v>3981</v>
      </c>
      <c r="E144" s="0" t="s">
        <v>3982</v>
      </c>
      <c r="F144" s="0" t="s">
        <v>3563</v>
      </c>
      <c r="G144" s="0" t="s">
        <v>3983</v>
      </c>
    </row>
    <row customHeight="1" ht="11.25">
      <c r="A145" s="0" t="s">
        <v>14</v>
      </c>
      <c r="B145" s="0" t="s">
        <v>3970</v>
      </c>
      <c r="C145" s="0" t="s">
        <v>3971</v>
      </c>
      <c r="D145" s="0" t="s">
        <v>3984</v>
      </c>
      <c r="E145" s="0" t="s">
        <v>3985</v>
      </c>
      <c r="F145" s="0" t="s">
        <v>3557</v>
      </c>
      <c r="G145" s="0" t="s">
        <v>3986</v>
      </c>
    </row>
    <row customHeight="1" ht="11.25">
      <c r="A146" s="0" t="s">
        <v>14</v>
      </c>
      <c r="B146" s="0" t="s">
        <v>3970</v>
      </c>
      <c r="C146" s="0" t="s">
        <v>3971</v>
      </c>
      <c r="D146" s="0" t="s">
        <v>3987</v>
      </c>
      <c r="E146" s="0" t="s">
        <v>3988</v>
      </c>
      <c r="F146" s="0" t="s">
        <v>3557</v>
      </c>
      <c r="G146" s="0" t="s">
        <v>3989</v>
      </c>
    </row>
    <row customHeight="1" ht="11.25">
      <c r="A147" s="0" t="s">
        <v>14</v>
      </c>
      <c r="B147" s="0" t="s">
        <v>3970</v>
      </c>
      <c r="C147" s="0" t="s">
        <v>3971</v>
      </c>
      <c r="D147" s="0" t="s">
        <v>3990</v>
      </c>
      <c r="E147" s="0" t="s">
        <v>3991</v>
      </c>
      <c r="F147" s="0" t="s">
        <v>3557</v>
      </c>
      <c r="G147" s="0" t="s">
        <v>3992</v>
      </c>
    </row>
    <row customHeight="1" ht="11.25">
      <c r="A148" s="0" t="s">
        <v>14</v>
      </c>
      <c r="B148" s="0" t="s">
        <v>3970</v>
      </c>
      <c r="C148" s="0" t="s">
        <v>3971</v>
      </c>
      <c r="D148" s="0" t="s">
        <v>3993</v>
      </c>
      <c r="E148" s="0" t="s">
        <v>3994</v>
      </c>
      <c r="F148" s="0" t="s">
        <v>3557</v>
      </c>
      <c r="G148" s="0" t="s">
        <v>3995</v>
      </c>
    </row>
    <row customHeight="1" ht="11.25">
      <c r="A149" s="0" t="s">
        <v>14</v>
      </c>
      <c r="B149" s="0" t="s">
        <v>3970</v>
      </c>
      <c r="C149" s="0" t="s">
        <v>3971</v>
      </c>
      <c r="D149" s="0" t="s">
        <v>3970</v>
      </c>
      <c r="E149" s="0" t="s">
        <v>3971</v>
      </c>
      <c r="F149" s="0" t="s">
        <v>3558</v>
      </c>
      <c r="G149" s="0" t="s">
        <v>3996</v>
      </c>
    </row>
    <row customHeight="1" ht="11.25">
      <c r="A150" s="0" t="s">
        <v>14</v>
      </c>
      <c r="B150" s="0" t="s">
        <v>3713</v>
      </c>
      <c r="C150" s="0" t="s">
        <v>3714</v>
      </c>
      <c r="D150" s="0" t="s">
        <v>3713</v>
      </c>
      <c r="E150" s="0" t="s">
        <v>3714</v>
      </c>
      <c r="F150" s="0" t="s">
        <v>3539</v>
      </c>
      <c r="G150" s="0" t="s">
        <v>3997</v>
      </c>
    </row>
    <row customHeight="1" ht="11.25">
      <c r="A151" s="0" t="s">
        <v>14</v>
      </c>
      <c r="B151" s="0" t="s">
        <v>3998</v>
      </c>
      <c r="C151" s="0" t="s">
        <v>3999</v>
      </c>
      <c r="D151" s="0" t="s">
        <v>4000</v>
      </c>
      <c r="E151" s="0" t="s">
        <v>4001</v>
      </c>
      <c r="F151" s="0" t="s">
        <v>3557</v>
      </c>
      <c r="G151" s="0" t="s">
        <v>4002</v>
      </c>
    </row>
    <row customHeight="1" ht="11.25">
      <c r="A152" s="0" t="s">
        <v>14</v>
      </c>
      <c r="B152" s="0" t="s">
        <v>3998</v>
      </c>
      <c r="C152" s="0" t="s">
        <v>3999</v>
      </c>
      <c r="D152" s="0" t="s">
        <v>4003</v>
      </c>
      <c r="E152" s="0" t="s">
        <v>4004</v>
      </c>
      <c r="F152" s="0" t="s">
        <v>3557</v>
      </c>
      <c r="G152" s="0" t="s">
        <v>4005</v>
      </c>
    </row>
    <row customHeight="1" ht="11.25">
      <c r="A153" s="0" t="s">
        <v>14</v>
      </c>
      <c r="B153" s="0" t="s">
        <v>3998</v>
      </c>
      <c r="C153" s="0" t="s">
        <v>3999</v>
      </c>
      <c r="D153" s="0" t="s">
        <v>4006</v>
      </c>
      <c r="E153" s="0" t="s">
        <v>4007</v>
      </c>
      <c r="F153" s="0" t="s">
        <v>3580</v>
      </c>
      <c r="G153" s="0" t="s">
        <v>4008</v>
      </c>
    </row>
    <row customHeight="1" ht="11.25">
      <c r="A154" s="0" t="s">
        <v>14</v>
      </c>
      <c r="B154" s="0" t="s">
        <v>3998</v>
      </c>
      <c r="C154" s="0" t="s">
        <v>3999</v>
      </c>
      <c r="D154" s="0" t="s">
        <v>4009</v>
      </c>
      <c r="E154" s="0" t="s">
        <v>4010</v>
      </c>
      <c r="F154" s="0" t="s">
        <v>3580</v>
      </c>
      <c r="G154" s="0" t="s">
        <v>4011</v>
      </c>
    </row>
    <row customHeight="1" ht="11.25">
      <c r="A155" s="0" t="s">
        <v>14</v>
      </c>
      <c r="B155" s="0" t="s">
        <v>3998</v>
      </c>
      <c r="C155" s="0" t="s">
        <v>3999</v>
      </c>
      <c r="D155" s="0" t="s">
        <v>4012</v>
      </c>
      <c r="E155" s="0" t="s">
        <v>4013</v>
      </c>
      <c r="F155" s="0" t="s">
        <v>3580</v>
      </c>
      <c r="G155" s="0" t="s">
        <v>4014</v>
      </c>
    </row>
    <row customHeight="1" ht="11.25">
      <c r="A156" s="0" t="s">
        <v>14</v>
      </c>
      <c r="B156" s="0" t="s">
        <v>3998</v>
      </c>
      <c r="C156" s="0" t="s">
        <v>3999</v>
      </c>
      <c r="D156" s="0" t="s">
        <v>4015</v>
      </c>
      <c r="E156" s="0" t="s">
        <v>4016</v>
      </c>
      <c r="F156" s="0" t="s">
        <v>3580</v>
      </c>
      <c r="G156" s="0" t="s">
        <v>4017</v>
      </c>
    </row>
    <row customHeight="1" ht="11.25">
      <c r="A157" s="0" t="s">
        <v>14</v>
      </c>
      <c r="B157" s="0" t="s">
        <v>3998</v>
      </c>
      <c r="C157" s="0" t="s">
        <v>3999</v>
      </c>
      <c r="D157" s="0" t="s">
        <v>4018</v>
      </c>
      <c r="E157" s="0" t="s">
        <v>4019</v>
      </c>
      <c r="F157" s="0" t="s">
        <v>3580</v>
      </c>
      <c r="G157" s="0" t="s">
        <v>4020</v>
      </c>
    </row>
    <row customHeight="1" ht="11.25">
      <c r="A158" s="0" t="s">
        <v>14</v>
      </c>
      <c r="B158" s="0" t="s">
        <v>3998</v>
      </c>
      <c r="C158" s="0" t="s">
        <v>3999</v>
      </c>
      <c r="D158" s="0" t="s">
        <v>3998</v>
      </c>
      <c r="E158" s="0" t="s">
        <v>3999</v>
      </c>
      <c r="F158" s="0" t="s">
        <v>3558</v>
      </c>
      <c r="G158" s="0" t="s">
        <v>4021</v>
      </c>
    </row>
    <row customHeight="1" ht="11.25">
      <c r="A159" s="0" t="s">
        <v>14</v>
      </c>
      <c r="B159" s="0" t="s">
        <v>3998</v>
      </c>
      <c r="C159" s="0" t="s">
        <v>3999</v>
      </c>
      <c r="D159" s="0" t="s">
        <v>4022</v>
      </c>
      <c r="E159" s="0" t="s">
        <v>4023</v>
      </c>
      <c r="F159" s="0" t="s">
        <v>3580</v>
      </c>
      <c r="G159" s="0" t="s">
        <v>4024</v>
      </c>
    </row>
    <row customHeight="1" ht="11.25">
      <c r="A160" s="0" t="s">
        <v>14</v>
      </c>
      <c r="B160" s="0" t="s">
        <v>3716</v>
      </c>
      <c r="C160" s="0" t="s">
        <v>3717</v>
      </c>
      <c r="D160" s="0" t="s">
        <v>3716</v>
      </c>
      <c r="E160" s="0" t="s">
        <v>3717</v>
      </c>
      <c r="F160" s="0" t="s">
        <v>3539</v>
      </c>
      <c r="G160" s="0" t="s">
        <v>4025</v>
      </c>
    </row>
    <row customHeight="1" ht="11.25">
      <c r="A161" s="0" t="s">
        <v>14</v>
      </c>
      <c r="B161" s="0" t="s">
        <v>4026</v>
      </c>
      <c r="C161" s="0" t="s">
        <v>4027</v>
      </c>
      <c r="D161" s="0" t="s">
        <v>4028</v>
      </c>
      <c r="E161" s="0" t="s">
        <v>4029</v>
      </c>
      <c r="F161" s="0" t="s">
        <v>3557</v>
      </c>
      <c r="G161" s="0" t="s">
        <v>4030</v>
      </c>
    </row>
    <row customHeight="1" ht="11.25">
      <c r="A162" s="0" t="s">
        <v>14</v>
      </c>
      <c r="B162" s="0" t="s">
        <v>4026</v>
      </c>
      <c r="C162" s="0" t="s">
        <v>4027</v>
      </c>
      <c r="D162" s="0" t="s">
        <v>4031</v>
      </c>
      <c r="E162" s="0" t="s">
        <v>4032</v>
      </c>
      <c r="F162" s="0" t="s">
        <v>3557</v>
      </c>
      <c r="G162" s="0" t="s">
        <v>4033</v>
      </c>
    </row>
    <row customHeight="1" ht="11.25">
      <c r="A163" s="0" t="s">
        <v>14</v>
      </c>
      <c r="B163" s="0" t="s">
        <v>4026</v>
      </c>
      <c r="C163" s="0" t="s">
        <v>4027</v>
      </c>
      <c r="D163" s="0" t="s">
        <v>4034</v>
      </c>
      <c r="E163" s="0" t="s">
        <v>4035</v>
      </c>
      <c r="F163" s="0" t="s">
        <v>3557</v>
      </c>
      <c r="G163" s="0" t="s">
        <v>4036</v>
      </c>
    </row>
    <row customHeight="1" ht="11.25">
      <c r="A164" s="0" t="s">
        <v>14</v>
      </c>
      <c r="B164" s="0" t="s">
        <v>4026</v>
      </c>
      <c r="C164" s="0" t="s">
        <v>4027</v>
      </c>
      <c r="D164" s="0" t="s">
        <v>4037</v>
      </c>
      <c r="E164" s="0" t="s">
        <v>4038</v>
      </c>
      <c r="F164" s="0" t="s">
        <v>3557</v>
      </c>
      <c r="G164" s="0" t="s">
        <v>4039</v>
      </c>
    </row>
    <row customHeight="1" ht="11.25">
      <c r="A165" s="0" t="s">
        <v>14</v>
      </c>
      <c r="B165" s="0" t="s">
        <v>4026</v>
      </c>
      <c r="C165" s="0" t="s">
        <v>4027</v>
      </c>
      <c r="D165" s="0" t="s">
        <v>4026</v>
      </c>
      <c r="E165" s="0" t="s">
        <v>4027</v>
      </c>
      <c r="F165" s="0" t="s">
        <v>3558</v>
      </c>
      <c r="G165" s="0" t="s">
        <v>4040</v>
      </c>
    </row>
    <row customHeight="1" ht="11.25">
      <c r="A166" s="0" t="s">
        <v>14</v>
      </c>
      <c r="B166" s="0" t="s">
        <v>4026</v>
      </c>
      <c r="C166" s="0" t="s">
        <v>4027</v>
      </c>
      <c r="D166" s="0" t="s">
        <v>4041</v>
      </c>
      <c r="E166" s="0" t="s">
        <v>4042</v>
      </c>
      <c r="F166" s="0" t="s">
        <v>3557</v>
      </c>
      <c r="G166" s="0" t="s">
        <v>4043</v>
      </c>
    </row>
    <row customHeight="1" ht="11.25">
      <c r="A167" s="0" t="s">
        <v>14</v>
      </c>
      <c r="B167" s="0" t="s">
        <v>4026</v>
      </c>
      <c r="C167" s="0" t="s">
        <v>4027</v>
      </c>
      <c r="D167" s="0" t="s">
        <v>4044</v>
      </c>
      <c r="E167" s="0" t="s">
        <v>4045</v>
      </c>
      <c r="F167" s="0" t="s">
        <v>3580</v>
      </c>
      <c r="G167" s="0" t="s">
        <v>4046</v>
      </c>
    </row>
    <row customHeight="1" ht="11.25">
      <c r="A168" s="0" t="s">
        <v>14</v>
      </c>
      <c r="B168" s="0" t="s">
        <v>3719</v>
      </c>
      <c r="C168" s="0" t="s">
        <v>3720</v>
      </c>
      <c r="D168" s="0" t="s">
        <v>3719</v>
      </c>
      <c r="E168" s="0" t="s">
        <v>3720</v>
      </c>
      <c r="F168" s="0" t="s">
        <v>3539</v>
      </c>
      <c r="G168" s="0" t="s">
        <v>4047</v>
      </c>
    </row>
    <row customHeight="1" ht="11.25">
      <c r="A169" s="0" t="s">
        <v>14</v>
      </c>
      <c r="B169" s="0" t="s">
        <v>3722</v>
      </c>
      <c r="C169" s="0" t="s">
        <v>3723</v>
      </c>
      <c r="D169" s="0" t="s">
        <v>3724</v>
      </c>
      <c r="E169" s="0" t="s">
        <v>3725</v>
      </c>
      <c r="F169" s="0" t="s">
        <v>3557</v>
      </c>
      <c r="G169" s="0" t="s">
        <v>4048</v>
      </c>
    </row>
    <row customHeight="1" ht="11.25">
      <c r="A170" s="0" t="s">
        <v>14</v>
      </c>
      <c r="B170" s="0" t="s">
        <v>3722</v>
      </c>
      <c r="C170" s="0" t="s">
        <v>3723</v>
      </c>
      <c r="D170" s="0" t="s">
        <v>3727</v>
      </c>
      <c r="E170" s="0" t="s">
        <v>3728</v>
      </c>
      <c r="F170" s="0" t="s">
        <v>3563</v>
      </c>
      <c r="G170" s="0" t="s">
        <v>4049</v>
      </c>
    </row>
    <row customHeight="1" ht="11.25">
      <c r="A171" s="0" t="s">
        <v>14</v>
      </c>
      <c r="B171" s="0" t="s">
        <v>3722</v>
      </c>
      <c r="C171" s="0" t="s">
        <v>3723</v>
      </c>
      <c r="D171" s="0" t="s">
        <v>3730</v>
      </c>
      <c r="E171" s="0" t="s">
        <v>3731</v>
      </c>
      <c r="F171" s="0" t="s">
        <v>3557</v>
      </c>
      <c r="G171" s="0" t="s">
        <v>4050</v>
      </c>
    </row>
    <row customHeight="1" ht="11.25">
      <c r="A172" s="0" t="s">
        <v>14</v>
      </c>
      <c r="B172" s="0" t="s">
        <v>3722</v>
      </c>
      <c r="C172" s="0" t="s">
        <v>3723</v>
      </c>
      <c r="D172" s="0" t="s">
        <v>3733</v>
      </c>
      <c r="E172" s="0" t="s">
        <v>3734</v>
      </c>
      <c r="F172" s="0" t="s">
        <v>3580</v>
      </c>
      <c r="G172" s="0" t="s">
        <v>4051</v>
      </c>
    </row>
    <row customHeight="1" ht="11.25">
      <c r="A173" s="0" t="s">
        <v>14</v>
      </c>
      <c r="B173" s="0" t="s">
        <v>3722</v>
      </c>
      <c r="C173" s="0" t="s">
        <v>3723</v>
      </c>
      <c r="D173" s="0" t="s">
        <v>3736</v>
      </c>
      <c r="E173" s="0" t="s">
        <v>3737</v>
      </c>
      <c r="F173" s="0" t="s">
        <v>3557</v>
      </c>
      <c r="G173" s="0" t="s">
        <v>4052</v>
      </c>
    </row>
    <row customHeight="1" ht="11.25">
      <c r="A174" s="0" t="s">
        <v>14</v>
      </c>
      <c r="B174" s="0" t="s">
        <v>3722</v>
      </c>
      <c r="C174" s="0" t="s">
        <v>3723</v>
      </c>
      <c r="D174" s="0" t="s">
        <v>3722</v>
      </c>
      <c r="E174" s="0" t="s">
        <v>3723</v>
      </c>
      <c r="F174" s="0" t="s">
        <v>3558</v>
      </c>
      <c r="G174" s="0" t="s">
        <v>4053</v>
      </c>
    </row>
    <row customHeight="1" ht="11.25">
      <c r="A175" s="0" t="s">
        <v>14</v>
      </c>
      <c r="B175" s="0" t="s">
        <v>3722</v>
      </c>
      <c r="C175" s="0" t="s">
        <v>3723</v>
      </c>
      <c r="D175" s="0" t="s">
        <v>3740</v>
      </c>
      <c r="E175" s="0" t="s">
        <v>3741</v>
      </c>
      <c r="F175" s="0" t="s">
        <v>3557</v>
      </c>
      <c r="G175" s="0" t="s">
        <v>4054</v>
      </c>
    </row>
    <row customHeight="1" ht="11.25">
      <c r="A176" s="0" t="s">
        <v>14</v>
      </c>
      <c r="B176" s="0" t="s">
        <v>3743</v>
      </c>
      <c r="C176" s="0" t="s">
        <v>3744</v>
      </c>
      <c r="D176" s="0" t="s">
        <v>3743</v>
      </c>
      <c r="E176" s="0" t="s">
        <v>3744</v>
      </c>
      <c r="F176" s="0" t="s">
        <v>3539</v>
      </c>
      <c r="G176" s="0" t="s">
        <v>4055</v>
      </c>
    </row>
    <row customHeight="1" ht="11.25">
      <c r="A177" s="0" t="s">
        <v>14</v>
      </c>
      <c r="B177" s="0" t="s">
        <v>4056</v>
      </c>
      <c r="C177" s="0" t="s">
        <v>4057</v>
      </c>
      <c r="D177" s="0" t="s">
        <v>4058</v>
      </c>
      <c r="E177" s="0" t="s">
        <v>4059</v>
      </c>
      <c r="F177" s="0" t="s">
        <v>3557</v>
      </c>
      <c r="G177" s="0" t="s">
        <v>4060</v>
      </c>
    </row>
    <row customHeight="1" ht="11.25">
      <c r="A178" s="0" t="s">
        <v>14</v>
      </c>
      <c r="B178" s="0" t="s">
        <v>4056</v>
      </c>
      <c r="C178" s="0" t="s">
        <v>4057</v>
      </c>
      <c r="D178" s="0" t="s">
        <v>4056</v>
      </c>
      <c r="E178" s="0" t="s">
        <v>4057</v>
      </c>
      <c r="F178" s="0" t="s">
        <v>3558</v>
      </c>
      <c r="G178" s="0" t="s">
        <v>4061</v>
      </c>
    </row>
    <row customHeight="1" ht="11.25">
      <c r="A179" s="0" t="s">
        <v>14</v>
      </c>
      <c r="B179" s="0" t="s">
        <v>4056</v>
      </c>
      <c r="C179" s="0" t="s">
        <v>4057</v>
      </c>
      <c r="D179" s="0" t="s">
        <v>4062</v>
      </c>
      <c r="E179" s="0" t="s">
        <v>4063</v>
      </c>
      <c r="F179" s="0" t="s">
        <v>3557</v>
      </c>
      <c r="G179" s="0" t="s">
        <v>4064</v>
      </c>
    </row>
    <row customHeight="1" ht="11.25">
      <c r="A180" s="0" t="s">
        <v>14</v>
      </c>
      <c r="B180" s="0" t="s">
        <v>4056</v>
      </c>
      <c r="C180" s="0" t="s">
        <v>4057</v>
      </c>
      <c r="D180" s="0" t="s">
        <v>4065</v>
      </c>
      <c r="E180" s="0" t="s">
        <v>4066</v>
      </c>
      <c r="F180" s="0" t="s">
        <v>3557</v>
      </c>
      <c r="G180" s="0" t="s">
        <v>4067</v>
      </c>
    </row>
    <row customHeight="1" ht="11.25">
      <c r="A181" s="0" t="s">
        <v>14</v>
      </c>
      <c r="B181" s="0" t="s">
        <v>3746</v>
      </c>
      <c r="C181" s="0" t="s">
        <v>3747</v>
      </c>
      <c r="D181" s="0" t="s">
        <v>3746</v>
      </c>
      <c r="E181" s="0" t="s">
        <v>3747</v>
      </c>
      <c r="F181" s="0" t="s">
        <v>3539</v>
      </c>
      <c r="G181" s="0" t="s">
        <v>4068</v>
      </c>
    </row>
    <row customHeight="1" ht="11.25">
      <c r="A182" s="0" t="s">
        <v>14</v>
      </c>
      <c r="B182" s="0" t="s">
        <v>3749</v>
      </c>
      <c r="C182" s="0" t="s">
        <v>3750</v>
      </c>
      <c r="D182" s="0" t="s">
        <v>3751</v>
      </c>
      <c r="E182" s="0" t="s">
        <v>3752</v>
      </c>
      <c r="F182" s="0" t="s">
        <v>3557</v>
      </c>
      <c r="G182" s="0" t="s">
        <v>4069</v>
      </c>
    </row>
    <row customHeight="1" ht="11.25">
      <c r="A183" s="0" t="s">
        <v>14</v>
      </c>
      <c r="B183" s="0" t="s">
        <v>3749</v>
      </c>
      <c r="C183" s="0" t="s">
        <v>3750</v>
      </c>
      <c r="D183" s="0" t="s">
        <v>3754</v>
      </c>
      <c r="E183" s="0" t="s">
        <v>3755</v>
      </c>
      <c r="F183" s="0" t="s">
        <v>3557</v>
      </c>
      <c r="G183" s="0" t="s">
        <v>4070</v>
      </c>
    </row>
    <row customHeight="1" ht="11.25">
      <c r="A184" s="0" t="s">
        <v>14</v>
      </c>
      <c r="B184" s="0" t="s">
        <v>3749</v>
      </c>
      <c r="C184" s="0" t="s">
        <v>3750</v>
      </c>
      <c r="D184" s="0" t="s">
        <v>3757</v>
      </c>
      <c r="E184" s="0" t="s">
        <v>3758</v>
      </c>
      <c r="F184" s="0" t="s">
        <v>3557</v>
      </c>
      <c r="G184" s="0" t="s">
        <v>4071</v>
      </c>
    </row>
    <row customHeight="1" ht="11.25">
      <c r="A185" s="0" t="s">
        <v>14</v>
      </c>
      <c r="B185" s="0" t="s">
        <v>3749</v>
      </c>
      <c r="C185" s="0" t="s">
        <v>3750</v>
      </c>
      <c r="D185" s="0" t="s">
        <v>3760</v>
      </c>
      <c r="E185" s="0" t="s">
        <v>3761</v>
      </c>
      <c r="F185" s="0" t="s">
        <v>3580</v>
      </c>
      <c r="G185" s="0" t="s">
        <v>4072</v>
      </c>
    </row>
    <row customHeight="1" ht="11.25">
      <c r="A186" s="0" t="s">
        <v>14</v>
      </c>
      <c r="B186" s="0" t="s">
        <v>3749</v>
      </c>
      <c r="C186" s="0" t="s">
        <v>3750</v>
      </c>
      <c r="D186" s="0" t="s">
        <v>3763</v>
      </c>
      <c r="E186" s="0" t="s">
        <v>3764</v>
      </c>
      <c r="F186" s="0" t="s">
        <v>3557</v>
      </c>
      <c r="G186" s="0" t="s">
        <v>4073</v>
      </c>
    </row>
    <row customHeight="1" ht="11.25">
      <c r="A187" s="0" t="s">
        <v>14</v>
      </c>
      <c r="B187" s="0" t="s">
        <v>3749</v>
      </c>
      <c r="C187" s="0" t="s">
        <v>3750</v>
      </c>
      <c r="D187" s="0" t="s">
        <v>3749</v>
      </c>
      <c r="E187" s="0" t="s">
        <v>3750</v>
      </c>
      <c r="F187" s="0" t="s">
        <v>3558</v>
      </c>
      <c r="G187" s="0" t="s">
        <v>4074</v>
      </c>
    </row>
    <row customHeight="1" ht="11.25">
      <c r="A188" s="0" t="s">
        <v>14</v>
      </c>
      <c r="B188" s="0" t="s">
        <v>3749</v>
      </c>
      <c r="C188" s="0" t="s">
        <v>3750</v>
      </c>
      <c r="D188" s="0" t="s">
        <v>3767</v>
      </c>
      <c r="E188" s="0" t="s">
        <v>3768</v>
      </c>
      <c r="F188" s="0" t="s">
        <v>3580</v>
      </c>
      <c r="G188" s="0" t="s">
        <v>4075</v>
      </c>
    </row>
    <row customHeight="1" ht="11.25">
      <c r="A189" s="0" t="s">
        <v>14</v>
      </c>
      <c r="B189" s="0" t="s">
        <v>3749</v>
      </c>
      <c r="C189" s="0" t="s">
        <v>3750</v>
      </c>
      <c r="D189" s="0" t="s">
        <v>3770</v>
      </c>
      <c r="E189" s="0" t="s">
        <v>3771</v>
      </c>
      <c r="F189" s="0" t="s">
        <v>3557</v>
      </c>
      <c r="G189" s="0" t="s">
        <v>4076</v>
      </c>
    </row>
    <row customHeight="1" ht="11.25">
      <c r="A190" s="0" t="s">
        <v>14</v>
      </c>
      <c r="B190" s="0" t="s">
        <v>3773</v>
      </c>
      <c r="C190" s="0" t="s">
        <v>3774</v>
      </c>
      <c r="D190" s="0" t="s">
        <v>3773</v>
      </c>
      <c r="E190" s="0" t="s">
        <v>3774</v>
      </c>
      <c r="F190" s="0" t="s">
        <v>3539</v>
      </c>
      <c r="G190" s="0" t="s">
        <v>4077</v>
      </c>
    </row>
    <row customHeight="1" ht="11.25">
      <c r="A191" s="0" t="s">
        <v>14</v>
      </c>
      <c r="B191" s="0" t="s">
        <v>3776</v>
      </c>
      <c r="C191" s="0" t="s">
        <v>3777</v>
      </c>
      <c r="D191" s="0" t="s">
        <v>3778</v>
      </c>
      <c r="E191" s="0" t="s">
        <v>3779</v>
      </c>
      <c r="F191" s="0" t="s">
        <v>3557</v>
      </c>
      <c r="G191" s="0" t="s">
        <v>4078</v>
      </c>
    </row>
    <row customHeight="1" ht="11.25">
      <c r="A192" s="0" t="s">
        <v>14</v>
      </c>
      <c r="B192" s="0" t="s">
        <v>3776</v>
      </c>
      <c r="C192" s="0" t="s">
        <v>3777</v>
      </c>
      <c r="D192" s="0" t="s">
        <v>3781</v>
      </c>
      <c r="E192" s="0" t="s">
        <v>3782</v>
      </c>
      <c r="F192" s="0" t="s">
        <v>3557</v>
      </c>
      <c r="G192" s="0" t="s">
        <v>4079</v>
      </c>
    </row>
    <row customHeight="1" ht="11.25">
      <c r="A193" s="0" t="s">
        <v>14</v>
      </c>
      <c r="B193" s="0" t="s">
        <v>3776</v>
      </c>
      <c r="C193" s="0" t="s">
        <v>3777</v>
      </c>
      <c r="D193" s="0" t="s">
        <v>3784</v>
      </c>
      <c r="E193" s="0" t="s">
        <v>3785</v>
      </c>
      <c r="F193" s="0" t="s">
        <v>3557</v>
      </c>
      <c r="G193" s="0" t="s">
        <v>4080</v>
      </c>
    </row>
    <row customHeight="1" ht="11.25">
      <c r="A194" s="0" t="s">
        <v>14</v>
      </c>
      <c r="B194" s="0" t="s">
        <v>3776</v>
      </c>
      <c r="C194" s="0" t="s">
        <v>3777</v>
      </c>
      <c r="D194" s="0" t="s">
        <v>3787</v>
      </c>
      <c r="E194" s="0" t="s">
        <v>3788</v>
      </c>
      <c r="F194" s="0" t="s">
        <v>3557</v>
      </c>
      <c r="G194" s="0" t="s">
        <v>4081</v>
      </c>
    </row>
    <row customHeight="1" ht="11.25">
      <c r="A195" s="0" t="s">
        <v>14</v>
      </c>
      <c r="B195" s="0" t="s">
        <v>3776</v>
      </c>
      <c r="C195" s="0" t="s">
        <v>3777</v>
      </c>
      <c r="D195" s="0" t="s">
        <v>3776</v>
      </c>
      <c r="E195" s="0" t="s">
        <v>3777</v>
      </c>
      <c r="F195" s="0" t="s">
        <v>3558</v>
      </c>
      <c r="G195" s="0" t="s">
        <v>4082</v>
      </c>
    </row>
    <row customHeight="1" ht="11.25">
      <c r="A196" s="0" t="s">
        <v>14</v>
      </c>
      <c r="B196" s="0" t="s">
        <v>3776</v>
      </c>
      <c r="C196" s="0" t="s">
        <v>3777</v>
      </c>
      <c r="D196" s="0" t="s">
        <v>3791</v>
      </c>
      <c r="E196" s="0" t="s">
        <v>3792</v>
      </c>
      <c r="F196" s="0" t="s">
        <v>3557</v>
      </c>
      <c r="G196" s="0" t="s">
        <v>4083</v>
      </c>
    </row>
    <row customHeight="1" ht="11.25">
      <c r="A197" s="0" t="s">
        <v>14</v>
      </c>
      <c r="B197" s="0" t="s">
        <v>99</v>
      </c>
      <c r="C197" s="0" t="s">
        <v>100</v>
      </c>
      <c r="D197" s="0" t="s">
        <v>99</v>
      </c>
      <c r="E197" s="0" t="s">
        <v>100</v>
      </c>
      <c r="F197" s="0" t="s">
        <v>3542</v>
      </c>
      <c r="G197" s="0" t="s">
        <v>98</v>
      </c>
    </row>
    <row customHeight="1" ht="11.25">
      <c r="A198" s="0" t="s">
        <v>14</v>
      </c>
      <c r="B198" s="0" t="s">
        <v>3795</v>
      </c>
      <c r="C198" s="0" t="s">
        <v>3796</v>
      </c>
      <c r="D198" s="0" t="s">
        <v>3795</v>
      </c>
      <c r="E198" s="0" t="s">
        <v>3796</v>
      </c>
      <c r="F198" s="0" t="s">
        <v>3542</v>
      </c>
      <c r="G198" s="0" t="s">
        <v>4084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77116-BD1E-45CD-BE8A-9E891C576E9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971" width="9.140625"/>
    <col min="2" max="2" style="17971" width="84.28125" customWidth="1"/>
    <col min="3" max="3" style="17971" width="9.140625"/>
  </cols>
  <sheetData>
    <row customHeight="1" ht="11.25">
      <c r="A1" s="1058" t="s">
        <v>4085</v>
      </c>
      <c r="B1" s="1058" t="s">
        <v>4086</v>
      </c>
      <c r="C1" s="1058" t="s">
        <v>1084</v>
      </c>
    </row>
    <row customHeight="1" ht="11.25">
      <c r="A2" s="1058">
        <v>4189678</v>
      </c>
      <c r="B2" s="1058" t="s">
        <v>4087</v>
      </c>
      <c r="C2" s="1058" t="s">
        <v>4088</v>
      </c>
    </row>
    <row customHeight="1" ht="11.25">
      <c r="A3" s="1058">
        <v>4190415</v>
      </c>
      <c r="B3" s="1058" t="s">
        <v>4089</v>
      </c>
      <c r="C3" s="1058" t="s">
        <v>4088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8CBC7-C57B-32EE-8FDF-1473803A978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974" width="38.421875" customWidth="1"/>
    <col min="2" max="5" style="17974" width="9.140625"/>
  </cols>
  <sheetData>
    <row customHeight="1" ht="15">
      <c r="A1" s="387" t="s">
        <v>4090</v>
      </c>
      <c r="B1" s="387" t="s">
        <v>4091</v>
      </c>
      <c r="C1" s="387"/>
      <c r="D1" s="387"/>
      <c r="E1" s="387"/>
    </row>
    <row customHeight="1" ht="15">
      <c r="A2" s="387"/>
      <c r="B2" s="387"/>
      <c r="C2" s="387"/>
      <c r="D2" s="387"/>
      <c r="E2" s="387"/>
    </row>
    <row customHeight="1" ht="15">
      <c r="A3" s="387"/>
      <c r="B3" s="387"/>
      <c r="C3" s="387"/>
      <c r="D3" s="387"/>
      <c r="E3" s="387"/>
    </row>
    <row customHeight="1" ht="15">
      <c r="A4" s="387"/>
      <c r="B4" s="387"/>
      <c r="C4" s="387"/>
      <c r="D4" s="387"/>
      <c r="E4" s="387"/>
    </row>
    <row customHeight="1" ht="15">
      <c r="A5" s="387"/>
      <c r="B5" s="387"/>
      <c r="C5" s="387"/>
      <c r="D5" s="387"/>
      <c r="E5" s="387"/>
    </row>
    <row customHeight="1" ht="15">
      <c r="A6" s="387"/>
      <c r="B6" s="387"/>
      <c r="C6" s="387"/>
      <c r="D6" s="387"/>
      <c r="E6" s="387"/>
    </row>
    <row customHeight="1" ht="15">
      <c r="A7" s="387"/>
      <c r="B7" s="387"/>
      <c r="C7" s="387"/>
      <c r="D7" s="387"/>
      <c r="E7" s="387"/>
    </row>
    <row customHeight="1" ht="15">
      <c r="A8" s="387"/>
      <c r="B8" s="387"/>
      <c r="C8" s="387"/>
      <c r="D8" s="387"/>
      <c r="E8" s="38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8C2F7-0FEA-010A-DD7F-7F295E0DDB7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4092</v>
      </c>
      <c r="B1" s="0" t="b">
        <v>1</v>
      </c>
    </row>
    <row customHeight="1" ht="11.25">
      <c r="A2" s="0" t="s">
        <v>4093</v>
      </c>
      <c r="B2" s="0" t="b">
        <v>0</v>
      </c>
    </row>
    <row customHeight="1" ht="11.25">
      <c r="A3" s="0" t="s">
        <v>4094</v>
      </c>
      <c r="B3" s="0" t="b">
        <v>0</v>
      </c>
    </row>
    <row customHeight="1" ht="11.25">
      <c r="A4" s="0" t="s">
        <v>4095</v>
      </c>
      <c r="B4" s="0" t="b">
        <v>0</v>
      </c>
    </row>
    <row customHeight="1" ht="11.25">
      <c r="A5" s="0" t="s">
        <v>4096</v>
      </c>
      <c r="B5" s="0" t="b">
        <v>0</v>
      </c>
    </row>
    <row customHeight="1" ht="11.25">
      <c r="A6" s="0" t="s">
        <v>4097</v>
      </c>
      <c r="B6" s="0" t="b">
        <v>1</v>
      </c>
    </row>
    <row customHeight="1" ht="11.25">
      <c r="A7" s="0" t="s">
        <v>4098</v>
      </c>
      <c r="B7" s="0" t="b">
        <v>0</v>
      </c>
    </row>
    <row customHeight="1" ht="11.25">
      <c r="A8" s="0" t="s">
        <v>4099</v>
      </c>
      <c r="B8" s="0" t="b">
        <v>0</v>
      </c>
    </row>
    <row customHeight="1" ht="11.25">
      <c r="A9" s="0" t="s">
        <v>4100</v>
      </c>
      <c r="B9" s="0" t="b">
        <v>1</v>
      </c>
    </row>
    <row customHeight="1" ht="11.25">
      <c r="A10" s="0" t="s">
        <v>4101</v>
      </c>
      <c r="B10" s="0" t="b">
        <v>0</v>
      </c>
    </row>
    <row customHeight="1" ht="11.25">
      <c r="A11" s="0" t="s">
        <v>4102</v>
      </c>
      <c r="B11" s="0" t="b">
        <v>0</v>
      </c>
    </row>
    <row customHeight="1" ht="11.25">
      <c r="A12" s="0" t="s">
        <v>4103</v>
      </c>
      <c r="B12" s="0" t="b">
        <v>0</v>
      </c>
    </row>
    <row customHeight="1" ht="11.25">
      <c r="A13" s="0" t="s">
        <v>4104</v>
      </c>
      <c r="B13" s="0" t="b">
        <v>0</v>
      </c>
    </row>
    <row customHeight="1" ht="11.25">
      <c r="A14" s="0" t="s">
        <v>4105</v>
      </c>
      <c r="B14" s="0" t="b">
        <v>0</v>
      </c>
    </row>
    <row customHeight="1" ht="11.25">
      <c r="A15" s="0" t="s">
        <v>4106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8168F-65FE-AD34-0165-A124DCD65C1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976" width="9.140625"/>
  </cols>
  <sheetData>
    <row customHeight="1" ht="12.75">
      <c r="A1" s="31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310CA-752A-708E-3911-9147E2705BC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7978" width="36.28125" customWidth="1"/>
    <col min="2" max="2" style="17978" width="21.140625" customWidth="1"/>
  </cols>
  <sheetData>
    <row customHeight="1" ht="11.25">
      <c r="A1" s="290" t="s">
        <v>4107</v>
      </c>
      <c r="B1" s="290" t="s">
        <v>4108</v>
      </c>
    </row>
    <row customHeight="1" ht="11.25">
      <c r="A2" s="284" t="s">
        <v>4109</v>
      </c>
      <c r="B2" s="284" t="s">
        <v>4110</v>
      </c>
    </row>
    <row customHeight="1" ht="11.25">
      <c r="A3" s="284" t="s">
        <v>4111</v>
      </c>
      <c r="B3" s="284" t="s">
        <v>4112</v>
      </c>
    </row>
    <row customHeight="1" ht="11.25">
      <c r="A4" s="284" t="s">
        <v>4113</v>
      </c>
      <c r="B4" s="284" t="s">
        <v>4114</v>
      </c>
    </row>
    <row customHeight="1" ht="11.25">
      <c r="A5" s="284" t="s">
        <v>4115</v>
      </c>
      <c r="B5" s="284" t="s">
        <v>4116</v>
      </c>
    </row>
    <row customHeight="1" ht="11.25">
      <c r="A6" s="284" t="s">
        <v>4117</v>
      </c>
      <c r="B6" s="284" t="s">
        <v>4118</v>
      </c>
    </row>
    <row customHeight="1" ht="11.25">
      <c r="A7" s="284" t="s">
        <v>4119</v>
      </c>
      <c r="B7" s="284" t="s">
        <v>4120</v>
      </c>
    </row>
    <row customHeight="1" ht="11.25">
      <c r="A8" s="284" t="s">
        <v>4121</v>
      </c>
      <c r="B8" s="284" t="s">
        <v>4122</v>
      </c>
    </row>
    <row customHeight="1" ht="11.25">
      <c r="A9" s="284" t="s">
        <v>4123</v>
      </c>
      <c r="B9" s="284" t="s">
        <v>4124</v>
      </c>
    </row>
    <row customHeight="1" ht="11.25">
      <c r="A10" s="284" t="s">
        <v>4125</v>
      </c>
      <c r="B10" s="284" t="s">
        <v>4126</v>
      </c>
    </row>
    <row customHeight="1" ht="11.25">
      <c r="A11" s="284" t="s">
        <v>4127</v>
      </c>
      <c r="B11" s="284" t="s">
        <v>4128</v>
      </c>
    </row>
    <row customHeight="1" ht="11.25">
      <c r="A12" s="284" t="s">
        <v>4129</v>
      </c>
      <c r="B12" s="284" t="s">
        <v>4130</v>
      </c>
    </row>
    <row customHeight="1" ht="11.25">
      <c r="A13" s="284" t="s">
        <v>4131</v>
      </c>
      <c r="B13" s="284" t="s">
        <v>4132</v>
      </c>
    </row>
    <row customHeight="1" ht="11.25">
      <c r="A14" s="284" t="s">
        <v>4133</v>
      </c>
      <c r="B14" s="284" t="s">
        <v>4134</v>
      </c>
    </row>
    <row customHeight="1" ht="11.25">
      <c r="A15" s="284" t="s">
        <v>4135</v>
      </c>
      <c r="B15" s="284" t="s">
        <v>4136</v>
      </c>
    </row>
    <row customHeight="1" ht="11.25">
      <c r="A16" s="284" t="s">
        <v>4137</v>
      </c>
      <c r="B16" s="284" t="s">
        <v>4138</v>
      </c>
    </row>
    <row customHeight="1" ht="11.25">
      <c r="A17" s="284" t="s">
        <v>4139</v>
      </c>
      <c r="B17" s="284" t="s">
        <v>4140</v>
      </c>
    </row>
    <row customHeight="1" ht="11.25">
      <c r="A18" s="284" t="s">
        <v>4141</v>
      </c>
      <c r="B18" s="284" t="s">
        <v>4142</v>
      </c>
    </row>
    <row customHeight="1" ht="11.25">
      <c r="A19" s="284" t="s">
        <v>4143</v>
      </c>
      <c r="B19" s="284" t="s">
        <v>4144</v>
      </c>
    </row>
    <row customHeight="1" ht="11.25">
      <c r="A20" s="284" t="s">
        <v>4145</v>
      </c>
      <c r="B20" s="284" t="s">
        <v>4146</v>
      </c>
    </row>
    <row customHeight="1" ht="11.25">
      <c r="A21" s="284" t="s">
        <v>4147</v>
      </c>
      <c r="B21" s="284" t="s">
        <v>4148</v>
      </c>
    </row>
    <row customHeight="1" ht="11.25">
      <c r="A22" s="284" t="s">
        <v>4149</v>
      </c>
      <c r="B22" s="284" t="s">
        <v>4150</v>
      </c>
    </row>
    <row customHeight="1" ht="11.25">
      <c r="A23" s="284" t="s">
        <v>4151</v>
      </c>
      <c r="B23" s="284" t="s">
        <v>4152</v>
      </c>
    </row>
    <row customHeight="1" ht="11.25">
      <c r="A24" s="284" t="s">
        <v>4153</v>
      </c>
      <c r="B24" s="284" t="s">
        <v>4154</v>
      </c>
    </row>
    <row customHeight="1" ht="11.25">
      <c r="A25" s="284" t="s">
        <v>4155</v>
      </c>
      <c r="B25" s="284" t="s">
        <v>4156</v>
      </c>
    </row>
    <row customHeight="1" ht="11.25">
      <c r="A26" s="284" t="s">
        <v>4157</v>
      </c>
      <c r="B26" s="284" t="s">
        <v>4158</v>
      </c>
    </row>
    <row customHeight="1" ht="11.25">
      <c r="A27" s="284" t="s">
        <v>4159</v>
      </c>
      <c r="B27" s="284" t="s">
        <v>4160</v>
      </c>
    </row>
    <row customHeight="1" ht="11.25">
      <c r="A28" s="284" t="s">
        <v>4161</v>
      </c>
      <c r="B28" s="284" t="s">
        <v>4162</v>
      </c>
    </row>
    <row customHeight="1" ht="11.25">
      <c r="A29" s="284" t="s">
        <v>4163</v>
      </c>
      <c r="B29" s="284" t="s">
        <v>4164</v>
      </c>
    </row>
    <row customHeight="1" ht="11.25">
      <c r="A30" s="284" t="s">
        <v>4165</v>
      </c>
      <c r="B30" s="284" t="s">
        <v>4166</v>
      </c>
    </row>
    <row customHeight="1" ht="11.25">
      <c r="A31" s="284" t="s">
        <v>4167</v>
      </c>
      <c r="B31" s="284" t="s">
        <v>4168</v>
      </c>
    </row>
    <row customHeight="1" ht="11.25">
      <c r="A32" s="284" t="s">
        <v>4169</v>
      </c>
      <c r="B32" s="284" t="s">
        <v>4170</v>
      </c>
    </row>
    <row customHeight="1" ht="11.25">
      <c r="A33" s="284" t="s">
        <v>4171</v>
      </c>
      <c r="B33" s="284" t="s">
        <v>4172</v>
      </c>
    </row>
    <row customHeight="1" ht="11.25">
      <c r="A34" s="284" t="s">
        <v>4173</v>
      </c>
      <c r="B34" s="284" t="s">
        <v>4174</v>
      </c>
    </row>
    <row customHeight="1" ht="11.25">
      <c r="A35" s="284" t="s">
        <v>4175</v>
      </c>
      <c r="B35" s="284" t="s">
        <v>4176</v>
      </c>
    </row>
    <row customHeight="1" ht="11.25">
      <c r="A36" s="284" t="s">
        <v>4177</v>
      </c>
      <c r="B36" s="284" t="s">
        <v>4178</v>
      </c>
    </row>
    <row customHeight="1" ht="11.25">
      <c r="A37" s="284" t="s">
        <v>4179</v>
      </c>
      <c r="B37" s="284" t="s">
        <v>4180</v>
      </c>
    </row>
    <row customHeight="1" ht="11.25">
      <c r="A38" s="284" t="s">
        <v>4181</v>
      </c>
      <c r="B38" s="284" t="s">
        <v>4182</v>
      </c>
    </row>
    <row customHeight="1" ht="11.25">
      <c r="A39" s="284" t="s">
        <v>4183</v>
      </c>
      <c r="B39" s="284" t="s">
        <v>4184</v>
      </c>
    </row>
    <row customHeight="1" ht="11.25">
      <c r="A40" s="284" t="s">
        <v>4185</v>
      </c>
      <c r="B40" s="284" t="s">
        <v>4186</v>
      </c>
    </row>
    <row customHeight="1" ht="11.25">
      <c r="A41" s="284" t="s">
        <v>4187</v>
      </c>
      <c r="B41" s="284" t="s">
        <v>4188</v>
      </c>
    </row>
    <row customHeight="1" ht="11.25">
      <c r="A42" s="284" t="s">
        <v>4189</v>
      </c>
      <c r="B42" s="284" t="s">
        <v>4190</v>
      </c>
    </row>
    <row customHeight="1" ht="11.25">
      <c r="A43" s="284" t="s">
        <v>4191</v>
      </c>
      <c r="B43" s="284" t="s">
        <v>4192</v>
      </c>
    </row>
    <row customHeight="1" ht="11.25">
      <c r="A44" s="284" t="s">
        <v>4193</v>
      </c>
      <c r="B44" s="284" t="s">
        <v>4194</v>
      </c>
    </row>
    <row customHeight="1" ht="11.25">
      <c r="A45" s="284" t="s">
        <v>4195</v>
      </c>
      <c r="B45" s="284" t="s">
        <v>4196</v>
      </c>
    </row>
    <row customHeight="1" ht="11.25">
      <c r="A46" s="284" t="s">
        <v>4197</v>
      </c>
      <c r="B46" s="284" t="s">
        <v>4198</v>
      </c>
    </row>
    <row customHeight="1" ht="11.25">
      <c r="A47" s="284" t="s">
        <v>4199</v>
      </c>
      <c r="B47" s="284" t="s">
        <v>4200</v>
      </c>
    </row>
    <row customHeight="1" ht="11.25">
      <c r="A48" s="284" t="s">
        <v>4201</v>
      </c>
      <c r="B48" s="284" t="s">
        <v>4202</v>
      </c>
    </row>
    <row customHeight="1" ht="11.25">
      <c r="A49" s="284" t="s">
        <v>4203</v>
      </c>
      <c r="B49" s="284" t="s">
        <v>4204</v>
      </c>
    </row>
    <row customHeight="1" ht="11.25">
      <c r="A50" s="284" t="s">
        <v>4205</v>
      </c>
      <c r="B50" s="284" t="s">
        <v>4206</v>
      </c>
    </row>
    <row customHeight="1" ht="11.25">
      <c r="A51" s="284" t="s">
        <v>4207</v>
      </c>
      <c r="B51" s="284" t="s">
        <v>4208</v>
      </c>
    </row>
    <row customHeight="1" ht="11.25">
      <c r="A52" s="284" t="s">
        <v>4209</v>
      </c>
      <c r="B52" s="284" t="s">
        <v>4210</v>
      </c>
    </row>
    <row customHeight="1" ht="11.25">
      <c r="A53" s="284" t="s">
        <v>4211</v>
      </c>
      <c r="B53" s="284" t="s">
        <v>4212</v>
      </c>
    </row>
    <row customHeight="1" ht="11.25">
      <c r="A54" s="284" t="s">
        <v>4213</v>
      </c>
      <c r="B54" s="284" t="s">
        <v>4214</v>
      </c>
    </row>
    <row customHeight="1" ht="11.25">
      <c r="A55" s="284" t="s">
        <v>4215</v>
      </c>
      <c r="B55" s="284" t="s">
        <v>4216</v>
      </c>
    </row>
    <row customHeight="1" ht="11.25">
      <c r="A56" s="284" t="s">
        <v>4217</v>
      </c>
      <c r="B56" s="284" t="s">
        <v>4218</v>
      </c>
    </row>
    <row customHeight="1" ht="11.25">
      <c r="A57" s="284" t="s">
        <v>4219</v>
      </c>
      <c r="B57" s="284" t="s">
        <v>4220</v>
      </c>
    </row>
    <row customHeight="1" ht="11.25">
      <c r="A58" s="284" t="s">
        <v>4221</v>
      </c>
      <c r="B58" s="284" t="s">
        <v>4222</v>
      </c>
    </row>
    <row customHeight="1" ht="11.25">
      <c r="A59" s="284" t="s">
        <v>4223</v>
      </c>
      <c r="B59" s="284" t="s">
        <v>4224</v>
      </c>
    </row>
    <row customHeight="1" ht="11.25">
      <c r="A60" s="284" t="s">
        <v>4225</v>
      </c>
      <c r="B60" s="284" t="s">
        <v>4226</v>
      </c>
    </row>
    <row customHeight="1" ht="11.25">
      <c r="A61" s="284"/>
      <c r="B61" s="284" t="s">
        <v>4227</v>
      </c>
    </row>
    <row customHeight="1" ht="11.25">
      <c r="A62" s="284"/>
      <c r="B62" s="284" t="s">
        <v>4228</v>
      </c>
    </row>
    <row customHeight="1" ht="11.25">
      <c r="A63" s="284"/>
      <c r="B63" s="284" t="s">
        <v>4229</v>
      </c>
    </row>
    <row customHeight="1" ht="11.25">
      <c r="A64" s="284"/>
      <c r="B64" s="284" t="s">
        <v>4230</v>
      </c>
    </row>
    <row customHeight="1" ht="11.25">
      <c r="A65" s="284"/>
      <c r="B65" s="284" t="s">
        <v>4231</v>
      </c>
    </row>
    <row customHeight="1" ht="11.25">
      <c r="A66" s="284"/>
      <c r="B66" s="284" t="s">
        <v>4232</v>
      </c>
    </row>
    <row customHeight="1" ht="11.25">
      <c r="A67" s="284"/>
      <c r="B67" s="284" t="s">
        <v>4233</v>
      </c>
    </row>
    <row customHeight="1" ht="11.25">
      <c r="A68" s="284"/>
      <c r="B68" s="284" t="s">
        <v>4234</v>
      </c>
    </row>
    <row customHeight="1" ht="11.25">
      <c r="A69" s="284"/>
      <c r="B69" s="284" t="s">
        <v>4235</v>
      </c>
    </row>
    <row customHeight="1" ht="11.25">
      <c r="A70" s="284"/>
      <c r="B70" s="284" t="s">
        <v>4236</v>
      </c>
    </row>
    <row customHeight="1" ht="11.25">
      <c r="A71" s="284"/>
      <c r="B71" s="284"/>
    </row>
    <row customHeight="1" ht="11.25">
      <c r="A72" s="284"/>
      <c r="B72" s="284"/>
    </row>
    <row customHeight="1" ht="11.25">
      <c r="A73" s="284"/>
      <c r="B73" s="284"/>
    </row>
    <row customHeight="1" ht="11.25">
      <c r="A74" s="284"/>
      <c r="B74" s="284"/>
    </row>
    <row customHeight="1" ht="11.25">
      <c r="A75" s="284"/>
      <c r="B75" s="284"/>
    </row>
    <row customHeight="1" ht="11.25">
      <c r="A76" s="284"/>
      <c r="B76" s="284"/>
    </row>
    <row customHeight="1" ht="11.25">
      <c r="A77" s="284"/>
      <c r="B77" s="284"/>
    </row>
    <row customHeight="1" ht="11.25">
      <c r="A78" s="284"/>
      <c r="B78" s="284"/>
    </row>
    <row customHeight="1" ht="11.25">
      <c r="A79" s="284"/>
      <c r="B79" s="284"/>
    </row>
    <row customHeight="1" ht="11.25">
      <c r="A80" s="284"/>
      <c r="B80" s="284"/>
    </row>
    <row customHeight="1" ht="11.25">
      <c r="A81" s="284"/>
      <c r="B81" s="284"/>
    </row>
    <row customHeight="1" ht="11.25">
      <c r="A82" s="284"/>
      <c r="B82" s="284"/>
    </row>
    <row customHeight="1" ht="11.25">
      <c r="A83" s="284"/>
      <c r="B83" s="284"/>
    </row>
    <row customHeight="1" ht="11.25">
      <c r="A84" s="284"/>
      <c r="B84" s="284"/>
    </row>
    <row customHeight="1" ht="11.25">
      <c r="A85" s="284"/>
      <c r="B85" s="284"/>
    </row>
    <row customHeight="1" ht="11.25">
      <c r="A86" s="284"/>
      <c r="B86" s="284"/>
    </row>
    <row customHeight="1" ht="11.25">
      <c r="A87" s="284"/>
      <c r="B87" s="284"/>
    </row>
    <row customHeight="1" ht="11.25">
      <c r="A88" s="284"/>
      <c r="B88" s="284"/>
    </row>
    <row customHeight="1" ht="11.25">
      <c r="A89" s="284"/>
      <c r="B89" s="284"/>
    </row>
    <row customHeight="1" ht="11.25">
      <c r="A90" s="284"/>
      <c r="B90" s="284"/>
    </row>
    <row customHeight="1" ht="11.25">
      <c r="A91" s="284"/>
      <c r="B91" s="284"/>
    </row>
    <row customHeight="1" ht="11.25">
      <c r="A92" s="284"/>
      <c r="B92" s="284"/>
    </row>
    <row customHeight="1" ht="11.25">
      <c r="A93" s="284"/>
      <c r="B93" s="284"/>
    </row>
    <row customHeight="1" ht="11.25">
      <c r="A94" s="284"/>
      <c r="B94" s="284"/>
    </row>
    <row customHeight="1" ht="11.25">
      <c r="A95" s="284"/>
      <c r="B95" s="284"/>
    </row>
    <row customHeight="1" ht="11.25">
      <c r="A96" s="284"/>
      <c r="B96" s="284"/>
    </row>
    <row customHeight="1" ht="11.25">
      <c r="A97" s="284"/>
      <c r="B97" s="284"/>
    </row>
    <row customHeight="1" ht="11.25">
      <c r="A98" s="284"/>
      <c r="B98" s="284"/>
    </row>
    <row customHeight="1" ht="11.25">
      <c r="A99" s="284"/>
      <c r="B99" s="284"/>
    </row>
    <row customHeight="1" ht="11.25">
      <c r="A100" s="284"/>
      <c r="B100" s="284"/>
    </row>
    <row customHeight="1" ht="11.25">
      <c r="A101" s="284"/>
      <c r="B101" s="284"/>
    </row>
    <row customHeight="1" ht="11.25">
      <c r="A102" s="284"/>
      <c r="B102" s="284"/>
    </row>
    <row customHeight="1" ht="11.25">
      <c r="A103" s="284"/>
      <c r="B103" s="284"/>
    </row>
    <row customHeight="1" ht="11.25">
      <c r="A104" s="284"/>
      <c r="B104" s="284"/>
    </row>
    <row customHeight="1" ht="11.25">
      <c r="A105" s="284"/>
      <c r="B105" s="284"/>
    </row>
    <row customHeight="1" ht="11.25">
      <c r="A106" s="284"/>
      <c r="B106" s="284"/>
    </row>
    <row customHeight="1" ht="11.25">
      <c r="A107" s="284"/>
      <c r="B107" s="284"/>
    </row>
    <row customHeight="1" ht="11.25">
      <c r="A108" s="284"/>
      <c r="B108" s="284"/>
    </row>
    <row customHeight="1" ht="11.25">
      <c r="A109" s="284"/>
      <c r="B109" s="284"/>
    </row>
    <row customHeight="1" ht="11.25">
      <c r="A110" s="284"/>
      <c r="B110" s="284"/>
    </row>
    <row customHeight="1" ht="11.25">
      <c r="A111" s="284"/>
      <c r="B111" s="284"/>
    </row>
    <row customHeight="1" ht="11.25">
      <c r="A112" s="284"/>
      <c r="B112" s="284"/>
    </row>
    <row customHeight="1" ht="11.25">
      <c r="A113" s="284"/>
      <c r="B113" s="284"/>
    </row>
    <row customHeight="1" ht="11.25">
      <c r="A114" s="284"/>
      <c r="B114" s="284"/>
    </row>
    <row customHeight="1" ht="11.25">
      <c r="A115" s="284"/>
      <c r="B115" s="284"/>
    </row>
    <row customHeight="1" ht="11.25">
      <c r="A116" s="284"/>
      <c r="B116" s="284"/>
    </row>
    <row customHeight="1" ht="11.25">
      <c r="A117" s="284"/>
      <c r="B117" s="284"/>
    </row>
    <row customHeight="1" ht="11.25">
      <c r="A118" s="284"/>
      <c r="B118" s="284"/>
    </row>
    <row customHeight="1" ht="11.25">
      <c r="A119" s="284"/>
      <c r="B119" s="284"/>
    </row>
    <row customHeight="1" ht="11.25">
      <c r="A120" s="284"/>
      <c r="B120" s="284"/>
    </row>
    <row customHeight="1" ht="11.25">
      <c r="A121" s="284"/>
      <c r="B121" s="284"/>
    </row>
    <row customHeight="1" ht="11.25">
      <c r="A122" s="284"/>
      <c r="B122" s="284"/>
    </row>
    <row customHeight="1" ht="11.25">
      <c r="A123" s="284"/>
      <c r="B123" s="284"/>
    </row>
    <row customHeight="1" ht="11.25">
      <c r="A124" s="284"/>
      <c r="B124" s="284"/>
    </row>
    <row customHeight="1" ht="11.25">
      <c r="A125" s="284"/>
      <c r="B125" s="284"/>
    </row>
    <row customHeight="1" ht="11.25">
      <c r="A126" s="284"/>
      <c r="B126" s="284"/>
    </row>
    <row customHeight="1" ht="11.25">
      <c r="A127" s="284"/>
      <c r="B127" s="284"/>
    </row>
    <row customHeight="1" ht="11.25">
      <c r="A128" s="284"/>
      <c r="B128" s="284"/>
    </row>
    <row customHeight="1" ht="11.25">
      <c r="A129" s="284"/>
      <c r="B129" s="284"/>
    </row>
    <row customHeight="1" ht="11.25">
      <c r="A130" s="284"/>
      <c r="B130" s="284"/>
    </row>
    <row customHeight="1" ht="11.25">
      <c r="A131" s="284"/>
      <c r="B131" s="284"/>
    </row>
    <row customHeight="1" ht="11.25">
      <c r="A132" s="284"/>
      <c r="B132" s="284"/>
    </row>
    <row customHeight="1" ht="11.25">
      <c r="A133" s="284"/>
      <c r="B133" s="284"/>
    </row>
    <row customHeight="1" ht="11.25">
      <c r="A134" s="284"/>
      <c r="B134" s="284"/>
    </row>
    <row customHeight="1" ht="11.25">
      <c r="A135" s="284"/>
      <c r="B135" s="284"/>
    </row>
    <row customHeight="1" ht="11.25">
      <c r="A136" s="284"/>
      <c r="B136" s="284"/>
    </row>
    <row customHeight="1" ht="11.25">
      <c r="A137" s="284"/>
      <c r="B137" s="284"/>
    </row>
    <row customHeight="1" ht="11.25">
      <c r="A138" s="284"/>
      <c r="B138" s="284"/>
    </row>
    <row customHeight="1" ht="11.25">
      <c r="A139" s="284"/>
      <c r="B139" s="284"/>
    </row>
    <row customHeight="1" ht="11.25">
      <c r="A140" s="284"/>
      <c r="B140" s="284"/>
    </row>
    <row customHeight="1" ht="11.25">
      <c r="A141" s="284"/>
      <c r="B141" s="284"/>
    </row>
    <row customHeight="1" ht="11.25">
      <c r="A142" s="284"/>
      <c r="B142" s="284"/>
    </row>
    <row customHeight="1" ht="11.25">
      <c r="A143" s="284"/>
      <c r="B143" s="284"/>
    </row>
    <row customHeight="1" ht="11.25">
      <c r="A144" s="284"/>
      <c r="B144" s="284"/>
    </row>
    <row customHeight="1" ht="11.25">
      <c r="A145" s="284"/>
      <c r="B145" s="284"/>
    </row>
    <row customHeight="1" ht="11.25">
      <c r="A146" s="284"/>
      <c r="B146" s="284"/>
    </row>
    <row customHeight="1" ht="11.25">
      <c r="A147" s="284"/>
      <c r="B147" s="284"/>
    </row>
    <row customHeight="1" ht="11.25">
      <c r="A148" s="284"/>
      <c r="B148" s="284"/>
    </row>
    <row customHeight="1" ht="11.25">
      <c r="A149" s="284"/>
      <c r="B149" s="284"/>
    </row>
    <row customHeight="1" ht="11.25">
      <c r="A150" s="284"/>
      <c r="B150" s="284"/>
    </row>
    <row customHeight="1" ht="11.25">
      <c r="A151" s="284"/>
      <c r="B151" s="284"/>
    </row>
    <row customHeight="1" ht="11.25">
      <c r="A152" s="284"/>
      <c r="B152" s="284"/>
    </row>
    <row customHeight="1" ht="11.25">
      <c r="A153" s="284"/>
      <c r="B153" s="284"/>
    </row>
    <row customHeight="1" ht="11.25">
      <c r="A154" s="284"/>
      <c r="B154" s="284"/>
    </row>
    <row customHeight="1" ht="11.25">
      <c r="A155" s="284"/>
      <c r="B155" s="284"/>
    </row>
    <row customHeight="1" ht="11.25">
      <c r="A156" s="284"/>
      <c r="B156" s="284"/>
    </row>
    <row customHeight="1" ht="11.25">
      <c r="A157" s="284"/>
      <c r="B157" s="284"/>
    </row>
    <row customHeight="1" ht="11.25">
      <c r="A158" s="284"/>
      <c r="B158" s="284"/>
    </row>
    <row customHeight="1" ht="11.25">
      <c r="A159" s="284"/>
      <c r="B159" s="284"/>
    </row>
    <row customHeight="1" ht="11.25">
      <c r="A160" s="284"/>
      <c r="B160" s="284"/>
    </row>
    <row customHeight="1" ht="11.25">
      <c r="A161" s="284"/>
      <c r="B161" s="284"/>
    </row>
    <row customHeight="1" ht="11.25">
      <c r="A162" s="284"/>
      <c r="B162" s="284"/>
    </row>
    <row customHeight="1" ht="11.25">
      <c r="A163" s="284"/>
      <c r="B163" s="284"/>
    </row>
    <row customHeight="1" ht="11.25">
      <c r="A164" s="284"/>
      <c r="B164" s="284"/>
    </row>
    <row customHeight="1" ht="11.25">
      <c r="A165" s="284"/>
      <c r="B165" s="284"/>
    </row>
    <row customHeight="1" ht="11.25">
      <c r="A166" s="284"/>
      <c r="B166" s="284"/>
    </row>
    <row customHeight="1" ht="11.25">
      <c r="A167" s="284"/>
      <c r="B167" s="284"/>
    </row>
    <row customHeight="1" ht="11.25">
      <c r="A168" s="284"/>
      <c r="B168" s="284"/>
    </row>
    <row customHeight="1" ht="11.25">
      <c r="A169" s="284"/>
      <c r="B169" s="284"/>
    </row>
    <row customHeight="1" ht="11.25">
      <c r="A170" s="284"/>
      <c r="B170" s="284"/>
    </row>
    <row customHeight="1" ht="11.25">
      <c r="A171" s="284"/>
      <c r="B171" s="284"/>
    </row>
    <row customHeight="1" ht="11.25">
      <c r="A172" s="284"/>
      <c r="B172" s="284"/>
    </row>
    <row customHeight="1" ht="11.25">
      <c r="A173" s="284"/>
      <c r="B173" s="284"/>
    </row>
    <row customHeight="1" ht="11.25">
      <c r="A174" s="284"/>
      <c r="B174" s="284"/>
    </row>
    <row customHeight="1" ht="11.25">
      <c r="A175" s="284"/>
      <c r="B175" s="284"/>
    </row>
    <row customHeight="1" ht="11.25">
      <c r="A176" s="284"/>
      <c r="B176" s="284"/>
    </row>
    <row customHeight="1" ht="11.25">
      <c r="A177" s="284"/>
      <c r="B177" s="284"/>
    </row>
    <row customHeight="1" ht="11.25">
      <c r="A178" s="284"/>
      <c r="B178" s="284"/>
    </row>
    <row customHeight="1" ht="11.25">
      <c r="A179" s="284"/>
      <c r="B179" s="284"/>
    </row>
    <row customHeight="1" ht="11.25">
      <c r="A180" s="284"/>
      <c r="B180" s="284"/>
    </row>
    <row customHeight="1" ht="11.25">
      <c r="A181" s="284"/>
      <c r="B181" s="284"/>
    </row>
    <row customHeight="1" ht="11.25">
      <c r="A182" s="284"/>
      <c r="B182" s="284"/>
    </row>
    <row customHeight="1" ht="11.25">
      <c r="A183" s="284"/>
      <c r="B183" s="284"/>
    </row>
    <row customHeight="1" ht="11.25">
      <c r="A184" s="284"/>
      <c r="B184" s="284"/>
    </row>
    <row customHeight="1" ht="11.25">
      <c r="A185" s="284"/>
      <c r="B185" s="284"/>
    </row>
    <row customHeight="1" ht="11.25">
      <c r="A186" s="284"/>
      <c r="B186" s="284"/>
    </row>
    <row customHeight="1" ht="11.25">
      <c r="A187" s="284"/>
      <c r="B187" s="284"/>
    </row>
    <row customHeight="1" ht="11.25">
      <c r="A188" s="284"/>
      <c r="B188" s="284"/>
    </row>
    <row customHeight="1" ht="11.25">
      <c r="A189" s="284"/>
      <c r="B189" s="284"/>
    </row>
    <row customHeight="1" ht="11.25">
      <c r="A190" s="284"/>
      <c r="B190" s="284"/>
    </row>
    <row customHeight="1" ht="11.25">
      <c r="A191" s="284"/>
      <c r="B191" s="284"/>
    </row>
    <row customHeight="1" ht="11.25">
      <c r="A192" s="284"/>
      <c r="B192" s="284"/>
    </row>
    <row customHeight="1" ht="11.25">
      <c r="A193" s="284"/>
      <c r="B193" s="284"/>
    </row>
    <row customHeight="1" ht="11.25">
      <c r="A194" s="284"/>
      <c r="B194" s="284"/>
    </row>
    <row customHeight="1" ht="11.25">
      <c r="A195" s="284"/>
      <c r="B195" s="284"/>
    </row>
    <row customHeight="1" ht="11.25">
      <c r="A196" s="284"/>
      <c r="B196" s="284"/>
    </row>
    <row customHeight="1" ht="11.25">
      <c r="A197" s="284"/>
      <c r="B197" s="284"/>
    </row>
    <row customHeight="1" ht="11.25">
      <c r="A198" s="284"/>
      <c r="B198" s="284"/>
    </row>
    <row customHeight="1" ht="11.25">
      <c r="A199" s="284"/>
      <c r="B199" s="284"/>
    </row>
    <row customHeight="1" ht="11.25">
      <c r="A200" s="284"/>
      <c r="B200" s="284"/>
    </row>
    <row customHeight="1" ht="11.25">
      <c r="A201" s="284"/>
      <c r="B201" s="284"/>
    </row>
    <row customHeight="1" ht="11.25">
      <c r="A202" s="284"/>
      <c r="B202" s="284"/>
    </row>
    <row customHeight="1" ht="11.25">
      <c r="A203" s="284"/>
      <c r="B203" s="284"/>
    </row>
    <row customHeight="1" ht="11.25">
      <c r="A204" s="284"/>
      <c r="B204" s="284"/>
    </row>
    <row customHeight="1" ht="11.25">
      <c r="A205" s="284"/>
      <c r="B205" s="284"/>
    </row>
    <row customHeight="1" ht="11.25">
      <c r="A206" s="284"/>
      <c r="B206" s="284"/>
    </row>
    <row customHeight="1" ht="11.25">
      <c r="A207" s="284"/>
      <c r="B207" s="284"/>
    </row>
    <row customHeight="1" ht="11.25">
      <c r="A208" s="284"/>
      <c r="B208" s="284"/>
    </row>
    <row customHeight="1" ht="11.25">
      <c r="A209" s="284"/>
      <c r="B209" s="284"/>
    </row>
    <row customHeight="1" ht="11.25">
      <c r="A210" s="284"/>
      <c r="B210" s="284"/>
    </row>
    <row customHeight="1" ht="11.25">
      <c r="A211" s="284"/>
      <c r="B211" s="284"/>
    </row>
    <row customHeight="1" ht="11.25">
      <c r="A212" s="284"/>
      <c r="B212" s="284"/>
    </row>
    <row customHeight="1" ht="11.25">
      <c r="A213" s="284"/>
      <c r="B213" s="284"/>
    </row>
    <row customHeight="1" ht="11.25">
      <c r="A214" s="284"/>
      <c r="B214" s="284"/>
    </row>
    <row customHeight="1" ht="11.25">
      <c r="A215" s="284"/>
      <c r="B215" s="284"/>
    </row>
    <row customHeight="1" ht="11.25">
      <c r="A216" s="284"/>
      <c r="B216" s="284"/>
    </row>
    <row customHeight="1" ht="11.25">
      <c r="A217" s="284"/>
      <c r="B217" s="284"/>
    </row>
    <row customHeight="1" ht="11.25">
      <c r="A218" s="284"/>
      <c r="B218" s="284"/>
    </row>
    <row customHeight="1" ht="11.25">
      <c r="A219" s="284"/>
      <c r="B219" s="284"/>
    </row>
    <row customHeight="1" ht="11.25">
      <c r="A220" s="284"/>
      <c r="B220" s="284"/>
    </row>
    <row customHeight="1" ht="11.25">
      <c r="A221" s="284"/>
      <c r="B221" s="284"/>
    </row>
    <row customHeight="1" ht="11.25">
      <c r="A222" s="284"/>
      <c r="B222" s="284"/>
    </row>
    <row customHeight="1" ht="11.25">
      <c r="A223" s="284"/>
      <c r="B223" s="284"/>
    </row>
    <row customHeight="1" ht="11.25">
      <c r="A224" s="284"/>
      <c r="B224" s="284"/>
    </row>
    <row customHeight="1" ht="11.25">
      <c r="A225" s="284"/>
      <c r="B225" s="284"/>
    </row>
    <row customHeight="1" ht="11.25">
      <c r="A226" s="284"/>
      <c r="B226" s="284"/>
    </row>
    <row customHeight="1" ht="11.25">
      <c r="A227" s="284"/>
      <c r="B227" s="284"/>
    </row>
    <row customHeight="1" ht="11.25">
      <c r="A228" s="284"/>
      <c r="B228" s="284"/>
    </row>
    <row customHeight="1" ht="11.25">
      <c r="A229" s="284"/>
      <c r="B229" s="284"/>
    </row>
    <row customHeight="1" ht="11.25">
      <c r="A230" s="284"/>
      <c r="B230" s="284"/>
    </row>
    <row customHeight="1" ht="11.25">
      <c r="A231" s="284"/>
      <c r="B231" s="284"/>
    </row>
    <row customHeight="1" ht="11.25">
      <c r="A232" s="284"/>
      <c r="B232" s="284"/>
    </row>
    <row customHeight="1" ht="11.25">
      <c r="A233" s="284"/>
      <c r="B233" s="284"/>
    </row>
    <row customHeight="1" ht="11.25">
      <c r="A234" s="284"/>
      <c r="B234" s="284"/>
    </row>
    <row customHeight="1" ht="11.25">
      <c r="A235" s="284"/>
      <c r="B235" s="284"/>
    </row>
    <row customHeight="1" ht="11.25">
      <c r="A236" s="284"/>
      <c r="B236" s="284"/>
    </row>
    <row customHeight="1" ht="11.25">
      <c r="A237" s="284"/>
      <c r="B237" s="284"/>
    </row>
    <row customHeight="1" ht="11.25">
      <c r="A238" s="284"/>
      <c r="B238" s="284"/>
    </row>
    <row customHeight="1" ht="11.25">
      <c r="A239" s="284"/>
      <c r="B239" s="284"/>
    </row>
    <row customHeight="1" ht="11.25">
      <c r="A240" s="284"/>
      <c r="B240" s="284"/>
    </row>
    <row customHeight="1" ht="11.25">
      <c r="A241" s="284"/>
      <c r="B241" s="284"/>
    </row>
    <row customHeight="1" ht="11.25">
      <c r="A242" s="284"/>
      <c r="B242" s="284"/>
    </row>
    <row customHeight="1" ht="11.25">
      <c r="A243" s="284"/>
      <c r="B243" s="284"/>
    </row>
    <row customHeight="1" ht="11.25">
      <c r="A244" s="284"/>
      <c r="B244" s="284"/>
    </row>
    <row customHeight="1" ht="11.25">
      <c r="A245" s="284"/>
      <c r="B245" s="284"/>
    </row>
    <row customHeight="1" ht="11.25">
      <c r="A246" s="284"/>
      <c r="B246" s="284"/>
    </row>
    <row customHeight="1" ht="11.25">
      <c r="A247" s="284"/>
      <c r="B247" s="284"/>
    </row>
    <row customHeight="1" ht="11.25">
      <c r="A248" s="284"/>
      <c r="B248" s="284"/>
    </row>
    <row customHeight="1" ht="11.25">
      <c r="A249" s="284"/>
      <c r="B249" s="284"/>
    </row>
    <row customHeight="1" ht="11.25">
      <c r="A250" s="284"/>
      <c r="B250" s="284"/>
    </row>
    <row customHeight="1" ht="11.25">
      <c r="A251" s="284"/>
      <c r="B251" s="284"/>
    </row>
    <row customHeight="1" ht="11.25">
      <c r="A252" s="284"/>
      <c r="B252" s="284"/>
    </row>
    <row customHeight="1" ht="11.25">
      <c r="A253" s="284"/>
      <c r="B253" s="28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1869A-A4BC-F912-3F11-7F79DD7171E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7990" width="3.7109375" customWidth="1"/>
    <col min="2" max="2" style="17990" width="90.7109375" customWidth="1"/>
    <col min="3" max="4" style="17990" width="9.140625"/>
  </cols>
  <sheetData>
    <row customHeight="1" ht="11.25">
      <c r="B1" s="316" t="s">
        <v>4237</v>
      </c>
    </row>
    <row customHeight="1" ht="90">
      <c r="B2" s="317" t="s">
        <v>4238</v>
      </c>
    </row>
    <row customHeight="1" ht="67.5">
      <c r="B3" s="317" t="s">
        <v>4239</v>
      </c>
    </row>
    <row customHeight="1" ht="33.75">
      <c r="B4" s="317" t="s">
        <v>4240</v>
      </c>
    </row>
    <row customHeight="1" ht="11.25">
      <c r="B5" s="317" t="s">
        <v>4241</v>
      </c>
    </row>
    <row customHeight="1" ht="22.5">
      <c r="B6" s="317" t="s">
        <v>4242</v>
      </c>
    </row>
    <row customHeight="1" ht="22.5">
      <c r="B7" s="317" t="s">
        <v>4243</v>
      </c>
    </row>
    <row customHeight="1" ht="22.5">
      <c r="B8" s="317" t="s">
        <v>4244</v>
      </c>
    </row>
    <row customHeight="1" ht="22.5">
      <c r="B9" s="317" t="s">
        <v>4245</v>
      </c>
    </row>
    <row customHeight="1" ht="56.25">
      <c r="B10" s="317" t="s">
        <v>4246</v>
      </c>
    </row>
    <row customHeight="1" ht="12.75">
      <c r="B11" s="383" t="s">
        <v>4247</v>
      </c>
    </row>
    <row customHeight="1" ht="11.25">
      <c r="B12" s="316" t="s">
        <v>4248</v>
      </c>
    </row>
    <row customHeight="1" ht="22.5">
      <c r="B13" s="317" t="s">
        <v>4249</v>
      </c>
    </row>
    <row customHeight="1" ht="67.5">
      <c r="B14" s="317" t="s">
        <v>4250</v>
      </c>
    </row>
    <row customHeight="1" ht="22.5">
      <c r="B15" s="317" t="s">
        <v>4251</v>
      </c>
    </row>
    <row customHeight="1" ht="11.25">
      <c r="B16" s="316" t="s">
        <v>4252</v>
      </c>
      <c r="D16" s="324"/>
    </row>
    <row customHeight="1" ht="33.75">
      <c r="B17" s="317" t="s">
        <v>4253</v>
      </c>
    </row>
    <row customHeight="1" ht="33.75">
      <c r="B18" s="317" t="s">
        <v>4254</v>
      </c>
    </row>
    <row customHeight="1" ht="11.25">
      <c r="B19" s="317" t="s">
        <v>4255</v>
      </c>
    </row>
    <row customHeight="1" ht="33.75">
      <c r="B20" s="317" t="s">
        <v>4256</v>
      </c>
    </row>
    <row customHeight="1" ht="11.25">
      <c r="B21" s="316" t="s">
        <v>4257</v>
      </c>
    </row>
    <row customHeight="1" ht="11.25">
      <c r="B22" s="317" t="s">
        <v>4258</v>
      </c>
    </row>
    <row r="24" customHeight="1" ht="22.5">
      <c r="B24" s="385" t="s">
        <v>4259</v>
      </c>
    </row>
    <row r="26" customHeight="1" ht="11.25">
      <c r="B26" s="316" t="s">
        <v>4260</v>
      </c>
    </row>
    <row customHeight="1" ht="22.5">
      <c r="B27" s="384" t="s">
        <v>397</v>
      </c>
    </row>
    <row customHeight="1" ht="56.25">
      <c r="B28" s="384" t="s">
        <v>4261</v>
      </c>
    </row>
    <row customHeight="1" ht="11.25">
      <c r="B29" s="433" t="s">
        <v>4262</v>
      </c>
    </row>
    <row customHeight="1" ht="22.5">
      <c r="B30" s="384" t="s">
        <v>4263</v>
      </c>
    </row>
    <row r="32" customHeight="1" ht="11.25">
      <c r="A32" s="411"/>
      <c r="B32" s="412" t="s">
        <v>4264</v>
      </c>
    </row>
    <row customHeight="1" ht="14.25">
      <c r="A33" s="413">
        <v>1</v>
      </c>
      <c r="B33" s="414" t="s">
        <v>4265</v>
      </c>
    </row>
    <row customHeight="1" ht="14.25">
      <c r="A34" s="413">
        <v>2</v>
      </c>
      <c r="B34" s="414" t="s">
        <v>4266</v>
      </c>
    </row>
    <row customHeight="1" ht="11.25">
      <c r="B35" s="412" t="s">
        <v>4267</v>
      </c>
    </row>
    <row customHeight="1" ht="11.25">
      <c r="B36" s="414" t="s">
        <v>4268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