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Предложение!$87:$105</definedName>
    <definedName name="OFFER_TARIFF_A_3">Предложение!$164:$182</definedName>
    <definedName name="OFFER_TARIFF_A_4">Предложение!$241:$243</definedName>
    <definedName name="OFFER_TARIFF_A_5">Предложение!$302:$304</definedName>
    <definedName name="OFFER_TARIFF_A_COLDVSNA_1">Предложение!$51:$53</definedName>
    <definedName name="OFFER_TARIFF_A_COLDVSNA_2">Предложение!$130:$132</definedName>
    <definedName name="OFFER_TARIFF_A_COLDVSNA_3">Предложение!$207:$209</definedName>
    <definedName name="OFFER_TARIFF_A_COLDVSNA_4">Предложение!$268:$270</definedName>
    <definedName name="OFFER_TARIFF_A_COLDVSNA_5">Предложение!$329:$331</definedName>
    <definedName name="OFFER_TARIFF_A_HOTVSNA_1">Предложение!$66:$68</definedName>
    <definedName name="OFFER_TARIFF_A_HOTVSNA_2">Предложение!$145:$147</definedName>
    <definedName name="OFFER_TARIFF_A_HOTVSNA_3">Предложение!$222:$224</definedName>
    <definedName name="OFFER_TARIFF_A_HOTVSNA_4">Предложение!$283:$285</definedName>
    <definedName name="OFFER_TARIFF_A_HOTVSNA_5">Предложение!$344:$346</definedName>
    <definedName name="OFFER_TARIFF_A_VOTV_1">Предложение!$75:$77</definedName>
    <definedName name="OFFER_TARIFF_A_VOTV_2">Предложение!$154:$156</definedName>
    <definedName name="OFFER_TARIFF_A_VOTV_3">Предложение!$231:$233</definedName>
    <definedName name="OFFER_TARIFF_A_VOTV_4">Предложение!$292:$294</definedName>
    <definedName name="OFFER_TARIFF_A_VOTV_5">Предложение!$353:$355</definedName>
    <definedName name="OFFER_TARIFF_B_1">Предложение!$27:$29</definedName>
    <definedName name="OFFER_TARIFF_B_2">Предложение!$106:$108</definedName>
    <definedName name="OFFER_TARIFF_B_3">Предложение!$183:$185</definedName>
    <definedName name="OFFER_TARIFF_B_4">Предложение!$244:$246</definedName>
    <definedName name="OFFER_TARIFF_B_5">Предложение!$305:$307</definedName>
    <definedName name="OFFER_TARIFF_B_COLDVSNA_1">Предложение!$54:$56</definedName>
    <definedName name="OFFER_TARIFF_B_COLDVSNA_2">Предложение!$133:$135</definedName>
    <definedName name="OFFER_TARIFF_B_COLDVSNA_3">Предложение!$210:$212</definedName>
    <definedName name="OFFER_TARIFF_B_COLDVSNA_4">Предложение!$271:$273</definedName>
    <definedName name="OFFER_TARIFF_B_COLDVSNA_5">Предложение!$332:$334</definedName>
    <definedName name="OFFER_TARIFF_B_HOTVSNA_1">Предложение!$69:$71</definedName>
    <definedName name="OFFER_TARIFF_B_HOTVSNA_2">Предложение!$148:$150</definedName>
    <definedName name="OFFER_TARIFF_B_HOTVSNA_3">Предложение!$225:$227</definedName>
    <definedName name="OFFER_TARIFF_B_HOTVSNA_4">Предложение!$286:$288</definedName>
    <definedName name="OFFER_TARIFF_B_HOTVSNA_5">Предложение!$347:$349</definedName>
    <definedName name="OFFER_TARIFF_B_VOTV_1">Предложение!$78:$80</definedName>
    <definedName name="OFFER_TARIFF_B_VOTV_2">Предложение!$157:$159</definedName>
    <definedName name="OFFER_TARIFF_B_VOTV_3">Предложение!$234:$236</definedName>
    <definedName name="OFFER_TARIFF_B_VOTV_4">Предложение!$295:$297</definedName>
    <definedName name="OFFER_TARIFF_B_VOTV_5">Предложение!$356:$358</definedName>
    <definedName name="OFFER_TARIFF_C_1">Предложение!$30:$32</definedName>
    <definedName name="OFFER_TARIFF_C_2">Предложение!$109:$111</definedName>
    <definedName name="OFFER_TARIFF_C_3">Предложение!$186:$188</definedName>
    <definedName name="OFFER_TARIFF_C_4">Предложение!$247:$249</definedName>
    <definedName name="OFFER_TARIFF_C_5">Предложение!$308:$310</definedName>
    <definedName name="OFFER_TARIFF_C_COLDVSNA_1">Предложение!$57:$59</definedName>
    <definedName name="OFFER_TARIFF_C_COLDVSNA_2">Предложение!$136:$138</definedName>
    <definedName name="OFFER_TARIFF_C_COLDVSNA_3">Предложение!$213:$215</definedName>
    <definedName name="OFFER_TARIFF_C_COLDVSNA_4">Предложение!$274:$276</definedName>
    <definedName name="OFFER_TARIFF_C_COLDVSNA_5">Предложение!$335:$337</definedName>
    <definedName name="OFFER_TARIFF_C_HOTVSNA_1">Предложение!$72:$74</definedName>
    <definedName name="OFFER_TARIFF_C_HOTVSNA_2">Предложение!$151:$153</definedName>
    <definedName name="OFFER_TARIFF_C_HOTVSNA_3">Предложение!$228:$230</definedName>
    <definedName name="OFFER_TARIFF_C_HOTVSNA_4">Предложение!$289:$291</definedName>
    <definedName name="OFFER_TARIFF_C_HOTVSNA_5">Предложение!$350:$352</definedName>
    <definedName name="OFFER_TARIFF_C_VOTV_1">Предложение!$81:$83</definedName>
    <definedName name="OFFER_TARIFF_C_VOTV_2">Предложение!$160:$162</definedName>
    <definedName name="OFFER_TARIFF_C_VOTV_3">Предложение!$237:$239</definedName>
    <definedName name="OFFER_TARIFF_C_VOTV_4">Предложение!$298:$300</definedName>
    <definedName name="OFFER_TARIFF_C_VOTV_5">Предложение!$359:$361</definedName>
    <definedName name="OFFER_TARIFF_D_1">Предложение!$33:$35</definedName>
    <definedName name="OFFER_TARIFF_D_2">Предложение!$112:$114</definedName>
    <definedName name="OFFER_TARIFF_D_3">Предложение!$189:$191</definedName>
    <definedName name="OFFER_TARIFF_D_4">Предложение!$250:$252</definedName>
    <definedName name="OFFER_TARIFF_D_5">Предложение!$311:$313</definedName>
    <definedName name="OFFER_TARIFF_D_COLDVSNA_1">Предложение!$60:$62</definedName>
    <definedName name="OFFER_TARIFF_D_COLDVSNA_2">Предложение!$139:$141</definedName>
    <definedName name="OFFER_TARIFF_D_COLDVSNA_3">Предложение!$216:$218</definedName>
    <definedName name="OFFER_TARIFF_D_COLDVSNA_4">Предложение!$277:$279</definedName>
    <definedName name="OFFER_TARIFF_D_COLDVSNA_5">Предложение!$338:$340</definedName>
    <definedName name="OFFER_TARIFF_E_COLDVSNA_1">Предложение!$63:$65</definedName>
    <definedName name="OFFER_TARIFF_E_COLDVSNA_2">Предложение!$142:$144</definedName>
    <definedName name="OFFER_TARIFF_E_COLDVSNA_3">Предложение!$219:$221</definedName>
    <definedName name="OFFER_TARIFF_E_COLDVSNA_4">Предложение!$280:$282</definedName>
    <definedName name="OFFER_TARIFF_E_COLDVSNA_5">Предложение!$341:$343</definedName>
    <definedName name="OFFER_TARIFF_E1_1">Предложение!$36:$38</definedName>
    <definedName name="OFFER_TARIFF_E1_2">Предложение!$115:$117</definedName>
    <definedName name="OFFER_TARIFF_E1_3">Предложение!$192:$194</definedName>
    <definedName name="OFFER_TARIFF_E1_4">Предложение!$253:$255</definedName>
    <definedName name="OFFER_TARIFF_E1_5">Предложение!$314:$316</definedName>
    <definedName name="OFFER_TARIFF_E2_1">Предложение!$39:$41</definedName>
    <definedName name="OFFER_TARIFF_E2_2">Предложение!$118:$120</definedName>
    <definedName name="OFFER_TARIFF_E2_3">Предложение!$195:$197</definedName>
    <definedName name="OFFER_TARIFF_E2_4">Предложение!$256:$258</definedName>
    <definedName name="OFFER_TARIFF_E2_5">Предложение!$317:$319</definedName>
    <definedName name="OFFER_TARIFF_F_1">Предложение!$42:$44</definedName>
    <definedName name="OFFER_TARIFF_F_2">Предложение!$121:$123</definedName>
    <definedName name="OFFER_TARIFF_F_3">Предложение!$198:$200</definedName>
    <definedName name="OFFER_TARIFF_F_4">Предложение!$259:$261</definedName>
    <definedName name="OFFER_TARIFF_F_5">Предложение!$320:$322</definedName>
    <definedName name="OFFER_TARIFF_G_1">Предложение!$45:$47</definedName>
    <definedName name="OFFER_TARIFF_G_2">Предложение!$124:$126</definedName>
    <definedName name="OFFER_TARIFF_G_3">Предложение!$201:$203</definedName>
    <definedName name="OFFER_TARIFF_G_4">Предложение!$262:$264</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Предложение!$G$132</definedName>
    <definedName name="pIns_PT_VTAR_A_COLDVSNA_OFFER_3">Предложение!$G$209</definedName>
    <definedName name="pIns_PT_VTAR_A_COLDVSNA_OFFER_4">Предложение!$G$270</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Предложение!$G$147</definedName>
    <definedName name="pIns_PT_VTAR_A_HOTVSNA_OFFER_3">Предложение!$G$224</definedName>
    <definedName name="pIns_PT_VTAR_A_HOTVSNA_OFFER_4">Предложение!$G$285</definedName>
    <definedName name="pIns_PT_VTAR_A_HOTVSNA_OFFER_5">Предложение!$G$346</definedName>
    <definedName name="pIns_PT_VTAR_A_OFFER_1">Предложение!$G$26</definedName>
    <definedName name="pIns_PT_VTAR_A_OFFER_2">Предложение!$G$105</definedName>
    <definedName name="pIns_PT_VTAR_A_OFFER_3">Предложение!$G$182</definedName>
    <definedName name="pIns_PT_VTAR_A_OFFER_4">Предложение!$G$243</definedName>
    <definedName name="pIns_PT_VTAR_A_OFFER_5">Предложение!$G$304</definedName>
    <definedName name="pIns_PT_VTAR_A_VOTV">'ВО. Т-во'!$T$53</definedName>
    <definedName name="pIns_PT_VTAR_A_VOTV_OFFER_1">Предложение!$G$77</definedName>
    <definedName name="pIns_PT_VTAR_A_VOTV_OFFER_2">Предложение!$G$156</definedName>
    <definedName name="pIns_PT_VTAR_A_VOTV_OFFER_3">Предложение!$G$233</definedName>
    <definedName name="pIns_PT_VTAR_A_VOTV_OFFER_4">Предложение!$G$294</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Предложение!$G$135</definedName>
    <definedName name="pIns_PT_VTAR_B_COLDVSNA_OFFER_3">Предложение!$G$212</definedName>
    <definedName name="pIns_PT_VTAR_B_COLDVSNA_OFFER_4">Предложение!$G$273</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Предложение!$G$150</definedName>
    <definedName name="pIns_PT_VTAR_B_HOTVSNA_OFFER_3">Предложение!$G$227</definedName>
    <definedName name="pIns_PT_VTAR_B_HOTVSNA_OFFER_4">Предложение!$G$288</definedName>
    <definedName name="pIns_PT_VTAR_B_HOTVSNA_OFFER_5">Предложение!$G$349</definedName>
    <definedName name="pIns_PT_VTAR_B_OFFER_1">Предложение!$G$29</definedName>
    <definedName name="pIns_PT_VTAR_B_OFFER_2">Предложение!$G$108</definedName>
    <definedName name="pIns_PT_VTAR_B_OFFER_3">Предложение!$G$185</definedName>
    <definedName name="pIns_PT_VTAR_B_OFFER_4">Предложение!$G$246</definedName>
    <definedName name="pIns_PT_VTAR_B_OFFER_5">Предложение!$G$307</definedName>
    <definedName name="pIns_PT_VTAR_B_VOTV">'ВО. Т-транс'!$T$53</definedName>
    <definedName name="pIns_PT_VTAR_B_VOTV_OFFER_1">Предложение!$G$80</definedName>
    <definedName name="pIns_PT_VTAR_B_VOTV_OFFER_2">Предложение!$G$159</definedName>
    <definedName name="pIns_PT_VTAR_B_VOTV_OFFER_3">Предложение!$G$236</definedName>
    <definedName name="pIns_PT_VTAR_B_VOTV_OFFER_4">Предложение!$G$297</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Предложение!$G$138</definedName>
    <definedName name="pIns_PT_VTAR_C_COLDVSNA_OFFER_3">Предложение!$G$215</definedName>
    <definedName name="pIns_PT_VTAR_C_COLDVSNA_OFFER_4">Предложение!$G$276</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Предложение!$G$153</definedName>
    <definedName name="pIns_PT_VTAR_C_HOTVSNA_OFFER_3">Предложение!$G$230</definedName>
    <definedName name="pIns_PT_VTAR_C_HOTVSNA_OFFER_4">Предложение!$G$291</definedName>
    <definedName name="pIns_PT_VTAR_C_HOTVSNA_OFFER_5">Предложение!$G$352</definedName>
    <definedName name="pIns_PT_VTAR_C_OFFER_1">Предложение!$G$32</definedName>
    <definedName name="pIns_PT_VTAR_C_OFFER_2">Предложение!$G$111</definedName>
    <definedName name="pIns_PT_VTAR_C_OFFER_3">Предложение!$G$188</definedName>
    <definedName name="pIns_PT_VTAR_C_OFFER_4">Предложение!$G$249</definedName>
    <definedName name="pIns_PT_VTAR_C_OFFER_5">Предложение!$G$310</definedName>
    <definedName name="pIns_PT_VTAR_C_VOTV">'ВО. Т-подкл'!$T$63</definedName>
    <definedName name="pIns_PT_VTAR_C_VOTV_OFFER_1">Предложение!$G$83</definedName>
    <definedName name="pIns_PT_VTAR_C_VOTV_OFFER_2">Предложение!$G$162</definedName>
    <definedName name="pIns_PT_VTAR_C_VOTV_OFFER_3">Предложение!$G$239</definedName>
    <definedName name="pIns_PT_VTAR_C_VOTV_OFFER_4">Предложение!$G$300</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Предложение!$G$141</definedName>
    <definedName name="pIns_PT_VTAR_D_COLDVSNA_OFFER_3">Предложение!$G$218</definedName>
    <definedName name="pIns_PT_VTAR_D_COLDVSNA_OFFER_4">Предложение!$G$279</definedName>
    <definedName name="pIns_PT_VTAR_D_COLDVSNA_OFFER_5">Предложение!$G$340</definedName>
    <definedName name="pIns_PT_VTAR_D_OFFER_1">Предложение!$G$35</definedName>
    <definedName name="pIns_PT_VTAR_D_OFFER_2">Предложение!$G$114</definedName>
    <definedName name="pIns_PT_VTAR_D_OFFER_3">Предложение!$G$191</definedName>
    <definedName name="pIns_PT_VTAR_D_OFFER_4">Предложение!$G$252</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Предложение!$G$144</definedName>
    <definedName name="pIns_PT_VTAR_E_COLDVSNA_OFFER_3">Предложение!$G$221</definedName>
    <definedName name="pIns_PT_VTAR_E_COLDVSNA_OFFER_4">Предложение!$G$282</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Предложение!$G$117</definedName>
    <definedName name="pIns_PT_VTAR_E1_OFFER_3">Предложение!$G$194</definedName>
    <definedName name="pIns_PT_VTAR_E1_OFFER_4">Предложение!$G$255</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Предложение!$G$120</definedName>
    <definedName name="pIns_PT_VTAR_E2_OFFER_3">Предложение!$G$197</definedName>
    <definedName name="pIns_PT_VTAR_E2_OFFER_4">Предложение!$G$258</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Предложение!$G$123</definedName>
    <definedName name="pIns_PT_VTAR_F_OFFER_3">Предложение!$G$200</definedName>
    <definedName name="pIns_PT_VTAR_F_OFFER_4">Предложение!$G$261</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Предложение!$G$126</definedName>
    <definedName name="pIns_PT_VTAR_G_OFFER_3">Предложение!$G$203</definedName>
    <definedName name="pIns_PT_VTAR_G_OFFER_4">Предложение!$G$264</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Предложение!$G$129</definedName>
    <definedName name="pIns_PT_VTAR_H_OFFER_3">Предложение!$G$206</definedName>
    <definedName name="pIns_PT_VTAR_H_OFFER_4">Предложение!$G$267</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&gt;=25МВт'!$FB$39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&gt;=25МВт'!$FB$62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<sst xmlns="http://schemas.openxmlformats.org/spreadsheetml/2006/main" count="14906" uniqueCount="3648">
  <si>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</si>
  <si>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</si>
  <si>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</si>
  <si>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</si>
  <si>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</si>
  <si>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</si>
  <si>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</si>
  <si>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</si>
  <si>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</si>
  <si>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</si>
  <si>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</si>
  <si>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</si>
  <si>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</si>
  <si>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</si>
  <si>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</si>
  <si>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</si>
  <si>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</si>
  <si>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</si>
  <si>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</si>
  <si>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</si>
  <si>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</si>
  <si>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</si>
  <si>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</si>
  <si>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</si>
  <si>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</si>
  <si>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</si>
  <si>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</si>
  <si>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</si>
  <si>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</si>
  <si>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</si>
  <si>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</si>
  <si>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</si>
  <si>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</si>
  <si>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</si>
  <si>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</si>
  <si>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</si>
  <si>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</si>
  <si>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</si>
  <si>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</si>
  <si>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</si>
  <si>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</si>
  <si>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27-5289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</si>
  <si>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</si>
  <si>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</si>
  <si>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</si>
  <si>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27/6419</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</si>
  <si>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</si>
  <si>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</si>
  <si>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</si>
  <si>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</si>
  <si>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</si>
  <si>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</si>
  <si>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</si>
  <si>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</si>
  <si>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</si>
  <si>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</si>
  <si>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</si>
  <si>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</si>
  <si>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</si>
  <si>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</si>
  <si>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</si>
  <si>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</si>
  <si>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</si>
  <si>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</si>
  <si>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</si>
  <si>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</si>
  <si>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</si>
  <si>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</si>
  <si>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</si>
  <si>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</si>
  <si>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</si>
  <si>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</si>
  <si>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</si>
  <si>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</si>
  <si>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</si>
  <si>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</si>
  <si>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</si>
  <si>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</si>
  <si>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</si>
  <si>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</si>
  <si>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</si>
  <si>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</si>
  <si>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</si>
  <si>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</si>
  <si>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</si>
  <si>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</si>
  <si>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</si>
  <si>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</si>
  <si>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</si>
  <si>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</si>
  <si>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</si>
  <si>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</si>
  <si>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</si>
  <si>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</si>
  <si>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</si>
  <si>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</si>
  <si>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</si>
  <si>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</si>
  <si>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</si>
  <si>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</si>
  <si>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</si>
  <si>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</si>
  <si>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</si>
  <si>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</si>
  <si>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</si>
  <si>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</si>
  <si>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</si>
  <si>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</si>
  <si>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</si>
  <si>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</si>
  <si>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</si>
  <si>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</si>
  <si>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</si>
  <si>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</si>
  <si>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</si>
  <si>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</si>
  <si>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</si>
  <si>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</si>
  <si>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</si>
  <si>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</si>
  <si>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</si>
  <si>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</si>
  <si>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</si>
  <si>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</si>
  <si>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</si>
  <si>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</si>
  <si>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</si>
  <si>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</si>
  <si>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</si>
  <si>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</si>
  <si>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</si>
  <si>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</si>
  <si>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</si>
  <si>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</si>
  <si>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</si>
  <si>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</si>
  <si>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</si>
  <si>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</si>
  <si>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</si>
  <si>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</si>
  <si>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</si>
  <si>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</si>
  <si>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</si>
  <si>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</si>
  <si>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</si>
  <si>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</si>
  <si>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</si>
  <si>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</si>
  <si>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</si>
  <si>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</si>
  <si>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</si>
  <si>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</si>
  <si>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</si>
  <si>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</si>
  <si>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</si>
  <si>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</si>
  <si>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</si>
  <si>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</si>
  <si>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</si>
  <si>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</si>
  <si>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</si>
  <si>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</si>
  <si>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</si>
  <si>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</si>
  <si>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</si>
  <si>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</si>
  <si>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</si>
  <si>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</si>
  <si>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</si>
  <si>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</si>
  <si>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</si>
  <si>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</si>
  <si>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</si>
  <si>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</si>
  <si>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</si>
  <si>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</si>
  <si>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</si>
  <si>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</si>
  <si>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</si>
  <si>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</si>
  <si>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</si>
  <si>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</si>
  <si>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</si>
  <si>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</si>
  <si>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</si>
  <si>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</si>
  <si>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</si>
  <si>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</si>
  <si>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</si>
  <si>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</si>
  <si>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</si>
  <si>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</si>
  <si>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</si>
  <si>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</si>
  <si>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</si>
  <si>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</si>
  <si>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</si>
  <si>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</si>
  <si>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</si>
  <si>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</si>
  <si>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</si>
  <si>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</si>
  <si>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</si>
  <si>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</si>
  <si>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</si>
  <si>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</si>
  <si>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</si>
  <si>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</si>
  <si>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</si>
  <si>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</si>
  <si>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</si>
  <si>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</si>
  <si>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</si>
  <si>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</si>
  <si>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</si>
  <si>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</si>
  <si>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</si>
  <si>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</si>
  <si>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</si>
  <si>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</si>
  <si>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</si>
  <si>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</si>
  <si>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</si>
  <si>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</si>
  <si>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</si>
  <si>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</si>
  <si>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</si>
  <si>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</si>
  <si>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</si>
  <si>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</si>
  <si>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</si>
  <si>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</si>
  <si>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</si>
  <si>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</si>
  <si>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</si>
  <si>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</si>
  <si>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</si>
  <si>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</si>
  <si>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</si>
  <si>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</si>
  <si>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</si>
  <si>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</si>
  <si>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</si>
  <si>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</si>
  <si>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</si>
  <si>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</si>
  <si>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</si>
  <si>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</si>
  <si>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</si>
  <si>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</si>
  <si>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</si>
  <si>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</si>
  <si>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</si>
  <si>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</si>
  <si>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</si>
  <si>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</si>
  <si>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</si>
  <si>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</si>
  <si>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</si>
  <si>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</si>
  <si>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</si>
  <si>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</si>
  <si>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</si>
  <si>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</si>
  <si>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</si>
  <si>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</si>
  <si>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</si>
  <si>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</si>
  <si>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</si>
  <si>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</si>
  <si>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</si>
  <si>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</si>
  <si>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</si>
  <si>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</si>
  <si>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</si>
  <si>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</si>
  <si>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</si>
  <si>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</si>
  <si>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</si>
  <si>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</si>
  <si>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</si>
  <si>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</si>
  <si>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</si>
  <si>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</si>
  <si>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</si>
  <si>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</si>
  <si>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</si>
  <si>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</si>
  <si>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</si>
  <si>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</si>
  <si>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</si>
  <si>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</si>
  <si>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</si>
  <si>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</si>
  <si>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</si>
  <si>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</si>
  <si>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</si>
  <si>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</si>
  <si>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</si>
  <si>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</si>
  <si>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</si>
  <si>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</si>
  <si>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</si>
  <si>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</si>
  <si>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</si>
  <si>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</si>
  <si>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</si>
  <si>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</si>
  <si>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</si>
  <si>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</si>
  <si>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</si>
  <si>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</si>
  <si>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</si>
  <si>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</si>
  <si>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</si>
  <si>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</si>
  <si>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</si>
  <si>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</si>
  <si>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</si>
  <si>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</si>
  <si>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</si>
  <si>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</si>
  <si>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</si>
  <si>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</si>
  <si>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</si>
  <si>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</si>
  <si>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</si>
  <si>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</si>
  <si>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</si>
  <si>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</si>
  <si>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</si>
  <si>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</si>
  <si>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</si>
  <si>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</si>
  <si>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</si>
  <si>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</si>
  <si>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</si>
  <si>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</si>
  <si>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</si>
  <si>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</si>
  <si>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</si>
  <si>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</si>
  <si>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</si>
  <si>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</si>
  <si>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</si>
  <si>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</si>
  <si>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</si>
  <si>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</si>
  <si>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</si>
  <si>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</si>
  <si>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</si>
  <si>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</si>
  <si>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</si>
  <si>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</si>
  <si>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</si>
  <si>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</si>
  <si>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</si>
  <si>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</si>
  <si>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</si>
  <si>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</si>
  <si>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</si>
  <si>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</si>
  <si>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</si>
  <si>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</si>
  <si>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</si>
  <si>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</si>
  <si>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</si>
  <si>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</si>
  <si>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</si>
  <si>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</si>
  <si>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</si>
  <si>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</si>
  <si>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</si>
  <si>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</si>
  <si>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</si>
  <si>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</si>
  <si>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</si>
  <si>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</si>
  <si>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</si>
  <si>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</si>
  <si>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</si>
  <si>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</si>
  <si>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</si>
  <si>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</si>
  <si>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</si>
  <si>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</si>
  <si>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</si>
  <si>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</si>
  <si>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</si>
  <si>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</si>
  <si>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</si>
  <si>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</si>
  <si>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</si>
  <si>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</si>
  <si>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</si>
  <si>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</si>
  <si>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</si>
  <si>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</si>
  <si>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</si>
  <si>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</si>
  <si>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</si>
  <si>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</si>
  <si>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</si>
  <si>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</si>
  <si>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</si>
  <si>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</si>
  <si>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</si>
  <si>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</si>
  <si>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</si>
  <si>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</si>
  <si>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</si>
  <si>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</si>
  <si>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</si>
  <si>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</si>
  <si>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</si>
  <si>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</si>
  <si>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</si>
  <si>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</si>
  <si>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</si>
  <si>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</si>
  <si>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</si>
  <si>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</si>
  <si>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</si>
  <si>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</si>
  <si>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</si>
  <si>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</si>
  <si>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</si>
  <si>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</si>
  <si>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</si>
  <si>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</si>
  <si>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</si>
  <si>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</si>
  <si>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</si>
  <si>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</si>
  <si>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</si>
  <si>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</si>
  <si>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</si>
  <si>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</si>
  <si>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</si>
  <si>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</si>
  <si>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</si>
  <si>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</si>
  <si>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</si>
  <si>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</si>
  <si>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</si>
  <si>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</si>
  <si>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</si>
  <si>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</si>
  <si>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</si>
  <si>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</si>
  <si>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</si>
  <si>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</si>
  <si>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</si>
  <si>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</si>
  <si>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</si>
  <si>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</si>
  <si>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</si>
  <si>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</si>
  <si>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</si>
  <si>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</si>
  <si>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</si>
  <si>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</si>
  <si>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</si>
  <si>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</si>
  <si>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</si>
  <si>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</si>
  <si>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</si>
  <si>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</si>
  <si>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</si>
  <si>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</si>
  <si>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</si>
  <si>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</si>
  <si>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</si>
  <si>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</si>
  <si>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</si>
  <si>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</si>
  <si>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</si>
  <si>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</si>
  <si>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</si>
  <si>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</si>
  <si>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</si>
  <si>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</si>
  <si>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</si>
  <si>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</si>
  <si>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</si>
  <si>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</si>
  <si>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</si>
  <si>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</si>
  <si>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</si>
  <si>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</si>
  <si>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</si>
  <si>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</si>
  <si>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</si>
  <si>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</si>
  <si>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</si>
  <si>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</si>
  <si>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</si>
  <si>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</si>
  <si>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</si>
  <si>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</si>
  <si>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</si>
  <si>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</si>
  <si>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</si>
  <si>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</si>
  <si>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</si>
  <si>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</si>
  <si>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</si>
  <si>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</si>
  <si>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</si>
  <si>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</si>
  <si>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</si>
  <si>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</si>
  <si>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</si>
  <si>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</si>
  <si>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</si>
  <si>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</si>
  <si>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</si>
  <si>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</si>
  <si>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</si>
  <si>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</si>
  <si>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</si>
  <si>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</si>
  <si>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</si>
  <si>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</si>
  <si>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</si>
  <si>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</si>
  <si>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</si>
  <si>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</si>
  <si>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</si>
  <si>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</si>
  <si>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</si>
  <si>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</si>
  <si>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</si>
  <si>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</si>
  <si>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</si>
  <si>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</si>
  <si>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</si>
  <si>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</si>
  <si>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</si>
  <si>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</si>
  <si>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</si>
  <si>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</si>
  <si>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</si>
  <si>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</si>
  <si>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</si>
  <si>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</si>
  <si>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</si>
  <si>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</si>
  <si>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</si>
  <si>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</si>
  <si>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</si>
  <si>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</si>
  <si>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</si>
  <si>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</si>
  <si>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</si>
  <si>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</si>
  <si>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</si>
  <si>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</si>
  <si>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</si>
  <si>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</si>
  <si>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</si>
  <si>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</si>
  <si>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</si>
  <si>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</si>
  <si>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</si>
  <si>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</si>
  <si>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</si>
  <si>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</si>
  <si>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</si>
  <si>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</si>
  <si>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</si>
  <si>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</si>
  <si>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</si>
  <si>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</si>
  <si>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</si>
  <si>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</si>
  <si>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</si>
  <si>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</si>
  <si>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</si>
  <si>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</si>
  <si>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</si>
  <si>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</si>
  <si>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</si>
  <si>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</si>
  <si>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</si>
  <si>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</si>
  <si>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</si>
  <si>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</si>
  <si>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</si>
  <si>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</si>
  <si>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</si>
  <si>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</si>
  <si>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</si>
  <si>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</si>
  <si>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</si>
  <si>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</si>
  <si>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</si>
  <si>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</si>
  <si>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</si>
  <si>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</si>
  <si>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</si>
  <si>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</si>
  <si>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</si>
  <si>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</si>
  <si>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</si>
  <si>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</si>
  <si>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</si>
  <si>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</si>
  <si>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</si>
  <si>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</si>
  <si>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</si>
  <si>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</si>
  <si>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</si>
  <si>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</si>
  <si>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</si>
  <si>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</si>
  <si>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</si>
  <si>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</si>
  <si>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</si>
  <si>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</si>
  <si>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</si>
  <si>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</si>
  <si>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</si>
  <si>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</si>
  <si>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</si>
  <si>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</si>
  <si>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</si>
  <si>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</si>
  <si>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</si>
  <si>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</si>
  <si>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</si>
  <si>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</si>
  <si>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</si>
  <si>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</si>
  <si>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</si>
  <si>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</si>
  <si>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</si>
  <si>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</si>
  <si>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</si>
  <si>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</si>
  <si>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</si>
  <si>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</si>
  <si>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</si>
  <si>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</si>
  <si>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</si>
  <si>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</si>
  <si>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</si>
  <si>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</si>
  <si>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</si>
  <si>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</si>
  <si>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</si>
  <si>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</si>
  <si>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</si>
  <si>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</si>
  <si>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</si>
  <si>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</si>
  <si>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</si>
  <si>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</si>
  <si>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</si>
  <si>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</si>
  <si>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</si>
  <si>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</si>
  <si>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</si>
  <si>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</si>
  <si>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</si>
  <si>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</si>
  <si>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</si>
  <si>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</si>
  <si>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</si>
  <si>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</si>
  <si>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</si>
  <si>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</si>
  <si>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</si>
  <si>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</si>
  <si>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</si>
  <si>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</si>
  <si>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</si>
  <si>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</si>
  <si>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</si>
  <si>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</si>
  <si>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</si>
  <si>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</si>
  <si>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</si>
  <si>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</si>
  <si>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</si>
  <si>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</si>
  <si>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</si>
  <si>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</si>
  <si>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</si>
  <si>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</si>
  <si>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</si>
  <si>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</si>
  <si>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</si>
  <si>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</si>
  <si>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</si>
  <si>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</si>
  <si>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</si>
  <si>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</si>
  <si>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</si>
  <si>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</si>
  <si>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</si>
  <si>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</si>
  <si>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</si>
  <si>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</si>
  <si>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</si>
  <si>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</si>
  <si>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</si>
  <si>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</si>
  <si>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</si>
  <si>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</si>
  <si>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</si>
  <si>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</si>
  <si>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</si>
  <si>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</si>
  <si>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</si>
  <si>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</si>
  <si>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</si>
  <si>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</si>
  <si>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</si>
  <si>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</si>
  <si>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</si>
  <si>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</si>
  <si>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</si>
  <si>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</si>
  <si>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</si>
  <si>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</si>
  <si>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</si>
  <si>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</si>
  <si>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</si>
  <si>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</si>
  <si>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</si>
  <si>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</si>
  <si>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</si>
  <si>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</si>
  <si>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</si>
  <si>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</si>
  <si>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</si>
  <si>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</si>
  <si>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</si>
  <si>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</si>
  <si>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</si>
  <si>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</si>
  <si>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</si>
  <si>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</si>
  <si>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</si>
  <si>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</si>
  <si>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</si>
  <si>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</si>
  <si>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</si>
  <si>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</si>
  <si>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</si>
  <si>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</si>
  <si>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</si>
  <si>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</si>
  <si>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</si>
  <si>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</si>
  <si>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</si>
  <si>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</si>
  <si>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</si>
  <si>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</si>
  <si>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</si>
  <si>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</si>
  <si>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</si>
  <si>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</si>
  <si>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</si>
  <si>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</si>
  <si>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</si>
  <si>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</si>
  <si>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</si>
  <si>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</si>
  <si>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</si>
  <si>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</si>
  <si>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</si>
  <si>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</si>
  <si>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</si>
  <si>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</si>
  <si>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</si>
  <si>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</si>
  <si>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</si>
  <si>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</si>
  <si>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</si>
  <si>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</si>
  <si>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</si>
  <si>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</si>
  <si>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</si>
  <si>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</si>
  <si>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</si>
  <si>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</si>
  <si>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</si>
  <si>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</si>
  <si>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</si>
  <si>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</si>
  <si>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</si>
  <si>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</si>
  <si>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</si>
  <si>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</si>
  <si>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</si>
  <si>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</si>
  <si>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</si>
  <si>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</si>
  <si>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</si>
  <si>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</si>
  <si>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</si>
  <si>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</si>
  <si>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</si>
  <si>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</si>
  <si>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</si>
  <si>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</si>
  <si>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</si>
  <si>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</si>
  <si>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</si>
  <si>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</si>
  <si>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</si>
  <si>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</si>
  <si>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</si>
  <si>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</si>
  <si>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</si>
  <si>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</si>
  <si>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</si>
  <si>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</si>
  <si>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</si>
  <si>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</si>
  <si>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</si>
  <si>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</si>
  <si>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</si>
  <si>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</si>
  <si>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</si>
  <si>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</si>
  <si>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</si>
  <si>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</si>
  <si>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</si>
  <si>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</si>
  <si>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</si>
  <si>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</si>
  <si>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</si>
  <si>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</si>
  <si>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</si>
  <si>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</si>
  <si>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</si>
  <si>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</si>
  <si>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</si>
  <si>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</si>
  <si>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</si>
  <si>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</si>
  <si>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</si>
  <si>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</si>
  <si>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</si>
  <si>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</si>
  <si>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</si>
  <si>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</si>
  <si>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</si>
  <si>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</si>
  <si>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</si>
  <si>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</si>
  <si>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</si>
  <si>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</si>
  <si>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</si>
  <si>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</si>
  <si>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</si>
  <si>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</si>
  <si>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</si>
  <si>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</si>
  <si>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</si>
  <si>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</si>
  <si>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</si>
  <si>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</si>
  <si>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</si>
  <si>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</si>
  <si>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</si>
  <si>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</si>
  <si>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</si>
  <si>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</si>
  <si>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</si>
  <si>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</si>
  <si>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</si>
  <si>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</si>
  <si>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</si>
  <si>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</si>
  <si>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</si>
  <si>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</si>
  <si>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</si>
  <si>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</si>
  <si>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</si>
  <si>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</si>
  <si>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</si>
  <si>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</si>
  <si>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</si>
  <si>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</si>
  <si>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</si>
  <si>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</si>
  <si>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</si>
  <si>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</si>
  <si>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</si>
  <si>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</si>
  <si>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</si>
  <si>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</si>
  <si>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</si>
  <si>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</si>
  <si>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</si>
  <si>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</si>
  <si>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</si>
  <si>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</si>
  <si>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</si>
  <si>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</si>
  <si>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</si>
  <si>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</si>
  <si>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</si>
  <si>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</si>
  <si>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</si>
  <si>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</si>
  <si>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</si>
  <si>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</si>
  <si>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</si>
  <si>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</si>
  <si>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</si>
  <si>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</si>
  <si>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</si>
  <si>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</si>
  <si>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</si>
  <si>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</si>
  <si>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</si>
  <si>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</si>
  <si>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</si>
  <si>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</si>
  <si>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</si>
  <si>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</si>
  <si>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</si>
  <si>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</si>
  <si>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</si>
  <si>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</si>
  <si>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</si>
  <si>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</si>
  <si>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</si>
  <si>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</si>
  <si>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</si>
  <si>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</si>
  <si>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</si>
  <si>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</si>
  <si>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</si>
  <si>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</si>
  <si>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</si>
  <si>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</si>
  <si>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</si>
  <si>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</si>
  <si>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</si>
  <si>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</si>
  <si>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</si>
  <si>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</si>
  <si>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</si>
  <si>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</si>
  <si>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</si>
  <si>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</si>
  <si>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</si>
  <si>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</si>
  <si>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</si>
  <si>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</si>
  <si>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</si>
  <si>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</si>
  <si>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</si>
  <si>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</si>
  <si>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</si>
  <si>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</si>
  <si>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</si>
  <si>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</si>
  <si>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</si>
  <si>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</si>
  <si>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</si>
  <si>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</si>
  <si>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</si>
  <si>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</si>
  <si>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</si>
  <si>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</si>
  <si>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</si>
  <si>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</si>
  <si>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</si>
  <si>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</si>
  <si>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</si>
  <si>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</si>
  <si>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</si>
  <si>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</si>
  <si>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</si>
  <si>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</si>
  <si>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</si>
  <si>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</si>
  <si>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</si>
  <si>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</si>
  <si>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</si>
  <si>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</si>
  <si>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</si>
  <si>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</si>
  <si>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</si>
  <si>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</si>
  <si>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</si>
  <si>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</si>
  <si>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</si>
  <si>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</si>
  <si>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</si>
  <si>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</si>
  <si>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</si>
  <si>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</si>
  <si>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</si>
  <si>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</si>
  <si>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</si>
  <si>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</si>
  <si>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</si>
  <si>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</si>
  <si>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</si>
  <si>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</si>
  <si>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</si>
  <si>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</si>
  <si>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</si>
  <si>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</si>
  <si>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</si>
  <si>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</si>
  <si>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</si>
  <si>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</si>
  <si>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</si>
  <si>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</si>
  <si>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</si>
  <si>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</si>
  <si>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</si>
  <si>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</si>
  <si>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</si>
  <si>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</si>
  <si>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</si>
  <si>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</si>
  <si>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</si>
  <si>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</si>
  <si>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</si>
  <si>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</si>
  <si>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</si>
  <si>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</si>
  <si>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</si>
  <si>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</si>
  <si>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</si>
  <si>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</si>
  <si>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</si>
  <si>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</si>
  <si>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</si>
  <si>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</si>
  <si>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</si>
  <si>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</si>
  <si>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</si>
  <si>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</si>
  <si>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</si>
  <si>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</si>
  <si>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</si>
  <si>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</si>
  <si>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</si>
  <si>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</si>
  <si>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</si>
  <si>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</si>
  <si>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</si>
  <si>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</si>
  <si>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</si>
  <si>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</si>
  <si>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</si>
  <si>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</si>
  <si>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</si>
  <si>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</si>
  <si>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</si>
  <si>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</si>
  <si>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</si>
  <si>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</si>
  <si>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</si>
  <si>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</si>
  <si>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</si>
  <si>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</si>
  <si>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</si>
  <si>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</si>
  <si>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</si>
  <si>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</si>
  <si>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</si>
  <si>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</si>
  <si>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</si>
  <si>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</si>
  <si>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</si>
  <si>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</si>
  <si>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</si>
  <si>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</si>
  <si>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</si>
  <si>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</si>
  <si>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</si>
  <si>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</si>
  <si>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</si>
  <si>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</si>
  <si>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</si>
  <si>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</si>
  <si>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</si>
  <si>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</si>
  <si>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</si>
  <si>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</si>
  <si>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</si>
  <si>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</si>
  <si>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</si>
  <si>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</si>
  <si>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</si>
  <si>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</si>
  <si>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</si>
  <si>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</si>
  <si>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</si>
  <si>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</si>
  <si>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</si>
  <si>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</si>
  <si>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</si>
  <si>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</si>
  <si>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</si>
  <si>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</si>
  <si>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</si>
  <si>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</si>
  <si>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</si>
  <si>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</si>
  <si>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</si>
  <si>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</si>
  <si>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</si>
  <si>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</si>
  <si>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</si>
  <si>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</si>
  <si>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</si>
  <si>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</si>
  <si>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</si>
  <si>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</si>
  <si>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</si>
  <si>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</si>
  <si>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</si>
  <si>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</si>
  <si>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</si>
  <si>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</si>
  <si>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</si>
  <si>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</si>
  <si>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</si>
  <si>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</si>
  <si>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</si>
  <si>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</si>
  <si>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</si>
  <si>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</si>
  <si>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</si>
  <si>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</si>
  <si>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</si>
  <si>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</si>
  <si>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</si>
  <si>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</si>
  <si>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</si>
  <si>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</si>
  <si>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</si>
  <si>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</si>
  <si>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</si>
  <si>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</si>
  <si>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</si>
  <si>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</si>
  <si>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</si>
  <si>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</si>
  <si>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</si>
  <si>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</si>
  <si>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</si>
  <si>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</si>
  <si>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</si>
  <si>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https://portal.eias.ru/Portal/DownloadPage.aspx?type=12&amp;guid=d8499b36-f901-4220-ae99-7537ab627da1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</si>
  <si>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</si>
  <si>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</si>
  <si>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</si>
  <si>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</si>
  <si>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</si>
  <si>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</si>
  <si>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</si>
  <si>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</si>
  <si>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</si>
  <si>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</si>
  <si>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</si>
  <si>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</si>
  <si>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</si>
  <si>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</si>
  <si>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</si>
  <si>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</si>
  <si>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</si>
  <si>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</si>
  <si>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</si>
  <si>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</si>
  <si>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</si>
  <si>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</si>
  <si>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</si>
  <si>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</si>
  <si>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</si>
  <si>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</si>
  <si>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</si>
  <si>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</si>
  <si>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</si>
  <si>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</si>
  <si>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</si>
  <si>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</si>
  <si>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</si>
  <si>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</si>
  <si>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</si>
  <si>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</si>
  <si>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</si>
  <si>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</si>
  <si>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</si>
  <si>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</si>
  <si>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</si>
  <si>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</si>
  <si>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</si>
  <si>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</si>
  <si>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</si>
  <si>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</si>
  <si>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</si>
  <si>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</si>
  <si>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</si>
  <si>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</si>
  <si>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</si>
  <si>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</si>
  <si>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</si>
  <si>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</si>
  <si>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</si>
  <si>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</si>
  <si>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</si>
  <si>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</si>
  <si>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</si>
  <si>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</si>
  <si>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</si>
  <si>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</si>
  <si>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</si>
  <si>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</si>
  <si>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</si>
  <si>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</si>
  <si>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</si>
  <si>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</si>
  <si>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</si>
  <si>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</si>
  <si>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</si>
  <si>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</si>
  <si>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</si>
  <si>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</si>
  <si>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</si>
  <si>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</si>
  <si>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</si>
  <si>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</si>
  <si>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</si>
  <si>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</si>
  <si>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</si>
  <si>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</si>
  <si>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</si>
  <si>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</si>
  <si>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</si>
  <si>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</si>
  <si>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</si>
  <si>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</si>
  <si>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</si>
  <si>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</si>
  <si>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</si>
  <si>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</si>
  <si>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</si>
  <si>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</si>
  <si>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</si>
  <si>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</si>
  <si>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</si>
  <si>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</si>
  <si>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</si>
  <si>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</si>
  <si>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</si>
  <si>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</si>
  <si>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</si>
  <si>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</si>
  <si>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</si>
  <si>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</si>
  <si>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</si>
  <si>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</si>
  <si>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</si>
  <si>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</si>
  <si>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</si>
  <si>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</si>
  <si>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</si>
  <si>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</si>
  <si>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</si>
  <si>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</si>
  <si>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</si>
  <si>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</si>
  <si>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</si>
  <si>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</si>
  <si>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</si>
  <si>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</si>
  <si>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</si>
  <si>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</si>
  <si>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</si>
  <si>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</si>
  <si>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</si>
  <si>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</si>
  <si>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</si>
  <si>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</si>
  <si>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</si>
  <si>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</si>
  <si>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</si>
  <si>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</si>
  <si>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</si>
  <si>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</si>
  <si>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</si>
  <si>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</si>
  <si>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</si>
  <si>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</si>
  <si>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</si>
  <si>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</si>
  <si>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</si>
  <si>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</si>
  <si>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</si>
  <si>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</si>
  <si>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</si>
  <si>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</si>
  <si>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</si>
  <si>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</si>
  <si>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</si>
  <si>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</si>
  <si>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</si>
  <si>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</si>
  <si>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</si>
  <si>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</si>
  <si>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</si>
  <si>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</si>
  <si>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</si>
  <si>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</si>
  <si>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</si>
  <si>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</si>
  <si>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</si>
  <si>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</si>
  <si>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</si>
  <si>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</si>
  <si>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</si>
  <si>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</si>
  <si>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</si>
  <si>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</si>
  <si>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</si>
  <si>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</si>
  <si>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</si>
  <si>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</si>
  <si>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</si>
  <si>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</si>
  <si>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</si>
  <si>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</si>
  <si>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</si>
  <si>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</si>
  <si>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</si>
  <si>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</si>
  <si>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</si>
  <si>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</si>
  <si>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</si>
  <si>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</si>
  <si>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</si>
  <si>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</si>
  <si>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</si>
  <si>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</si>
  <si>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</si>
  <si>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</si>
  <si>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</si>
  <si>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</si>
  <si>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</si>
  <si>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</si>
  <si>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</si>
  <si>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</si>
  <si>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</si>
  <si>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</si>
  <si>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</si>
  <si>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</si>
  <si>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</si>
  <si>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</si>
  <si>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</si>
  <si>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</si>
  <si>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</si>
  <si>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</si>
  <si>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</si>
  <si>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</si>
  <si>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</si>
  <si>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</si>
  <si>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</si>
  <si>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</si>
  <si>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</si>
  <si>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</si>
  <si>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</si>
  <si>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</si>
  <si>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</si>
  <si>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</si>
  <si>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</si>
  <si>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</si>
  <si>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</si>
  <si>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</si>
  <si>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</si>
  <si>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</si>
  <si>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</si>
  <si>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</si>
  <si>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</si>
  <si>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</si>
  <si>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</si>
  <si>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</si>
  <si>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</si>
  <si>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</si>
  <si>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</si>
  <si>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</si>
  <si>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</si>
  <si>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</si>
  <si>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</si>
  <si>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</si>
  <si>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</si>
  <si>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</si>
  <si>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</si>
  <si>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</si>
  <si>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</si>
  <si>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</si>
  <si>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</si>
  <si>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</si>
  <si>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</si>
  <si>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</si>
  <si>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</si>
  <si>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</si>
  <si>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</si>
  <si>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</si>
  <si>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</si>
  <si>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</si>
  <si>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</si>
  <si>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</si>
  <si>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</si>
  <si>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</si>
  <si>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</si>
  <si>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</si>
  <si>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</si>
  <si>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</si>
  <si>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</si>
  <si>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</si>
  <si>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</si>
  <si>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</si>
  <si>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</si>
  <si>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</si>
  <si>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</si>
  <si>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</si>
  <si>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</si>
  <si>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</si>
  <si>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</si>
  <si>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</si>
  <si>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</si>
  <si>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</si>
  <si>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</si>
  <si>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</si>
  <si>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</si>
  <si>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</si>
  <si>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</si>
  <si>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</si>
  <si>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</si>
  <si>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</si>
  <si>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</si>
  <si>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</si>
  <si>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</si>
  <si>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</si>
  <si>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</si>
  <si>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</si>
  <si>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</si>
  <si>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</si>
  <si>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</si>
  <si>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</si>
  <si>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</si>
  <si>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</si>
  <si>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</si>
  <si>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</si>
  <si>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</si>
  <si>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</si>
  <si>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</si>
  <si>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</si>
  <si>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</si>
  <si>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</si>
  <si>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</si>
  <si>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</si>
  <si>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</si>
  <si>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</si>
  <si>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</si>
  <si>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</si>
  <si>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</si>
  <si>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</si>
  <si>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</si>
  <si>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</si>
  <si>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</si>
  <si>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</si>
  <si>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</si>
  <si>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</si>
  <si>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</si>
  <si>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</si>
  <si>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</si>
  <si>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</si>
  <si>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</si>
  <si>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</si>
  <si>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</si>
  <si>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</si>
  <si>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</si>
  <si>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</si>
  <si>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</si>
  <si>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</si>
  <si>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</si>
  <si>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</si>
  <si>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</si>
  <si>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</si>
  <si>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</si>
  <si>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</si>
  <si>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</si>
  <si>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</si>
  <si>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</si>
  <si>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</si>
  <si>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</si>
  <si>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</si>
  <si>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</si>
  <si>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</si>
  <si>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</si>
  <si>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</si>
  <si>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</si>
  <si>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</si>
  <si>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</si>
  <si>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</si>
  <si>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</si>
  <si>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</si>
  <si>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</si>
  <si>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</si>
  <si>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</si>
  <si>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</si>
  <si>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</si>
  <si>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</si>
  <si>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</si>
  <si>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</si>
  <si>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</si>
  <si>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</si>
  <si>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</si>
  <si>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</si>
  <si>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</si>
  <si>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</si>
  <si>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</si>
  <si>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</si>
  <si>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</si>
  <si>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</si>
  <si>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</si>
  <si>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</si>
  <si>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</si>
  <si>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</si>
  <si>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</si>
  <si>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</si>
  <si>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</si>
  <si>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</si>
  <si>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</si>
  <si>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</si>
  <si>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</si>
  <si>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</si>
  <si>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</si>
  <si>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</si>
  <si>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</si>
  <si>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</si>
  <si>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</si>
  <si>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</si>
  <si>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</si>
  <si>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</si>
  <si>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</si>
  <si>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</si>
  <si>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</si>
  <si>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</si>
  <si>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</si>
  <si>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</si>
  <si>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</si>
  <si>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</si>
  <si>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</si>
  <si>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</si>
  <si>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</si>
  <si>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</si>
  <si>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</si>
  <si>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</si>
  <si>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</si>
  <si>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</si>
  <si>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</si>
  <si>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</si>
  <si>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</si>
  <si>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</si>
  <si>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</si>
  <si>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</si>
  <si>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</si>
  <si>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</si>
  <si>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</si>
  <si>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</si>
  <si>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</si>
  <si>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</si>
  <si>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</si>
  <si>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</si>
  <si>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</si>
  <si>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</si>
  <si>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</si>
  <si>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</si>
  <si>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</si>
  <si>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</si>
  <si>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</si>
  <si>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</si>
  <si>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</si>
  <si>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</si>
  <si>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</si>
  <si>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</si>
  <si>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</si>
  <si>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</si>
  <si>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</si>
  <si>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</si>
  <si>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</si>
  <si>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</si>
  <si>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</si>
  <si>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</si>
  <si>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</si>
  <si>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</si>
  <si>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</si>
  <si>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</si>
  <si>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</si>
  <si>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</si>
  <si>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</si>
  <si>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</si>
  <si>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</si>
  <si>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</si>
  <si>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</si>
  <si>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</si>
  <si>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</si>
  <si>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</si>
  <si>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</si>
  <si>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</si>
  <si>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</si>
  <si>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</si>
  <si>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</si>
  <si>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</si>
  <si>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</si>
  <si>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</si>
  <si>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</si>
  <si>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</si>
  <si>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</si>
  <si>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</si>
  <si>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</si>
  <si>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</si>
  <si>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</si>
  <si>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</si>
  <si>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</si>
  <si>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</si>
  <si>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</si>
  <si>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</si>
  <si>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</si>
  <si>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</si>
  <si>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</si>
  <si>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</si>
  <si>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</si>
  <si>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</si>
  <si>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</si>
  <si>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</si>
  <si>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</si>
  <si>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</si>
  <si>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</si>
  <si>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</si>
  <si>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</si>
  <si>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</si>
  <si>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</si>
  <si>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</si>
  <si>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</si>
  <si>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</si>
  <si>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</si>
  <si>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</si>
  <si>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</si>
  <si>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</si>
  <si>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</si>
  <si>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</si>
  <si>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</si>
  <si>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</si>
  <si>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</si>
  <si>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</si>
  <si>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</si>
  <si>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</si>
  <si>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</si>
  <si>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</si>
  <si>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</si>
  <si>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</si>
  <si>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</si>
  <si>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</si>
  <si>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</si>
  <si>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</si>
  <si>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</si>
  <si>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</si>
  <si>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</si>
  <si>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</si>
  <si>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</si>
  <si>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</si>
  <si>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</si>
  <si>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</si>
  <si>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</si>
  <si>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</si>
  <si>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</si>
  <si>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</si>
  <si>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</si>
  <si>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</si>
  <si>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</si>
  <si>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</si>
  <si>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</si>
  <si>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</si>
  <si>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</si>
  <si>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</si>
  <si>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</si>
  <si>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</si>
  <si>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</si>
  <si>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</si>
  <si>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</si>
  <si>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</si>
  <si>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</si>
  <si>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</si>
  <si>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</si>
  <si>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</si>
  <si>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</si>
  <si>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</si>
  <si>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</si>
  <si>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</si>
  <si>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</si>
  <si>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</si>
  <si>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</si>
  <si>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</si>
  <si>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</si>
  <si>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</si>
  <si>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</si>
  <si>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</si>
  <si>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</si>
  <si>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</si>
  <si>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</si>
  <si>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</si>
  <si>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</si>
  <si>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</si>
  <si>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</si>
  <si>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</si>
  <si>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</si>
  <si>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</si>
  <si>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</si>
  <si>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</si>
  <si>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</si>
  <si>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</si>
  <si>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</si>
  <si>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</si>
  <si>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</si>
  <si>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</si>
  <si>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</si>
  <si>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</si>
  <si>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</si>
  <si>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</si>
  <si>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</si>
  <si>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</si>
  <si>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</si>
  <si>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</si>
  <si>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</si>
  <si>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</si>
  <si>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</si>
  <si>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</si>
  <si>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</si>
  <si>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</si>
  <si>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</si>
  <si>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</si>
  <si>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</si>
  <si>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</si>
  <si>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</si>
  <si>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</si>
  <si>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</si>
  <si>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</si>
  <si>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</si>
  <si>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</si>
  <si>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</si>
  <si>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</si>
  <si>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</si>
  <si>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</si>
  <si>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</si>
  <si>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</si>
  <si>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</si>
  <si>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</si>
  <si>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</si>
  <si>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</si>
  <si>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</si>
  <si>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</si>
  <si>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</si>
  <si>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</si>
  <si>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</si>
  <si>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</si>
  <si>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</si>
  <si>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</si>
  <si>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</si>
  <si>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</si>
  <si>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</si>
  <si>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</si>
  <si>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</si>
  <si>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</si>
  <si>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</si>
  <si>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</si>
  <si>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</si>
  <si>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</si>
  <si>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</si>
  <si>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</si>
  <si>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</si>
  <si>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</si>
  <si>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</si>
  <si>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</si>
  <si>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</si>
  <si>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</si>
  <si>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</si>
  <si>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</si>
  <si>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</si>
  <si>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</si>
  <si>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</si>
  <si>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</si>
  <si>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</si>
  <si>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</si>
  <si>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</si>
  <si>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</si>
  <si>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</si>
  <si>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</si>
  <si>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</si>
  <si>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</si>
  <si>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</si>
  <si>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</si>
  <si>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</si>
  <si>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</si>
  <si>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</si>
  <si>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</si>
  <si>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</si>
  <si>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</si>
  <si>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</si>
  <si>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</si>
  <si>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</si>
  <si>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</si>
  <si>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</si>
  <si>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</si>
  <si>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</si>
  <si>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</si>
  <si>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</si>
  <si>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</si>
  <si>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</si>
  <si>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</si>
  <si>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</si>
  <si>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</si>
  <si>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</si>
  <si>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</si>
  <si>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</si>
  <si>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</si>
  <si>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</si>
  <si>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</si>
  <si>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</si>
  <si>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</si>
  <si>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</si>
  <si>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</si>
  <si>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</si>
  <si>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</si>
  <si>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</si>
  <si>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</si>
  <si>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</si>
  <si>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</si>
  <si>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</si>
  <si>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</si>
  <si>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</si>
  <si>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</si>
  <si>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</si>
  <si>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</si>
  <si>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</si>
  <si>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</si>
  <si>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</si>
  <si>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</si>
  <si>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</si>
  <si>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</si>
  <si>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</si>
  <si>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</si>
  <si>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</si>
  <si>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</si>
  <si>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</si>
  <si>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</si>
  <si>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</si>
  <si>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</si>
  <si>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</si>
  <si>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</si>
  <si>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</si>
  <si>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</si>
  <si>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</si>
  <si>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</si>
  <si>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</si>
  <si>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</si>
  <si>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</si>
  <si>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</si>
  <si>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</si>
  <si>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</si>
  <si>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</si>
  <si>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</si>
  <si>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</si>
  <si>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</si>
  <si>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</si>
  <si>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</si>
  <si>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</si>
  <si>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</si>
  <si>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</si>
  <si>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</si>
  <si>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</si>
  <si>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</si>
  <si>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</si>
  <si>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</si>
  <si>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</si>
  <si>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</si>
  <si>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</si>
  <si>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</si>
  <si>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</si>
  <si>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</si>
  <si>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</si>
  <si>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</si>
  <si>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ранее поданное предложение от 10.11.2023 №27-5289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</si>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</sst>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0" fontId="22" fillId="0" borderId="36" xfId="0" applyFont="1" applyBorder="1" applyNumberFormat="1">
      <alignment horizontal="left" vertical="top"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7"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8499b36-f901-4220-ae99-7537ab627da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996c7878-1f8c-4e03-9079-3ce93154e7a0"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7B6F-1DD7-6FEB-C539-.3753B0A57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310" width="5.421875" customWidth="1"/>
    <col min="2" max="2" style="24310" width="9.140625" customWidth="1"/>
    <col min="3" max="3" style="24310" width="16.421875" customWidth="1"/>
    <col min="4" max="25" style="24310" width="6.28125" customWidth="1"/>
    <col min="26" max="28" style="24310"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46B4C2-7FC2-8B81-6625-5A9218234015}"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24429" width="10.7109375" hidden="1" customWidth="1"/>
    <col min="2" max="2" style="24430" width="10.7109375" hidden="1" customWidth="1"/>
    <col min="3" max="3" style="24431" width="3.00390625" customWidth="1"/>
    <col min="4" max="4" style="24354" width="1.00390625" customWidth="1"/>
    <col min="5" max="6" style="24354" width="55.00390625" customWidth="1"/>
    <col min="7" max="7" style="24432" width="1.00390625" customWidth="1"/>
    <col min="8" max="8" style="24354" width="18.00390625" hidden="1" customWidth="1"/>
    <col min="9" max="9" style="24433" width="59.00390625" customWidth="1"/>
    <col min="10" max="10" style="24434" width="52.140625" hidden="1" customWidth="1"/>
    <col min="11" max="11" style="24354" width="8.00390625" customWidth="1"/>
    <col min="12" max="12" style="24354" width="77.00390625" customWidth="1"/>
    <col min="13" max="16" style="24354" width="8.00390625" customWidth="1"/>
    <col min="17" max="17" style="24354" width="12.00390625" hidden="1" customWidth="1"/>
  </cols>
  <sheetData>
    <row s="24311" customFormat="1" customHeight="1" ht="3">
      <c r="A1" s="1181"/>
      <c r="B1" s="639"/>
      <c r="F1" s="640" t="s">
        <v>13</v>
      </c>
      <c r="G1" s="809"/>
      <c r="H1" s="469"/>
      <c r="I1" s="809"/>
      <c r="J1" s="1269"/>
      <c r="Q1" s="640" t="s">
        <v>14</v>
      </c>
    </row>
    <row s="24318" customFormat="1" customHeight="1" ht="14.25">
      <c r="A2" s="1181"/>
      <c r="B2" s="496"/>
      <c r="E2" s="2138" t="str">
        <f>code</f>
        <v>Код отчёта: PP110.OPEN.INFO.REQUEST.HEAT.EIAS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24329" customFormat="1" customHeight="1" ht="6.3">
      <c r="A4" s="1182"/>
      <c r="B4" s="630"/>
      <c r="C4" s="631"/>
      <c r="D4" s="632"/>
      <c r="E4" s="641"/>
      <c r="F4" s="642"/>
      <c r="G4" s="1169"/>
      <c r="H4" s="807"/>
      <c r="I4" s="809"/>
      <c r="J4" s="1272"/>
      <c r="Q4" s="634">
        <v>6</v>
      </c>
    </row>
    <row customHeight="1" ht="39.75">
      <c r="D5" s="473"/>
      <c r="E5" s="249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4"/>
      <c r="G5" s="1170"/>
      <c r="J5" s="1273"/>
      <c r="Q5" s="472">
        <v>38</v>
      </c>
    </row>
    <row s="24329"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4329" customFormat="1" customHeight="1" ht="6.3">
      <c r="A8" s="1183"/>
      <c r="B8" s="630"/>
      <c r="C8" s="631"/>
      <c r="D8" s="637"/>
      <c r="E8" s="635"/>
      <c r="F8" s="638"/>
      <c r="G8" s="475"/>
      <c r="H8" s="807"/>
      <c r="I8" s="809"/>
      <c r="J8" s="1275"/>
      <c r="Q8" s="634">
        <v>6</v>
      </c>
    </row>
    <row s="24354"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4329" customFormat="1" customHeight="1" ht="24" hidden="1">
      <c r="A10" s="1183"/>
      <c r="B10" s="824"/>
      <c r="C10" s="825"/>
      <c r="D10" s="637"/>
      <c r="E10" s="1563" t="s">
        <v>18</v>
      </c>
      <c r="F10" s="2464" t="s">
        <v>19</v>
      </c>
      <c r="G10" s="475"/>
      <c r="H10" s="807"/>
      <c r="I10" s="809"/>
      <c r="J10" s="1275"/>
      <c r="Q10" s="828">
        <v>24</v>
      </c>
    </row>
    <row customHeight="1" ht="22.5">
      <c r="A11" s="2496" t="s">
        <v>20</v>
      </c>
      <c r="D11" s="473"/>
      <c r="E11" s="1563" t="s">
        <v>21</v>
      </c>
      <c r="F11" s="3128">
        <v>45658.667349537034</v>
      </c>
      <c r="G11" s="475"/>
      <c r="H11" s="1171" t="s">
        <v>22</v>
      </c>
      <c r="J11" s="1274" t="s">
        <v>23</v>
      </c>
      <c r="Q11" s="472">
        <v>0</v>
      </c>
    </row>
    <row customHeight="1" ht="22.5">
      <c r="A12" s="2496"/>
      <c r="D12" s="473"/>
      <c r="E12" s="1563" t="s">
        <v>24</v>
      </c>
      <c r="F12" s="3128">
        <v>51501.66748842593</v>
      </c>
      <c r="G12" s="471"/>
      <c r="J12" s="1274" t="s">
        <v>25</v>
      </c>
      <c r="Q12" s="472">
        <v>0</v>
      </c>
    </row>
    <row s="24354" customFormat="1" customHeight="1" ht="22.5" hidden="1">
      <c r="A13" s="1186" t="s">
        <v>26</v>
      </c>
      <c r="B13" s="496"/>
      <c r="C13" s="806"/>
      <c r="D13" s="808"/>
      <c r="E13" s="2173" t="s">
        <v>27</v>
      </c>
      <c r="F13" s="2130" t="s">
        <v>28</v>
      </c>
      <c r="G13" s="475"/>
      <c r="H13" s="1168"/>
      <c r="I13" s="809"/>
      <c r="J13" s="2174" t="s">
        <v>29</v>
      </c>
      <c r="Q13" s="807">
        <v>0</v>
      </c>
    </row>
    <row s="24354" customFormat="1" customHeight="1" ht="27" hidden="1">
      <c r="A14" s="1186" t="s">
        <v>30</v>
      </c>
      <c r="B14" s="496"/>
      <c r="C14" s="806"/>
      <c r="D14" s="808"/>
      <c r="E14" s="1563" t="s">
        <v>31</v>
      </c>
      <c r="F14" s="2165"/>
      <c r="G14" s="475"/>
      <c r="H14" s="1168"/>
      <c r="I14" s="809"/>
      <c r="J14" s="1274" t="s">
        <v>32</v>
      </c>
      <c r="Q14" s="807">
        <v>0</v>
      </c>
    </row>
    <row s="24354" customFormat="1" customHeight="1" ht="19.5" hidden="1">
      <c r="A15" s="1186" t="s">
        <v>33</v>
      </c>
      <c r="B15" s="496"/>
      <c r="C15" s="806"/>
      <c r="D15" s="808"/>
      <c r="E15" s="1563" t="s">
        <v>34</v>
      </c>
      <c r="F15" s="2165"/>
      <c r="G15" s="475"/>
      <c r="H15" s="1168"/>
      <c r="I15" s="809"/>
      <c r="J15" s="1274" t="s">
        <v>35</v>
      </c>
      <c r="Q15" s="807">
        <v>0</v>
      </c>
    </row>
    <row s="24329" customFormat="1" customHeight="1" ht="6.3">
      <c r="A16" s="1183"/>
      <c r="B16" s="630"/>
      <c r="C16" s="631"/>
      <c r="D16" s="637"/>
      <c r="E16" s="635"/>
      <c r="F16" s="638"/>
      <c r="G16" s="475"/>
      <c r="H16" s="807"/>
      <c r="I16" s="809"/>
      <c r="J16" s="1272"/>
      <c r="Q16" s="634">
        <v>6</v>
      </c>
    </row>
    <row customHeight="1" ht="21">
      <c r="D17" s="473"/>
      <c r="E17" s="789" t="s">
        <v>36</v>
      </c>
      <c r="F17" s="17073" t="s">
        <v>37</v>
      </c>
      <c r="G17" s="471"/>
      <c r="H17" s="1171" t="s">
        <v>22</v>
      </c>
      <c r="Q17" s="472">
        <v>20</v>
      </c>
    </row>
    <row customHeight="1" ht="25.5">
      <c r="D18" s="473"/>
      <c r="E18" s="2173" t="s">
        <v>38</v>
      </c>
      <c r="F18" s="17074">
        <v>45649.667719907404</v>
      </c>
      <c r="G18" s="471"/>
      <c r="I18" s="1172"/>
      <c r="J18" s="2495" t="s">
        <v>39</v>
      </c>
      <c r="Q18" s="472">
        <v>0</v>
      </c>
    </row>
    <row customHeight="1" ht="25.5">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137">
        <v>45658.66784722222</v>
      </c>
      <c r="G19" s="471"/>
      <c r="I19" s="1172"/>
      <c r="J19" s="2495"/>
      <c r="Q19" s="472">
        <v>0</v>
      </c>
    </row>
    <row customHeight="1" ht="22.5">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c r="D21" s="473"/>
      <c r="E21" s="789" t="str">
        <f>"Дата "&amp;IF(TEMPLATE_GROUP="P","документа","подачи заявления")&amp;" об утверждении тарифов"</f>
        <v>Дата подачи заявления об утверждении тарифов</v>
      </c>
      <c r="F21" s="3128">
        <v>45240</v>
      </c>
      <c r="G21" s="471"/>
      <c r="I21" s="1173"/>
      <c r="Q21" s="472">
        <v>0</v>
      </c>
    </row>
    <row customHeight="1" ht="19.5">
      <c r="D22" s="473"/>
      <c r="E22" s="789" t="str">
        <f>"Номер "&amp;IF(TEMPLATE_GROUP="P","документа","подачи заявления")&amp;" об утверждении тарифов"</f>
        <v>Номер подачи заявления об утверждении тарифов</v>
      </c>
      <c r="F22" s="614" t="s">
        <v>41</v>
      </c>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c r="D26" s="473"/>
      <c r="E26" s="789" t="str">
        <f>"Дата "&amp;IF(TEMPLATE_GROUP="P","принятия решения","подачи заявления")&amp;" об изменении тарифов"</f>
        <v>Дата подачи заявления об изменении тарифов</v>
      </c>
      <c r="F26" s="17074">
        <v>45649.66804398148</v>
      </c>
      <c r="G26" s="471"/>
      <c r="Q26" s="472">
        <v>0</v>
      </c>
    </row>
    <row customHeight="1" ht="19.5">
      <c r="D27" s="473"/>
      <c r="E27" s="1563" t="str">
        <f>"Номер "&amp;IF(TEMPLATE_GROUP="P","принятия решения","заявления")&amp;" об изменении тарифов"</f>
        <v>Номер заявления об изменении тарифов</v>
      </c>
      <c r="F27" s="3145" t="s">
        <v>45</v>
      </c>
      <c r="G27" s="471"/>
      <c r="Q27" s="472">
        <v>0</v>
      </c>
    </row>
    <row customHeight="1" ht="24.75" hidden="1">
      <c r="D28" s="473"/>
      <c r="E28" s="789" t="s">
        <v>46</v>
      </c>
      <c r="F28" s="616"/>
      <c r="G28" s="471"/>
      <c r="Q28" s="472">
        <v>0</v>
      </c>
    </row>
    <row customHeight="1" ht="19.5" hidden="1">
      <c r="D29" s="473"/>
      <c r="E29" s="789" t="s">
        <v>43</v>
      </c>
      <c r="F29" s="616"/>
      <c r="G29" s="471"/>
      <c r="Q29" s="472">
        <v>0</v>
      </c>
    </row>
    <row s="24329"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47</v>
      </c>
      <c r="G31" s="1174"/>
      <c r="Q31" s="472">
        <v>20</v>
      </c>
    </row>
    <row customHeight="1" ht="21" hidden="1">
      <c r="C32" s="476"/>
      <c r="D32" s="477"/>
      <c r="E32" s="790" t="s">
        <v>48</v>
      </c>
      <c r="F32" s="615"/>
      <c r="G32" s="1174"/>
      <c r="Q32" s="472">
        <v>20</v>
      </c>
    </row>
    <row customHeight="1" ht="21">
      <c r="C33" s="476"/>
      <c r="D33" s="477"/>
      <c r="E33" s="789" t="s">
        <v>49</v>
      </c>
      <c r="F33" s="615" t="s">
        <v>50</v>
      </c>
      <c r="G33" s="1174"/>
      <c r="Q33" s="472">
        <v>20</v>
      </c>
    </row>
    <row customHeight="1" ht="21">
      <c r="C34" s="476"/>
      <c r="D34" s="477"/>
      <c r="E34" s="789" t="s">
        <v>51</v>
      </c>
      <c r="F34" s="615" t="s">
        <v>52</v>
      </c>
      <c r="G34" s="1174"/>
      <c r="H34" s="478"/>
      <c r="Q34" s="472">
        <v>20</v>
      </c>
    </row>
    <row s="24329" customFormat="1" customHeight="1" ht="11.549999999999999">
      <c r="A35" s="1183"/>
      <c r="B35" s="630"/>
      <c r="C35" s="631"/>
      <c r="D35" s="637"/>
      <c r="E35" s="635"/>
      <c r="F35" s="638"/>
      <c r="G35" s="475"/>
      <c r="H35" s="807"/>
      <c r="I35" s="809"/>
      <c r="J35" s="1272"/>
      <c r="Q35" s="634">
        <v>11</v>
      </c>
    </row>
    <row customHeight="1" ht="19.5">
      <c r="A36" s="1277"/>
      <c r="D36" s="477"/>
      <c r="E36" s="789" t="s">
        <v>53</v>
      </c>
      <c r="F36" s="3154" t="s">
        <v>54</v>
      </c>
      <c r="G36" s="475"/>
      <c r="Q36" s="472">
        <v>0</v>
      </c>
    </row>
    <row customHeight="1" ht="21">
      <c r="A37" s="1277"/>
      <c r="D37" s="477"/>
      <c r="E37" s="789" t="s">
        <v>55</v>
      </c>
      <c r="F37" s="3154" t="s">
        <v>56</v>
      </c>
      <c r="G37" s="475"/>
      <c r="Q37" s="472">
        <v>20</v>
      </c>
    </row>
    <row s="24329" customFormat="1" customHeight="1" ht="6.3">
      <c r="A38" s="1183"/>
      <c r="B38" s="630"/>
      <c r="C38" s="631"/>
      <c r="D38" s="632"/>
      <c r="E38" s="633"/>
      <c r="F38" s="1451"/>
      <c r="G38" s="471"/>
      <c r="H38" s="807"/>
      <c r="I38" s="809"/>
      <c r="J38" s="1274"/>
      <c r="Q38" s="634">
        <v>6</v>
      </c>
    </row>
    <row customHeight="1" ht="36.75">
      <c r="A39" s="1183"/>
      <c r="D39" s="473"/>
      <c r="E39" s="789" t="s">
        <v>57</v>
      </c>
      <c r="F39" s="1108" t="s">
        <v>19</v>
      </c>
      <c r="G39" s="471"/>
      <c r="H39" s="1171" t="s">
        <v>22</v>
      </c>
      <c r="Q39" s="472">
        <v>35</v>
      </c>
    </row>
    <row s="24329" customFormat="1" customHeight="1" ht="6" hidden="1">
      <c r="A40" s="1182"/>
      <c r="B40" s="824"/>
      <c r="C40" s="825"/>
      <c r="D40" s="826"/>
      <c r="E40" s="827"/>
      <c r="F40" s="1451"/>
      <c r="G40" s="471"/>
      <c r="H40" s="807"/>
      <c r="I40" s="809"/>
      <c r="J40" s="1274"/>
      <c r="Q40" s="828">
        <v>6</v>
      </c>
    </row>
    <row s="24354" customFormat="1" customHeight="1" ht="26.25" hidden="1">
      <c r="A41" s="1186" t="s">
        <v>26</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4329" customFormat="1" customHeight="1" ht="6">
      <c r="A42" s="1182"/>
      <c r="B42" s="824"/>
      <c r="C42" s="825"/>
      <c r="D42" s="826"/>
      <c r="E42" s="827"/>
      <c r="F42" s="1451"/>
      <c r="G42" s="471"/>
      <c r="H42" s="807"/>
      <c r="I42" s="809"/>
      <c r="J42" s="1272"/>
      <c r="Q42" s="828">
        <v>0</v>
      </c>
    </row>
    <row s="24354" customFormat="1" customHeight="1" ht="27" hidden="1">
      <c r="A43" s="1182"/>
      <c r="B43" s="811"/>
      <c r="C43" s="806"/>
      <c r="D43" s="808"/>
      <c r="E43" s="789" t="s">
        <v>58</v>
      </c>
      <c r="F43" s="1108" t="s">
        <v>19</v>
      </c>
      <c r="G43" s="471"/>
      <c r="I43" s="809"/>
      <c r="J43" s="1274"/>
      <c r="Q43" s="807">
        <v>0</v>
      </c>
    </row>
    <row s="24354" customFormat="1" customHeight="1" ht="27" hidden="1">
      <c r="A44" s="1182"/>
      <c r="B44" s="811"/>
      <c r="C44" s="806"/>
      <c r="D44" s="808"/>
      <c r="E44" s="1563" t="s">
        <v>59</v>
      </c>
      <c r="F44" s="2286"/>
      <c r="G44" s="471"/>
      <c r="I44" s="809"/>
      <c r="J44" s="1274"/>
      <c r="Q44" s="807">
        <v>0</v>
      </c>
    </row>
    <row s="24329" customFormat="1" customHeight="1" ht="6">
      <c r="A45" s="1182"/>
      <c r="B45" s="824"/>
      <c r="C45" s="825"/>
      <c r="D45" s="826"/>
      <c r="E45" s="827"/>
      <c r="F45" s="1451"/>
      <c r="G45" s="471"/>
      <c r="H45" s="807"/>
      <c r="I45" s="809"/>
      <c r="J45" s="1274"/>
      <c r="Q45" s="828">
        <v>0</v>
      </c>
    </row>
    <row s="24329" customFormat="1" customHeight="1" ht="24.75">
      <c r="A46" s="1182"/>
      <c r="B46" s="824"/>
      <c r="C46" s="825"/>
      <c r="D46" s="826"/>
      <c r="E46" s="1563" t="s">
        <v>60</v>
      </c>
      <c r="F46" s="1108" t="s">
        <v>19</v>
      </c>
      <c r="G46" s="471"/>
      <c r="H46" s="807"/>
      <c r="I46" s="809"/>
      <c r="J46" s="1274"/>
      <c r="Q46" s="828">
        <v>0</v>
      </c>
    </row>
    <row s="24354" customFormat="1" customHeight="1" ht="24.75">
      <c r="A47" s="1182"/>
      <c r="B47" s="811"/>
      <c r="C47" s="806"/>
      <c r="D47" s="808"/>
      <c r="E47" s="1563" t="s">
        <v>61</v>
      </c>
      <c r="F47" s="1108" t="s">
        <v>19</v>
      </c>
      <c r="G47" s="471"/>
      <c r="I47" s="809"/>
      <c r="J47" s="1274"/>
      <c r="Q47" s="807">
        <v>0</v>
      </c>
    </row>
    <row s="24329"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4329" customFormat="1" customHeight="1" ht="6" hidden="1">
      <c r="A50" s="1183"/>
      <c r="B50" s="824"/>
      <c r="C50" s="825"/>
      <c r="D50" s="637"/>
      <c r="E50" s="635"/>
      <c r="F50" s="638"/>
      <c r="G50" s="475"/>
      <c r="H50" s="807"/>
      <c r="I50" s="809"/>
      <c r="J50" s="1274"/>
      <c r="Q50" s="828">
        <v>0</v>
      </c>
    </row>
    <row s="24354" customFormat="1" customHeight="1" ht="28.5" hidden="1">
      <c r="A51" s="1184"/>
      <c r="B51" s="811"/>
      <c r="C51" s="928"/>
      <c r="D51" s="929"/>
      <c r="E51" s="789" t="s">
        <v>62</v>
      </c>
      <c r="F51" s="1108" t="s">
        <v>19</v>
      </c>
      <c r="G51" s="930"/>
      <c r="I51" s="932"/>
      <c r="J51" s="1276"/>
      <c r="P51" s="933"/>
      <c r="Q51" s="931">
        <v>0</v>
      </c>
    </row>
    <row s="24329" customFormat="1" customHeight="1" ht="6" hidden="1">
      <c r="A52" s="1183"/>
      <c r="B52" s="824"/>
      <c r="C52" s="825"/>
      <c r="D52" s="637"/>
      <c r="E52" s="635"/>
      <c r="F52" s="638"/>
      <c r="G52" s="475"/>
      <c r="H52" s="807"/>
      <c r="I52" s="809"/>
      <c r="J52" s="1272"/>
      <c r="Q52" s="828">
        <v>0</v>
      </c>
    </row>
    <row s="24354" customFormat="1" customHeight="1" ht="27" hidden="1">
      <c r="A53" s="1184"/>
      <c r="B53" s="811"/>
      <c r="C53" s="928"/>
      <c r="D53" s="929"/>
      <c r="E53" s="789" t="s">
        <v>63</v>
      </c>
      <c r="F53" s="1446" t="s">
        <v>19</v>
      </c>
      <c r="G53" s="930"/>
      <c r="I53" s="932"/>
      <c r="J53" s="1276"/>
      <c r="P53" s="933"/>
      <c r="Q53" s="931">
        <v>0</v>
      </c>
    </row>
    <row s="24354" customFormat="1" customHeight="1" ht="27" hidden="1">
      <c r="A54" s="1184"/>
      <c r="B54" s="811"/>
      <c r="C54" s="928"/>
      <c r="D54" s="929"/>
      <c r="E54" s="789" t="s">
        <v>64</v>
      </c>
      <c r="F54" s="2172"/>
      <c r="G54" s="930"/>
      <c r="I54" s="932"/>
      <c r="J54" s="1276"/>
      <c r="P54" s="933"/>
      <c r="Q54" s="931">
        <v>0</v>
      </c>
    </row>
    <row s="24329" customFormat="1" customHeight="1" ht="6" hidden="1">
      <c r="A55" s="1183"/>
      <c r="B55" s="824"/>
      <c r="C55" s="825"/>
      <c r="D55" s="637"/>
      <c r="E55" s="635"/>
      <c r="F55" s="638"/>
      <c r="G55" s="475"/>
      <c r="H55" s="807"/>
      <c r="I55" s="809"/>
      <c r="J55" s="1272"/>
      <c r="Q55" s="828">
        <v>0</v>
      </c>
    </row>
    <row s="24354" customFormat="1" customHeight="1" ht="25.5" hidden="1">
      <c r="A56" s="1184"/>
      <c r="B56" s="811"/>
      <c r="C56" s="928"/>
      <c r="D56" s="929"/>
      <c r="E56" s="789" t="s">
        <v>65</v>
      </c>
      <c r="F56" s="1446" t="s">
        <v>19</v>
      </c>
      <c r="G56" s="930"/>
      <c r="I56" s="932"/>
      <c r="J56" s="1276"/>
      <c r="P56" s="933"/>
      <c r="Q56" s="931">
        <v>0</v>
      </c>
    </row>
    <row s="24329" customFormat="1" customHeight="1" ht="6" hidden="1">
      <c r="A57" s="1183"/>
      <c r="B57" s="824"/>
      <c r="C57" s="825"/>
      <c r="D57" s="637"/>
      <c r="E57" s="635"/>
      <c r="F57" s="638"/>
      <c r="G57" s="475"/>
      <c r="H57" s="807"/>
      <c r="I57" s="809"/>
      <c r="J57" s="1272"/>
      <c r="Q57" s="828">
        <v>0</v>
      </c>
    </row>
    <row s="24354" customFormat="1" customHeight="1" ht="15" hidden="1">
      <c r="A58" s="1184"/>
      <c r="B58" s="811"/>
      <c r="C58" s="928"/>
      <c r="D58" s="929"/>
      <c r="E58" s="789" t="s">
        <v>66</v>
      </c>
      <c r="F58" s="1446" t="s">
        <v>67</v>
      </c>
      <c r="G58" s="930"/>
      <c r="I58" s="932"/>
      <c r="J58" s="1276"/>
      <c r="P58" s="933"/>
      <c r="Q58" s="931">
        <v>0</v>
      </c>
    </row>
    <row s="24354"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24354" customFormat="1" customHeight="1" ht="15" hidden="1">
      <c r="A60" s="1184"/>
      <c r="B60" s="811"/>
      <c r="C60" s="928"/>
      <c r="D60" s="929"/>
      <c r="E60" s="1563" t="s">
        <v>68</v>
      </c>
      <c r="F60" s="1549"/>
      <c r="G60" s="930"/>
      <c r="I60" s="932"/>
      <c r="J60" s="1276"/>
      <c r="P60" s="933"/>
      <c r="Q60" s="931">
        <v>0</v>
      </c>
    </row>
    <row s="24329" customFormat="1" customHeight="1" ht="6" hidden="1">
      <c r="A61" s="1183"/>
      <c r="B61" s="824"/>
      <c r="C61" s="825"/>
      <c r="D61" s="826"/>
      <c r="E61" s="827"/>
      <c r="F61" s="1451"/>
      <c r="G61" s="471"/>
      <c r="H61" s="807"/>
      <c r="I61" s="809"/>
      <c r="J61" s="1274"/>
      <c r="Q61" s="828">
        <v>0</v>
      </c>
    </row>
    <row s="24354" customFormat="1" customHeight="1" ht="33.75" hidden="1">
      <c r="A62" s="1183"/>
      <c r="B62" s="496"/>
      <c r="C62" s="806"/>
      <c r="D62" s="808"/>
      <c r="E62" s="1563" t="s">
        <v>69</v>
      </c>
      <c r="F62" s="2069" t="s">
        <v>67</v>
      </c>
      <c r="G62" s="471"/>
      <c r="H62" s="1171" t="s">
        <v>22</v>
      </c>
      <c r="I62" s="809"/>
      <c r="J62" s="1274"/>
      <c r="Q62" s="807">
        <v>0</v>
      </c>
    </row>
    <row s="24329" customFormat="1" customHeight="1" ht="6.3">
      <c r="A63" s="1183"/>
      <c r="B63" s="630"/>
      <c r="C63" s="631"/>
      <c r="D63" s="637"/>
      <c r="E63" s="635"/>
      <c r="F63" s="638"/>
      <c r="G63" s="475"/>
      <c r="H63" s="807"/>
      <c r="I63" s="809"/>
      <c r="J63" s="1272"/>
      <c r="Q63" s="634">
        <v>6</v>
      </c>
    </row>
    <row customHeight="1" ht="21">
      <c r="A64" s="1185"/>
      <c r="B64" s="497"/>
      <c r="D64" s="480"/>
      <c r="E64" s="789" t="s">
        <v>70</v>
      </c>
      <c r="F64" s="614" t="s">
        <v>71</v>
      </c>
      <c r="G64" s="475"/>
      <c r="Q64" s="472">
        <v>20</v>
      </c>
    </row>
    <row customHeight="1" ht="21">
      <c r="A65" s="1185"/>
      <c r="B65" s="497"/>
      <c r="D65" s="480"/>
      <c r="E65" s="789" t="s">
        <v>72</v>
      </c>
      <c r="F65" s="614" t="s">
        <v>73</v>
      </c>
      <c r="G65" s="475"/>
      <c r="Q65" s="472">
        <v>20</v>
      </c>
    </row>
    <row customHeight="1" ht="36.75">
      <c r="D66" s="473"/>
      <c r="E66" s="791" t="s">
        <v>74</v>
      </c>
      <c r="F66" s="1452"/>
      <c r="G66" s="471"/>
      <c r="Q66" s="472">
        <v>35</v>
      </c>
    </row>
    <row customHeight="1" ht="21">
      <c r="A67" s="1185"/>
      <c r="D67" s="808"/>
      <c r="E67" s="789" t="s">
        <v>75</v>
      </c>
      <c r="F67" s="3136" t="s">
        <v>76</v>
      </c>
      <c r="G67" s="475"/>
      <c r="Q67" s="472">
        <v>20</v>
      </c>
    </row>
    <row customHeight="1" ht="21">
      <c r="A68" s="1185"/>
      <c r="B68" s="497"/>
      <c r="D68" s="480"/>
      <c r="E68" s="789" t="s">
        <v>77</v>
      </c>
      <c r="F68" s="669" t="s">
        <v>78</v>
      </c>
      <c r="G68" s="475"/>
      <c r="Q68" s="472">
        <v>20</v>
      </c>
    </row>
    <row customHeight="1" ht="21">
      <c r="A69" s="1185"/>
      <c r="B69" s="497"/>
      <c r="D69" s="480"/>
      <c r="E69" s="789" t="s">
        <v>79</v>
      </c>
      <c r="F69" s="669" t="s">
        <v>80</v>
      </c>
      <c r="G69" s="475"/>
      <c r="Q69" s="472">
        <v>20</v>
      </c>
    </row>
    <row customHeight="1" ht="21">
      <c r="D70" s="808"/>
      <c r="E70" s="789" t="s">
        <v>81</v>
      </c>
      <c r="F70" s="669" t="s">
        <v>82</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83</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54DB1B2-0024-5F3D-1B14-58AA56A4B455}"/>
    <hyperlink ref="H17" location="Титульный!H9" display="Как заполнить?" tooltip="Помощь по работе с полями отчётной формы" xr:uid="{4589BC4D-FD46-634E-D43E-838254ACAD75}"/>
    <hyperlink ref="H39" location="Титульный!H9" display="Как заполнить?" tooltip="Помощь по работе с полями отчётной формы" xr:uid="{A3AB3904-6688-2369-0001-DC873EFB33D9}"/>
    <hyperlink ref="H62" location="Титульный!H9" display="Как заполнить?" tooltip="Помощь по работе с полями отчётной формы" xr:uid="{1C272524-DEA2-C6CA-2CAF-31ACA392DC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DC71A-A3BB-D788-F42E-F313F31450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4354" width="8.00390625" hidden="1" customWidth="1"/>
    <col min="2" max="2" style="24434" width="6.00390625" hidden="1" customWidth="1"/>
    <col min="3" max="3" style="24354" width="3.00390625" customWidth="1"/>
    <col min="4" max="4" style="24523" width="3.00390625" customWidth="1"/>
    <col min="5" max="5" style="24354" width="6.00390625" customWidth="1"/>
    <col min="6" max="6" style="24354" width="2.7109375" hidden="1" customWidth="1"/>
    <col min="7" max="7" style="24354" width="46.7109375" customWidth="1"/>
    <col min="8" max="8" style="24354" width="42.00390625" customWidth="1"/>
    <col min="9" max="9" style="24354" width="14.00390625" customWidth="1"/>
    <col min="10" max="10" style="24524" width="3.00390625" customWidth="1"/>
    <col min="11" max="13" style="24524" width="9.140625" hidden="1"/>
    <col min="14" max="14" style="24524" width="25.7109375" hidden="1" customWidth="1"/>
    <col min="15" max="15" style="24524" width="14.421875" hidden="1" customWidth="1"/>
    <col min="16" max="19" style="24525" width="9.140625" hidden="1"/>
    <col min="20" max="27" style="24354" width="9.140625" hidden="1"/>
    <col min="28" max="28" style="24354" width="8.00390625" customWidth="1"/>
    <col min="29" max="29" style="24354" width="9.140625" hidden="1"/>
  </cols>
  <sheetData>
    <row s="24435" customFormat="1" customHeight="1" ht="5.25" hidden="1">
      <c r="A1" s="894"/>
      <c r="B1" s="909"/>
      <c r="C1" s="909"/>
      <c r="D1" s="619"/>
      <c r="F1" s="909"/>
      <c r="G1" s="645" t="s">
        <v>84</v>
      </c>
      <c r="H1" s="892" t="s">
        <v>85</v>
      </c>
      <c r="I1" s="625" t="s">
        <v>86</v>
      </c>
      <c r="J1" s="645" t="s">
        <v>84</v>
      </c>
      <c r="K1" s="645"/>
      <c r="L1" s="645"/>
      <c r="M1" s="645"/>
      <c r="N1" s="646"/>
      <c r="O1" s="645"/>
      <c r="P1" s="645"/>
      <c r="Q1" s="645"/>
      <c r="R1" s="645"/>
      <c r="S1" s="645"/>
      <c r="T1" s="625"/>
      <c r="U1" s="625"/>
      <c r="V1" s="625"/>
      <c r="W1" s="625"/>
      <c r="X1" s="625"/>
      <c r="Y1" s="625"/>
      <c r="Z1" s="625"/>
      <c r="AA1" s="625"/>
      <c r="AB1" s="625"/>
      <c r="AC1" s="550" t="s">
        <v>14</v>
      </c>
    </row>
    <row s="24444"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4450" customFormat="1" customHeight="1" ht="3">
      <c r="A3" s="1156"/>
      <c r="B3" s="815"/>
      <c r="C3" s="1156"/>
      <c r="D3" s="562"/>
      <c r="E3" s="501"/>
      <c r="F3" s="907"/>
      <c r="G3" s="501"/>
      <c r="H3" s="501"/>
      <c r="I3" s="564"/>
      <c r="J3" s="645"/>
      <c r="K3" s="553"/>
      <c r="L3" s="553"/>
      <c r="M3" s="553"/>
      <c r="N3" s="624"/>
      <c r="O3" s="553"/>
      <c r="P3" s="623"/>
      <c r="Q3" s="623"/>
      <c r="R3" s="623"/>
      <c r="S3" s="623"/>
      <c r="AC3" s="514">
        <v>3</v>
      </c>
    </row>
    <row s="24450"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24450" customFormat="1" customHeight="1" ht="3">
      <c r="A5" s="1156"/>
      <c r="B5" s="815"/>
      <c r="C5" s="1156"/>
      <c r="D5" s="562"/>
      <c r="E5" s="501"/>
      <c r="F5" s="907"/>
      <c r="G5" s="565"/>
      <c r="H5" s="565"/>
      <c r="I5" s="566"/>
      <c r="J5" s="553"/>
      <c r="K5" s="553"/>
      <c r="L5" s="553"/>
      <c r="M5" s="553"/>
      <c r="N5" s="624"/>
      <c r="O5" s="553"/>
      <c r="P5" s="623"/>
      <c r="Q5" s="623"/>
      <c r="R5" s="623"/>
      <c r="S5" s="623"/>
      <c r="AC5" s="514">
        <v>3</v>
      </c>
    </row>
    <row s="24450"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4450" customFormat="1" customHeight="1" ht="14.699999999999998">
      <c r="A8" s="1156"/>
      <c r="B8" s="815"/>
      <c r="C8" s="1156"/>
      <c r="D8" s="562"/>
      <c r="E8" s="2499" t="s">
        <v>87</v>
      </c>
      <c r="F8" s="2500"/>
      <c r="G8" s="2501"/>
      <c r="H8" s="2502" t="s">
        <v>88</v>
      </c>
      <c r="I8" s="2502"/>
      <c r="J8" s="553"/>
      <c r="K8" s="553"/>
      <c r="L8" s="553"/>
      <c r="M8" s="553"/>
      <c r="N8" s="624"/>
      <c r="O8" s="553"/>
      <c r="P8" s="623"/>
      <c r="Q8" s="623"/>
      <c r="R8" s="623"/>
      <c r="S8" s="623"/>
      <c r="AC8" s="514">
        <v>14</v>
      </c>
    </row>
    <row s="24450" customFormat="1" customHeight="1" ht="21">
      <c r="A9" s="1156"/>
      <c r="B9" s="815"/>
      <c r="C9" s="1156"/>
      <c r="D9" s="562"/>
      <c r="E9" s="1175" t="s">
        <v>89</v>
      </c>
      <c r="F9" s="1175"/>
      <c r="G9" s="570" t="s">
        <v>90</v>
      </c>
      <c r="H9" s="570" t="s">
        <v>90</v>
      </c>
      <c r="I9" s="570" t="s">
        <v>86</v>
      </c>
      <c r="J9" s="553"/>
      <c r="K9" s="553"/>
      <c r="L9" s="553"/>
      <c r="M9" s="553"/>
      <c r="N9" s="624"/>
      <c r="O9" s="553"/>
      <c r="P9" s="623"/>
      <c r="Q9" s="623"/>
      <c r="R9" s="623"/>
      <c r="S9" s="623"/>
      <c r="AC9" s="514">
        <v>20</v>
      </c>
    </row>
    <row customHeight="1" ht="11.549999999999999">
      <c r="D10" s="574"/>
      <c r="E10" s="1176" t="s">
        <v>91</v>
      </c>
      <c r="F10" s="1176"/>
      <c r="G10" s="621" t="s">
        <v>92</v>
      </c>
      <c r="H10" s="621" t="s">
        <v>93</v>
      </c>
      <c r="I10" s="621" t="s">
        <v>94</v>
      </c>
      <c r="J10" s="584"/>
      <c r="K10" s="584"/>
      <c r="L10" s="584"/>
      <c r="M10" s="584"/>
      <c r="N10" s="569"/>
      <c r="O10" s="584"/>
      <c r="P10" s="622"/>
      <c r="Q10" s="622"/>
      <c r="R10" s="622"/>
      <c r="S10" s="622"/>
      <c r="AC10" s="481">
        <v>11</v>
      </c>
    </row>
    <row s="24450" customFormat="1" customHeight="1" ht="1.05">
      <c r="A11" s="1156"/>
      <c r="B11" s="815"/>
      <c r="C11" s="1156"/>
      <c r="D11" s="562"/>
      <c r="E11" s="1188"/>
      <c r="F11" s="1188"/>
      <c r="G11" s="571"/>
      <c r="H11" s="571"/>
      <c r="I11" s="573"/>
      <c r="J11" s="647" t="s">
        <v>95</v>
      </c>
      <c r="K11" s="553"/>
      <c r="L11" s="553"/>
      <c r="M11" s="553" t="s">
        <v>96</v>
      </c>
      <c r="N11" s="624" t="s">
        <v>97</v>
      </c>
      <c r="O11" s="553" t="s">
        <v>98</v>
      </c>
      <c r="P11" s="623"/>
      <c r="Q11" s="623"/>
      <c r="R11" s="623"/>
      <c r="S11" s="623"/>
      <c r="AC11" s="514">
        <v>1</v>
      </c>
    </row>
    <row s="24450" customFormat="1" customHeight="1" ht="15">
      <c r="A12" s="2497">
        <v>1</v>
      </c>
      <c r="B12" s="815"/>
      <c r="C12" s="1156"/>
      <c r="D12" s="1180"/>
      <c r="E12" s="617">
        <f>A12</f>
        <v>1</v>
      </c>
      <c r="F12" s="1200" t="s">
        <v>99</v>
      </c>
      <c r="G12" s="938" t="str">
        <f>"Территория "&amp;E12</f>
        <v>Территория 1</v>
      </c>
      <c r="H12" s="1190"/>
      <c r="I12" s="1190"/>
      <c r="J12" s="1187"/>
      <c r="K12" s="898"/>
      <c r="L12" s="898"/>
      <c r="M12" s="898"/>
      <c r="N12" s="624"/>
      <c r="O12" s="898"/>
      <c r="P12" s="623"/>
      <c r="Q12" s="623"/>
      <c r="R12" s="623"/>
      <c r="S12" s="623"/>
      <c r="AC12" s="905">
        <v>14</v>
      </c>
    </row>
    <row s="24495" customFormat="1" customHeight="1" ht="15.75">
      <c r="A13" s="2497"/>
      <c r="B13" s="815">
        <v>1</v>
      </c>
      <c r="C13" s="815"/>
      <c r="D13" s="1198"/>
      <c r="E13" s="1178" t="str">
        <f>A12&amp;"."&amp;B13</f>
        <v>1.1</v>
      </c>
      <c r="F13" s="1193" t="s">
        <v>100</v>
      </c>
      <c r="G13" s="1191" t="s">
        <v>101</v>
      </c>
      <c r="H13" s="1191" t="s">
        <v>101</v>
      </c>
      <c r="I13" s="1189" t="s">
        <v>102</v>
      </c>
      <c r="J13" s="898">
        <f>MERGEVALUE(G13)</f>
      </c>
      <c r="K13" s="909"/>
      <c r="L13" s="909"/>
      <c r="M13" s="898" t="str">
        <f t="array" ref="M13:M13">IF(ISERROR(MATCH(MID(N13,1,250),MID(note_ter,1,250),0)),"n","y")</f>
        <v>n</v>
      </c>
      <c r="N13" s="909"/>
      <c r="O13" s="898" t="str">
        <f>H13&amp;"("&amp;I13&amp;")"</f>
        <v>городской округ Большой Камень(05706000)</v>
      </c>
      <c r="P13" s="815"/>
      <c r="Q13" s="815"/>
      <c r="R13" s="818"/>
      <c r="S13" s="815"/>
      <c r="T13" s="815"/>
      <c r="U13" s="815"/>
      <c r="V13" s="820"/>
      <c r="W13" s="820"/>
      <c r="X13" s="817"/>
      <c r="Y13" s="817"/>
      <c r="Z13" s="817"/>
      <c r="AA13" s="817"/>
      <c r="AB13" s="817"/>
      <c r="AC13" s="821">
        <v>15</v>
      </c>
    </row>
    <row s="24495" customFormat="1" customHeight="1" ht="15.75">
      <c r="A14" s="2497"/>
      <c r="B14" s="815"/>
      <c r="C14" s="810"/>
      <c r="D14" s="1199"/>
      <c r="E14" s="819"/>
      <c r="F14" s="575"/>
      <c r="G14" s="813" t="s">
        <v>103</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24450" customFormat="1" customHeight="1" ht="14.699999999999998">
      <c r="A15" s="1156"/>
      <c r="B15" s="815"/>
      <c r="C15" s="1156"/>
      <c r="D15" s="1180"/>
      <c r="E15" s="1192"/>
      <c r="F15" s="576"/>
      <c r="G15" s="814" t="s">
        <v>104</v>
      </c>
      <c r="H15" s="576"/>
      <c r="I15" s="577"/>
      <c r="J15" s="647"/>
      <c r="K15" s="553"/>
      <c r="L15" s="553"/>
      <c r="M15" s="553"/>
      <c r="N15" s="624" t="s">
        <v>105</v>
      </c>
      <c r="O15" s="553"/>
      <c r="P15" s="623"/>
      <c r="Q15" s="623"/>
      <c r="R15" s="623"/>
      <c r="S15" s="623"/>
      <c r="AC15" s="514">
        <v>14</v>
      </c>
    </row>
    <row s="24450"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24450"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24450"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24518" customFormat="1" customHeight="1" ht="10.5">
      <c r="B19" s="1232"/>
      <c r="D19" s="580"/>
      <c r="J19" s="553"/>
      <c r="K19" s="553"/>
      <c r="L19" s="553"/>
      <c r="M19" s="553"/>
      <c r="N19" s="624"/>
      <c r="O19" s="553"/>
      <c r="P19" s="623"/>
      <c r="Q19" s="623"/>
      <c r="R19" s="623"/>
      <c r="S19" s="623"/>
      <c r="AC19" s="579">
        <v>10</v>
      </c>
    </row>
    <row s="24518"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83</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3F41B-1DD7-9651-2CAE-2E20DA1BA9F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4561" width="6.421875" hidden="1" customWidth="1"/>
    <col min="2" max="2" style="24561" width="2.00390625" hidden="1" customWidth="1"/>
    <col min="3" max="3" style="24561" width="3.00390625" customWidth="1"/>
    <col min="4" max="4" style="24561" width="4.00390625" customWidth="1"/>
    <col min="5" max="5" style="24561" width="44.00390625" customWidth="1"/>
    <col min="6" max="6" style="24561" width="6.421875" customWidth="1"/>
    <col min="7" max="7" style="24561" width="4.00390625" customWidth="1"/>
    <col min="8" max="8" style="24561" width="5.00390625" customWidth="1"/>
    <col min="9" max="9" style="24561" width="52.00390625" customWidth="1"/>
    <col min="10" max="10" style="24561" width="7.00390625" customWidth="1"/>
    <col min="11" max="11" style="24561" width="3.00390625" customWidth="1"/>
    <col min="12" max="12" style="24561" width="6.00390625" customWidth="1"/>
    <col min="13" max="13" style="24561" width="56.00390625" customWidth="1"/>
    <col min="14" max="14" style="24612" width="8.00390625" customWidth="1"/>
    <col min="15" max="20" style="24524" width="9.140625" hidden="1"/>
    <col min="21" max="24" style="24613" width="9.140625" hidden="1"/>
    <col min="25" max="37" style="24612" width="9.140625" hidden="1"/>
    <col min="38" max="38" style="24612" width="8.00390625" customWidth="1"/>
    <col min="39" max="39" style="24561"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18"/>
      <c r="F4" s="2518"/>
      <c r="G4" s="2518"/>
      <c r="H4" s="2518"/>
      <c r="I4" s="2519"/>
      <c r="J4" s="982"/>
      <c r="K4" s="982"/>
      <c r="L4" s="982"/>
      <c r="M4" s="982"/>
      <c r="AM4" s="981">
        <v>34</v>
      </c>
    </row>
    <row s="24532" customFormat="1" customHeight="1" ht="14.699999999999998">
      <c r="A5" s="983"/>
      <c r="B5" s="983"/>
      <c r="C5" s="983"/>
      <c r="D5" s="2520" t="str">
        <f>IF(org=0,"Не определено",org)</f>
        <v>ООО "Новая Энергетика"</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4532"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4532"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106</v>
      </c>
      <c r="E9" s="2525"/>
      <c r="F9" s="2526" t="s">
        <v>107</v>
      </c>
      <c r="G9" s="2527"/>
      <c r="H9" s="2527"/>
      <c r="I9" s="2527"/>
      <c r="J9" s="2530" t="s">
        <v>108</v>
      </c>
      <c r="K9" s="2530"/>
      <c r="L9" s="2530"/>
      <c r="M9" s="2530"/>
      <c r="AM9" s="981">
        <v>18</v>
      </c>
    </row>
    <row customHeight="1" ht="24">
      <c r="A10" s="2524"/>
      <c r="B10" s="990"/>
      <c r="C10" s="923"/>
      <c r="D10" s="921" t="s">
        <v>89</v>
      </c>
      <c r="E10" s="921" t="s">
        <v>90</v>
      </c>
      <c r="F10" s="921" t="s">
        <v>109</v>
      </c>
      <c r="G10" s="2531" t="s">
        <v>89</v>
      </c>
      <c r="H10" s="2532"/>
      <c r="I10" s="921" t="s">
        <v>90</v>
      </c>
      <c r="J10" s="921" t="s">
        <v>109</v>
      </c>
      <c r="K10" s="2531" t="s">
        <v>89</v>
      </c>
      <c r="L10" s="2532"/>
      <c r="M10" s="921" t="s">
        <v>90</v>
      </c>
      <c r="N10" s="2025"/>
      <c r="AM10" s="981">
        <v>23</v>
      </c>
    </row>
    <row s="24561" customFormat="1" customHeight="1" ht="11.25" hidden="1">
      <c r="A11" s="991"/>
      <c r="B11" s="991"/>
      <c r="C11" s="991"/>
      <c r="D11" s="992" t="s">
        <v>110</v>
      </c>
      <c r="E11" s="992" t="s">
        <v>111</v>
      </c>
      <c r="F11" s="992" t="s">
        <v>91</v>
      </c>
      <c r="G11" s="2513" t="s">
        <v>92</v>
      </c>
      <c r="H11" s="2514"/>
      <c r="I11" s="992" t="s">
        <v>112</v>
      </c>
      <c r="J11" s="992" t="s">
        <v>93</v>
      </c>
      <c r="K11" s="2515" t="s">
        <v>94</v>
      </c>
      <c r="L11" s="2516"/>
      <c r="M11" s="992" t="s">
        <v>113</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114</v>
      </c>
      <c r="P12" s="1811" t="s">
        <v>115</v>
      </c>
      <c r="Q12" s="1811" t="s">
        <v>116</v>
      </c>
      <c r="R12" s="1811" t="s">
        <v>117</v>
      </c>
      <c r="AM12" s="981">
        <v>1</v>
      </c>
    </row>
    <row s="24561" customFormat="1" customHeight="1" ht="15.75">
      <c r="A13" s="691"/>
      <c r="B13" s="691"/>
      <c r="C13" s="924"/>
      <c r="D13" s="2506" t="s">
        <v>110</v>
      </c>
      <c r="E13" s="2507"/>
      <c r="F13" s="2510" t="s">
        <v>67</v>
      </c>
      <c r="G13" s="2511"/>
      <c r="H13" s="2512">
        <v>1</v>
      </c>
      <c r="I13" s="2503" t="str">
        <f>IF(U13="","",INDEX(TERRITORY_MR_LIST,MATCH(U13,TERRITORY_LIST_ID,0)))</f>
        <v/>
      </c>
      <c r="J13" s="2505" t="s">
        <v>19</v>
      </c>
      <c r="K13" s="1000"/>
      <c r="L13" s="925" t="s">
        <v>110</v>
      </c>
      <c r="M13" s="1001" t="s">
        <v>28</v>
      </c>
      <c r="N13" s="1210"/>
      <c r="O13" s="1814" t="s">
        <v>118</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119</v>
      </c>
      <c r="Z13" s="1002">
        <v>1705000</v>
      </c>
      <c r="AA13" s="1002"/>
      <c r="AB13" s="1002"/>
      <c r="AC13" s="1002"/>
      <c r="AD13" s="1002"/>
      <c r="AE13" s="1002"/>
      <c r="AF13" s="1002"/>
      <c r="AG13" s="1002"/>
      <c r="AH13" s="1002"/>
      <c r="AI13" s="1002"/>
      <c r="AJ13" s="1002"/>
      <c r="AK13" s="1002"/>
      <c r="AL13" s="1002"/>
      <c r="AM13" s="1004">
        <v>15</v>
      </c>
    </row>
    <row s="24561" customFormat="1" customHeight="1" ht="15.75">
      <c r="A14" s="691"/>
      <c r="B14" s="691"/>
      <c r="C14" s="574"/>
      <c r="D14" s="2506"/>
      <c r="E14" s="2508"/>
      <c r="F14" s="2505"/>
      <c r="G14" s="2511"/>
      <c r="H14" s="2512"/>
      <c r="I14" s="2504"/>
      <c r="J14" s="2505"/>
      <c r="K14" s="819"/>
      <c r="L14" s="575"/>
      <c r="M14" s="1005" t="s">
        <v>120</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24561" customFormat="1" customHeight="1" ht="15.75">
      <c r="A15" s="691"/>
      <c r="B15" s="691"/>
      <c r="C15" s="574"/>
      <c r="D15" s="2506"/>
      <c r="E15" s="2509"/>
      <c r="F15" s="2505"/>
      <c r="G15" s="1458"/>
      <c r="H15" s="1459"/>
      <c r="I15" s="978" t="s">
        <v>121</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122</v>
      </c>
      <c r="F16" s="575"/>
      <c r="G16" s="575"/>
      <c r="H16" s="575"/>
      <c r="I16" s="575"/>
      <c r="J16" s="575"/>
      <c r="K16" s="575" t="s">
        <v>28</v>
      </c>
      <c r="L16" s="575"/>
      <c r="M16" s="1006"/>
      <c r="N16" s="2025"/>
      <c r="AM16" s="981">
        <v>15</v>
      </c>
    </row>
    <row customHeight="1" ht="11.25" hidden="1">
      <c r="A17" s="981" t="s">
        <v>83</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37B2-BDF8-6CF5-6766-E3DEE17F14E7}" mc:Ignorable="x14ac xr xr2 xr3">
  <sheetPr>
    <tabColor rgb="FFCCCCFF"/>
  </sheetPr>
  <dimension ref="A1:AR146"/>
  <sheetViews>
    <sheetView topLeftCell="A1" showGridLines="0" zoomScale="90" workbookViewId="0">
      <selection activeCell="J17" sqref="J17"/>
    </sheetView>
  </sheetViews>
  <sheetFormatPr defaultColWidth="9.140625" customHeight="1" defaultRowHeight="11.25"/>
  <cols>
    <col min="1" max="2" style="24524" width="3.7109375" hidden="1" customWidth="1"/>
    <col min="3" max="3" style="24561" width="3.00390625" customWidth="1"/>
    <col min="4" max="4" style="24561" width="6.00390625" customWidth="1"/>
    <col min="5" max="5" style="24561" width="42.00390625" customWidth="1"/>
    <col min="6" max="6" style="24561" width="15.00390625" customWidth="1"/>
    <col min="7" max="7" style="24561" width="42.00390625" customWidth="1"/>
    <col min="8" max="8" style="24561" width="3.00390625" customWidth="1"/>
    <col min="9" max="9" style="24561" width="5.00390625" customWidth="1"/>
    <col min="10" max="10" style="24561" width="47.00390625" customWidth="1"/>
    <col min="11" max="12" style="24561" width="3.00390625" customWidth="1"/>
    <col min="13" max="13" style="24561" width="5.00390625" customWidth="1"/>
    <col min="14" max="14" style="24561" width="28.00390625" customWidth="1"/>
    <col min="15" max="16" style="24561" width="3.00390625" customWidth="1"/>
    <col min="17" max="17" style="24561" width="5.00390625" customWidth="1"/>
    <col min="18" max="18" style="24561" width="34.00390625" customWidth="1"/>
    <col min="19" max="20" style="24561" width="3.7109375" customWidth="1"/>
    <col min="21" max="21" style="24561" width="5.7109375" customWidth="1"/>
    <col min="22" max="22" style="24561" width="34.421875" customWidth="1"/>
    <col min="23" max="23" style="24561" width="30.00390625" customWidth="1"/>
    <col min="24" max="24" style="24561" width="3.00390625" customWidth="1"/>
    <col min="25" max="28" style="24613" width="9.8515625" hidden="1" customWidth="1"/>
    <col min="29" max="29" style="24613" width="27.00390625" hidden="1" customWidth="1"/>
    <col min="30" max="30" style="24613" width="10.57421875" hidden="1" customWidth="1"/>
    <col min="31" max="31" style="24613" width="10.7109375" hidden="1" customWidth="1"/>
    <col min="32" max="32" style="24613" width="10.00390625" hidden="1" customWidth="1"/>
    <col min="33" max="33" style="24613" width="12.8515625" hidden="1" customWidth="1"/>
    <col min="34" max="34" style="24613" width="24.421875" hidden="1" customWidth="1"/>
    <col min="35" max="35" style="24613" width="15.8515625" hidden="1" customWidth="1"/>
    <col min="36" max="36" style="24613" width="19.421875" hidden="1" customWidth="1"/>
    <col min="37" max="37" style="24613" width="11.00390625" hidden="1" customWidth="1"/>
    <col min="38" max="38" style="24613" width="23.57421875" hidden="1" customWidth="1"/>
    <col min="39" max="39" style="24613" width="23.8515625" hidden="1" customWidth="1"/>
    <col min="40" max="40" style="24613" width="25.28125" hidden="1" customWidth="1"/>
    <col min="41" max="41" style="24613" width="16.8515625" hidden="1" customWidth="1"/>
    <col min="42" max="42" style="24613" width="29.57421875" hidden="1" customWidth="1"/>
    <col min="43" max="43" style="24613" width="29.8515625" hidden="1" customWidth="1"/>
    <col min="44" max="44" style="24561" width="9.140625" hidden="1"/>
  </cols>
  <sheetData>
    <row customHeight="1" ht="11.25" hidden="1">
      <c r="A1" s="554"/>
      <c r="AR1" s="502" t="s">
        <v>14</v>
      </c>
    </row>
    <row customHeight="1" ht="11.25" hidden="1">
      <c r="AR2" s="502">
        <v>0</v>
      </c>
    </row>
    <row customHeight="1" ht="11.25" hidden="1">
      <c r="AR3" s="502">
        <v>0</v>
      </c>
    </row>
    <row customHeight="1" ht="3">
      <c r="AR4" s="502">
        <v>3</v>
      </c>
    </row>
    <row s="24532"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4532" customFormat="1" customHeight="1" ht="14.699999999999998">
      <c r="A6" s="983"/>
      <c r="B6" s="983"/>
      <c r="C6" s="983"/>
      <c r="D6" s="2561" t="str">
        <f>IF(org=0,"Не определено",org)</f>
        <v>ООО "Новая Энергетика"</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4626"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4532"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89</v>
      </c>
      <c r="E9" s="2499" t="s">
        <v>123</v>
      </c>
      <c r="F9" s="2501"/>
      <c r="G9" s="2525" t="s">
        <v>106</v>
      </c>
      <c r="H9" s="2525" t="s">
        <v>89</v>
      </c>
      <c r="I9" s="2525"/>
      <c r="J9" s="2525" t="s">
        <v>124</v>
      </c>
      <c r="K9" s="2553" t="s">
        <v>125</v>
      </c>
      <c r="L9" s="2553"/>
      <c r="M9" s="2553"/>
      <c r="N9" s="2553"/>
      <c r="O9" s="2553" t="s">
        <v>126</v>
      </c>
      <c r="P9" s="2553"/>
      <c r="Q9" s="2553"/>
      <c r="R9" s="2553"/>
      <c r="S9" s="2553" t="s">
        <v>127</v>
      </c>
      <c r="T9" s="2553"/>
      <c r="U9" s="2553"/>
      <c r="V9" s="2553"/>
      <c r="W9" s="2525" t="s">
        <v>128</v>
      </c>
      <c r="AR9" s="502">
        <v>27</v>
      </c>
    </row>
    <row customHeight="1" ht="31.5">
      <c r="D10" s="2525"/>
      <c r="E10" s="1682" t="s">
        <v>90</v>
      </c>
      <c r="F10" s="1682" t="s">
        <v>129</v>
      </c>
      <c r="G10" s="2525"/>
      <c r="H10" s="2525"/>
      <c r="I10" s="2525"/>
      <c r="J10" s="2525"/>
      <c r="K10" s="508" t="s">
        <v>109</v>
      </c>
      <c r="L10" s="2525" t="s">
        <v>89</v>
      </c>
      <c r="M10" s="2525"/>
      <c r="N10" s="508" t="s">
        <v>130</v>
      </c>
      <c r="O10" s="508" t="s">
        <v>109</v>
      </c>
      <c r="P10" s="2525" t="s">
        <v>89</v>
      </c>
      <c r="Q10" s="2525"/>
      <c r="R10" s="508" t="s">
        <v>130</v>
      </c>
      <c r="S10" s="681" t="s">
        <v>109</v>
      </c>
      <c r="T10" s="2525" t="s">
        <v>89</v>
      </c>
      <c r="U10" s="2525"/>
      <c r="V10" s="681" t="s">
        <v>90</v>
      </c>
      <c r="W10" s="2525"/>
      <c r="Z10" s="1657" t="s">
        <v>131</v>
      </c>
      <c r="AA10" s="1657" t="s">
        <v>132</v>
      </c>
      <c r="AB10" s="1657" t="s">
        <v>133</v>
      </c>
      <c r="AC10" s="1657" t="s">
        <v>134</v>
      </c>
      <c r="AD10" s="1657" t="s">
        <v>135</v>
      </c>
      <c r="AE10" s="1657" t="s">
        <v>136</v>
      </c>
      <c r="AF10" s="1657" t="s">
        <v>137</v>
      </c>
      <c r="AG10" s="1657" t="s">
        <v>138</v>
      </c>
      <c r="AH10" s="1657" t="s">
        <v>139</v>
      </c>
      <c r="AI10" s="1657" t="s">
        <v>140</v>
      </c>
      <c r="AJ10" s="1657" t="s">
        <v>141</v>
      </c>
      <c r="AK10" s="1657" t="s">
        <v>142</v>
      </c>
      <c r="AL10" s="1657" t="s">
        <v>143</v>
      </c>
      <c r="AM10" s="1657" t="s">
        <v>144</v>
      </c>
      <c r="AN10" s="1657" t="s">
        <v>145</v>
      </c>
      <c r="AO10" s="1657" t="s">
        <v>146</v>
      </c>
      <c r="AP10" s="1657" t="s">
        <v>147</v>
      </c>
      <c r="AQ10" s="1657" t="s">
        <v>148</v>
      </c>
      <c r="AR10" s="502">
        <v>30</v>
      </c>
    </row>
    <row s="24524" customFormat="1" customHeight="1" ht="12" hidden="1">
      <c r="D11" s="1647" t="s">
        <v>110</v>
      </c>
      <c r="E11" s="1647" t="s">
        <v>111</v>
      </c>
      <c r="F11" s="1647"/>
      <c r="G11" s="1647" t="s">
        <v>91</v>
      </c>
      <c r="H11" s="2554" t="s">
        <v>112</v>
      </c>
      <c r="I11" s="2554"/>
      <c r="J11" s="1647" t="s">
        <v>93</v>
      </c>
      <c r="K11" s="1647" t="s">
        <v>94</v>
      </c>
      <c r="L11" s="2554" t="s">
        <v>113</v>
      </c>
      <c r="M11" s="2554"/>
      <c r="N11" s="1647" t="s">
        <v>149</v>
      </c>
      <c r="O11" s="1647" t="s">
        <v>150</v>
      </c>
      <c r="P11" s="2554" t="s">
        <v>151</v>
      </c>
      <c r="Q11" s="2554"/>
      <c r="R11" s="1647" t="s">
        <v>152</v>
      </c>
      <c r="S11" s="1647" t="s">
        <v>151</v>
      </c>
      <c r="T11" s="2554" t="s">
        <v>152</v>
      </c>
      <c r="U11" s="2554"/>
      <c r="V11" s="1647" t="s">
        <v>153</v>
      </c>
      <c r="W11" s="1647" t="s">
        <v>154</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4561" customFormat="1" customHeight="1" ht="17.25">
      <c r="A13" s="719"/>
      <c r="C13" s="607"/>
      <c r="D13" s="2533">
        <v>1</v>
      </c>
      <c r="E13" s="2541" t="s">
        <v>155</v>
      </c>
      <c r="F13" s="2543" t="s">
        <v>67</v>
      </c>
      <c r="G13" s="3412" t="str">
        <f>INDEX(VD_NAME_LIST,MATCH("4190064",VD_ID_LIST,0))</f>
        <v>Производство тепловой энергии. Некомбинированная выработка</v>
      </c>
      <c r="H13" s="3413"/>
      <c r="I13" s="3413">
        <v>1</v>
      </c>
      <c r="J13" s="3414" t="s">
        <v>156</v>
      </c>
      <c r="K13" s="3415" t="s">
        <v>19</v>
      </c>
      <c r="L13" s="3416"/>
      <c r="M13" s="3416" t="s">
        <v>110</v>
      </c>
      <c r="N13" s="3417" t="s">
        <v>28</v>
      </c>
      <c r="O13" s="3415" t="s">
        <v>19</v>
      </c>
      <c r="P13" s="3416"/>
      <c r="Q13" s="3416" t="s">
        <v>110</v>
      </c>
      <c r="R13" s="3418" t="s">
        <v>28</v>
      </c>
      <c r="S13" s="3419" t="s">
        <v>19</v>
      </c>
      <c r="T13" s="3416"/>
      <c r="U13" s="3416" t="s">
        <v>110</v>
      </c>
      <c r="V13" s="3418" t="s">
        <v>28</v>
      </c>
      <c r="W13" s="3414"/>
      <c r="Y13" s="1665"/>
      <c r="Z13" s="1665"/>
      <c r="AA13" s="1665"/>
      <c r="AB13" s="1665" t="s">
        <v>157</v>
      </c>
      <c r="AC13" s="1665" t="s">
        <v>158</v>
      </c>
      <c r="AD13" s="1665" t="s">
        <v>159</v>
      </c>
      <c r="AE13" s="1665" t="s">
        <v>160</v>
      </c>
      <c r="AF13" s="1665" t="s">
        <v>161</v>
      </c>
      <c r="AG13" s="1665" t="s">
        <v>162</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Производство тепловой энергии. Некомбинированная выработка</v>
      </c>
      <c r="AJ13" s="1665" t="str">
        <f>IF($J$13=0,"",$J$13)</f>
        <v>Тариф на производство и передачу тепловой энергии</v>
      </c>
      <c r="AK13" s="1665" t="str">
        <f>IF($K$13="нет","без дифференциации",IF($N$13=0,"",$N$13))</f>
        <v>без дифференциации</v>
      </c>
      <c r="AL13" s="1665" t="str">
        <f>IF($O$13="нет","без дифференциации",IF($R$13=0,"",$R$13))</f>
        <v>без дифференциации</v>
      </c>
      <c r="AM13" s="1665" t="str">
        <f>IF($S$13="нет","без дифференциации",IF($V$13=0,"",$V$13))</f>
        <v>без дифференциации</v>
      </c>
      <c r="AN13" s="1665">
        <f>$I$13</f>
        <v>1</v>
      </c>
      <c r="AO13" s="1665" t="str">
        <f>$I$13&amp;"."&amp;$M$13</f>
        <v>1.1</v>
      </c>
      <c r="AP13" s="1665" t="str">
        <f>$I$13&amp;"."&amp;$M$13&amp;"."&amp;$Q$13</f>
        <v>1.1.1</v>
      </c>
      <c r="AQ13" s="1665" t="str">
        <f>$I$13&amp;"."&amp;$M$13&amp;"."&amp;$Q$13&amp;"."&amp;$U$13</f>
        <v>1.1.1.1</v>
      </c>
      <c r="AR13" s="1148">
        <v>0</v>
      </c>
    </row>
    <row s="24561" customFormat="1" customHeight="1" ht="17.25">
      <c r="A14" s="719"/>
      <c r="C14" s="718"/>
      <c r="D14" s="2533"/>
      <c r="E14" s="2541"/>
      <c r="F14" s="2544"/>
      <c r="G14" s="3412"/>
      <c r="H14" s="3413"/>
      <c r="I14" s="3413"/>
      <c r="J14" s="3414"/>
      <c r="K14" s="3424"/>
      <c r="L14" s="3416"/>
      <c r="M14" s="3416"/>
      <c r="N14" s="3417" t="s">
        <v>28</v>
      </c>
      <c r="O14" s="3424"/>
      <c r="P14" s="3416"/>
      <c r="Q14" s="3416"/>
      <c r="R14" s="3418" t="s">
        <v>28</v>
      </c>
      <c r="S14" s="3419"/>
      <c r="T14" s="3425"/>
      <c r="U14" s="3426"/>
      <c r="V14" s="3427" t="s">
        <v>163</v>
      </c>
      <c r="W14" s="3428"/>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4561" customFormat="1" customHeight="1" ht="17.25">
      <c r="A15" s="719"/>
      <c r="C15" s="607"/>
      <c r="D15" s="2533"/>
      <c r="E15" s="2541"/>
      <c r="F15" s="2544"/>
      <c r="G15" s="3412"/>
      <c r="H15" s="3429"/>
      <c r="I15" s="3429"/>
      <c r="J15" s="3430"/>
      <c r="K15" s="3424"/>
      <c r="L15" s="3429"/>
      <c r="M15" s="3429"/>
      <c r="N15" s="3418" t="s">
        <v>28</v>
      </c>
      <c r="O15" s="3431"/>
      <c r="P15" s="3432"/>
      <c r="Q15" s="3433"/>
      <c r="R15" s="3434" t="s">
        <v>164</v>
      </c>
      <c r="S15" s="3435"/>
      <c r="T15" s="3436"/>
      <c r="U15" s="3437"/>
      <c r="V15" s="3438"/>
      <c r="W15" s="3439"/>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4561" customFormat="1" customHeight="1" ht="17.25">
      <c r="A16" s="719"/>
      <c r="C16" s="718"/>
      <c r="D16" s="2533"/>
      <c r="E16" s="2541"/>
      <c r="F16" s="2544"/>
      <c r="G16" s="3412"/>
      <c r="H16" s="3429"/>
      <c r="I16" s="3429"/>
      <c r="J16" s="3430"/>
      <c r="K16" s="3431"/>
      <c r="L16" s="3441"/>
      <c r="M16" s="3442"/>
      <c r="N16" s="3443" t="s">
        <v>165</v>
      </c>
      <c r="O16" s="3444"/>
      <c r="P16" s="3445"/>
      <c r="Q16" s="3446"/>
      <c r="R16" s="3447"/>
      <c r="S16" s="3448"/>
      <c r="T16" s="3449"/>
      <c r="U16" s="3450"/>
      <c r="V16" s="3451"/>
      <c r="W16" s="3452"/>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4561" customFormat="1" customHeight="1" ht="17.25">
      <c r="A17" s="719"/>
      <c r="C17" s="718"/>
      <c r="D17" s="2534"/>
      <c r="E17" s="2542"/>
      <c r="F17" s="2545"/>
      <c r="G17" s="3456"/>
      <c r="H17" s="3457"/>
      <c r="I17" s="3458"/>
      <c r="J17" s="3459" t="s">
        <v>166</v>
      </c>
      <c r="K17" s="3460"/>
      <c r="L17" s="3461"/>
      <c r="M17" s="3462"/>
      <c r="N17" s="3463"/>
      <c r="O17" s="3464"/>
      <c r="P17" s="3465"/>
      <c r="Q17" s="3466"/>
      <c r="R17" s="3467"/>
      <c r="S17" s="3468"/>
      <c r="T17" s="3469"/>
      <c r="U17" s="3470"/>
      <c r="V17" s="3471"/>
      <c r="W17" s="3472"/>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4561" customFormat="1" customHeight="1" ht="17.25">
      <c r="A18" s="719"/>
      <c r="C18" s="607"/>
      <c r="D18" s="2533">
        <v>2</v>
      </c>
      <c r="E18" s="3473" t="s">
        <v>167</v>
      </c>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168</v>
      </c>
      <c r="AD18" s="1665" t="s">
        <v>169</v>
      </c>
      <c r="AE18" s="1665" t="s">
        <v>170</v>
      </c>
      <c r="AF18" s="1665" t="s">
        <v>171</v>
      </c>
      <c r="AG18" s="1665" t="s">
        <v>172</v>
      </c>
      <c r="AH18" s="16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4561" customFormat="1" customHeight="1" ht="17.25">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4561" customFormat="1" customHeight="1" ht="17.25">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4561" customFormat="1" customHeight="1" ht="17.25">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4561" customFormat="1" customHeight="1" ht="17.25">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4561" customFormat="1" customHeight="1" ht="17.25" hidden="1">
      <c r="A23" s="719"/>
      <c r="C23" s="607"/>
      <c r="D23" s="2533">
        <v>2</v>
      </c>
      <c r="E23" s="2541" t="s">
        <v>167</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t="s">
        <v>28</v>
      </c>
      <c r="AA23" s="1665" t="s">
        <v>28</v>
      </c>
      <c r="AB23" s="1665" t="s">
        <v>28</v>
      </c>
      <c r="AC23" s="1665" t="s">
        <v>28</v>
      </c>
      <c r="AD23" s="1665" t="s">
        <v>28</v>
      </c>
      <c r="AE23" s="1665" t="s">
        <v>28</v>
      </c>
      <c r="AF23" s="1665" t="s">
        <v>28</v>
      </c>
      <c r="AG23" s="1665" t="s">
        <v>28</v>
      </c>
      <c r="AH23" s="1665" t="s">
        <v>28</v>
      </c>
      <c r="AI23" s="1665" t="s">
        <v>28</v>
      </c>
      <c r="AJ23" s="1665" t="s">
        <v>28</v>
      </c>
      <c r="AK23" s="1665" t="s">
        <v>28</v>
      </c>
      <c r="AL23" s="1665" t="s">
        <v>28</v>
      </c>
      <c r="AM23" s="1665" t="s">
        <v>28</v>
      </c>
      <c r="AN23" s="2170" t="s">
        <v>28</v>
      </c>
      <c r="AO23" s="1665" t="s">
        <v>28</v>
      </c>
      <c r="AP23" s="1664" t="s">
        <v>28</v>
      </c>
      <c r="AQ23" s="1664" t="s">
        <v>28</v>
      </c>
      <c r="AR23" s="1865">
        <v>0</v>
      </c>
    </row>
    <row s="24561"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4561"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4561"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4561"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4561" customFormat="1" customHeight="1" ht="17.25">
      <c r="A28" s="719"/>
      <c r="C28" s="607"/>
      <c r="D28" s="2533">
        <v>3</v>
      </c>
      <c r="E28" s="2541" t="s">
        <v>173</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174</v>
      </c>
      <c r="AD28" s="1665" t="s">
        <v>175</v>
      </c>
      <c r="AE28" s="1665" t="s">
        <v>176</v>
      </c>
      <c r="AF28" s="1665" t="s">
        <v>177</v>
      </c>
      <c r="AG28" s="1665" t="s">
        <v>178</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4561" customFormat="1" customHeight="1" ht="17.25">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4561" customFormat="1" customHeight="1" ht="17.25">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4561" customFormat="1" customHeight="1" ht="17.25">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4561" customFormat="1" customHeight="1" ht="17.25">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4561" customFormat="1" customHeight="1" ht="17.25">
      <c r="A33" s="719"/>
      <c r="C33" s="607"/>
      <c r="D33" s="2533">
        <v>4</v>
      </c>
      <c r="E33" s="2541" t="s">
        <v>179</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180</v>
      </c>
      <c r="AD33" s="1665" t="s">
        <v>181</v>
      </c>
      <c r="AE33" s="1665" t="s">
        <v>182</v>
      </c>
      <c r="AF33" s="1665" t="s">
        <v>183</v>
      </c>
      <c r="AG33" s="1665" t="s">
        <v>184</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4561" customFormat="1" customHeight="1" ht="17.25">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4561" customFormat="1" customHeight="1" ht="17.25">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4561" customFormat="1" customHeight="1" ht="17.25">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4561" customFormat="1" customHeight="1" ht="17.25">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4561" customFormat="1" customHeight="1" ht="17.25">
      <c r="A38" s="719"/>
      <c r="C38" s="607"/>
      <c r="D38" s="2533">
        <v>5</v>
      </c>
      <c r="E38" s="2541" t="s">
        <v>185</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186</v>
      </c>
      <c r="AD38" s="1665" t="s">
        <v>187</v>
      </c>
      <c r="AE38" s="1665" t="s">
        <v>188</v>
      </c>
      <c r="AF38" s="1665" t="s">
        <v>189</v>
      </c>
      <c r="AG38" s="1665" t="s">
        <v>190</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4561" customFormat="1" customHeight="1" ht="17.25">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4561" customFormat="1" customHeight="1" ht="17.25">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4561" customFormat="1" customHeight="1" ht="17.25">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4561" customFormat="1" customHeight="1" ht="17.25">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4561" customFormat="1" customHeight="1" ht="17.25">
      <c r="A43" s="719"/>
      <c r="C43" s="607"/>
      <c r="D43" s="2533">
        <v>6</v>
      </c>
      <c r="E43" s="2541" t="s">
        <v>191</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192</v>
      </c>
      <c r="AD43" s="1665" t="s">
        <v>193</v>
      </c>
      <c r="AE43" s="1665" t="s">
        <v>194</v>
      </c>
      <c r="AF43" s="1665" t="s">
        <v>195</v>
      </c>
      <c r="AG43" s="1665" t="s">
        <v>196</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4561" customFormat="1" customHeight="1" ht="17.25">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4561" customFormat="1" customHeight="1" ht="17.25">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4561" customFormat="1" customHeight="1" ht="17.25">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4561" customFormat="1" customHeight="1" ht="17.25">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4561" customFormat="1" customHeight="1" ht="17.25">
      <c r="A48" s="719"/>
      <c r="C48" s="607"/>
      <c r="D48" s="2564">
        <v>7</v>
      </c>
      <c r="E48" s="2567" t="s">
        <v>197</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198</v>
      </c>
      <c r="AD48" s="1665" t="s">
        <v>199</v>
      </c>
      <c r="AE48" s="1665" t="s">
        <v>200</v>
      </c>
      <c r="AF48" s="1665" t="s">
        <v>201</v>
      </c>
      <c r="AG48" s="1665" t="s">
        <v>202</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4561" customFormat="1" customHeight="1" ht="17.25">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4561" customFormat="1" customHeight="1" ht="17.25">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4561" customFormat="1" customHeight="1" ht="17.25">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4561" customFormat="1" customHeight="1" ht="17.25">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4561" customFormat="1" customHeight="1" ht="17.25">
      <c r="A53" s="719"/>
      <c r="C53" s="607"/>
      <c r="D53" s="2533">
        <v>8</v>
      </c>
      <c r="E53" s="2541" t="s">
        <v>203</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204</v>
      </c>
      <c r="AD53" s="1665" t="s">
        <v>205</v>
      </c>
      <c r="AE53" s="1665" t="s">
        <v>206</v>
      </c>
      <c r="AF53" s="1665" t="s">
        <v>207</v>
      </c>
      <c r="AG53" s="1665" t="s">
        <v>208</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4561" customFormat="1" customHeight="1" ht="17.25">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4561" customFormat="1" customHeight="1" ht="17.25">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4561" customFormat="1" customHeight="1" ht="17.25">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4561" customFormat="1" customHeight="1" ht="17.25">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4561" customFormat="1" customHeight="1" ht="17.25">
      <c r="A58" s="719"/>
      <c r="C58" s="607"/>
      <c r="D58" s="2533">
        <v>9</v>
      </c>
      <c r="E58" s="2541" t="s">
        <v>209</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210</v>
      </c>
      <c r="AD58" s="1665" t="s">
        <v>211</v>
      </c>
      <c r="AE58" s="1665" t="s">
        <v>212</v>
      </c>
      <c r="AF58" s="1665" t="s">
        <v>213</v>
      </c>
      <c r="AG58" s="1665" t="s">
        <v>214</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4561" customFormat="1" customHeight="1" ht="17.25">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4561" customFormat="1" customHeight="1" ht="17.25">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4561" customFormat="1" customHeight="1" ht="17.25">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4561" customFormat="1" customHeight="1" ht="17.25">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4561" customFormat="1" customHeight="1" ht="17.25" hidden="1">
      <c r="A63" s="719"/>
      <c r="C63" s="607"/>
      <c r="D63" s="2533">
        <v>10</v>
      </c>
      <c r="E63" s="2541" t="s">
        <v>215</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216</v>
      </c>
      <c r="AD63" s="1665" t="s">
        <v>217</v>
      </c>
      <c r="AE63" s="1665" t="s">
        <v>218</v>
      </c>
      <c r="AF63" s="1665" t="s">
        <v>219</v>
      </c>
      <c r="AG63" s="1665" t="s">
        <v>220</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4561"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4561"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4561"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4561"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c r="AR68" s="502">
        <v>0</v>
      </c>
    </row>
    <row customHeight="1" ht="11.25">
      <c r="E69" s="2572" t="s">
        <v>221</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c r="E70" s="2570" t="s">
        <v>222</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c r="E71" s="2570" t="s">
        <v>223</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c r="E72" s="2570" t="s">
        <v>224</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c r="E73" s="2570" t="s">
        <v>225</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c r="E74" s="738"/>
      <c r="F74" s="1683"/>
      <c r="G74" s="555"/>
      <c r="H74" s="555"/>
      <c r="I74" s="555"/>
      <c r="J74" s="555"/>
      <c r="K74" s="555"/>
      <c r="L74" s="555"/>
      <c r="M74" s="555"/>
      <c r="N74" s="555"/>
      <c r="O74" s="555"/>
      <c r="P74" s="555"/>
      <c r="Q74" s="555"/>
      <c r="R74" s="555"/>
      <c r="S74" s="555"/>
      <c r="T74" s="555"/>
      <c r="U74" s="555"/>
      <c r="V74" s="555"/>
      <c r="W74" s="555"/>
      <c r="AR74" s="502">
        <v>0</v>
      </c>
    </row>
    <row customHeight="1" ht="15">
      <c r="E75" s="2572" t="s">
        <v>226</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c r="E76" s="2570" t="s">
        <v>227</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c r="E77" s="2570" t="s">
        <v>228</v>
      </c>
      <c r="F77" s="2570"/>
      <c r="G77" s="2571"/>
      <c r="H77" s="2571"/>
      <c r="I77" s="2571"/>
      <c r="J77" s="2571"/>
      <c r="K77" s="2571"/>
      <c r="L77" s="2571"/>
      <c r="M77" s="2571"/>
      <c r="N77" s="2571"/>
      <c r="O77" s="2571"/>
      <c r="P77" s="2571"/>
      <c r="Q77" s="2571"/>
      <c r="R77" s="2571"/>
      <c r="S77" s="2571"/>
      <c r="T77" s="2571"/>
      <c r="U77" s="2571"/>
      <c r="V77" s="2571"/>
      <c r="W77" s="2571"/>
      <c r="AR77" s="502">
        <v>0</v>
      </c>
    </row>
    <row s="24561"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4561" customFormat="1" customHeight="1" ht="17.25" hidden="1">
      <c r="A79" s="719"/>
      <c r="C79" s="607"/>
      <c r="D79" s="2533">
        <v>1</v>
      </c>
      <c r="E79" s="2541" t="s">
        <v>229</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230</v>
      </c>
      <c r="AD79" s="1665" t="s">
        <v>231</v>
      </c>
      <c r="AE79" s="1665" t="s">
        <v>232</v>
      </c>
      <c r="AF79" s="1665" t="s">
        <v>233</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4561"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4561"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4561"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4561"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4561" customFormat="1" customHeight="1" ht="17.25" hidden="1">
      <c r="A84" s="719"/>
      <c r="C84" s="607"/>
      <c r="D84" s="2533">
        <v>2</v>
      </c>
      <c r="E84" s="2541" t="s">
        <v>234</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235</v>
      </c>
      <c r="AD84" s="1665" t="s">
        <v>236</v>
      </c>
      <c r="AE84" s="1665" t="s">
        <v>237</v>
      </c>
      <c r="AF84" s="1665" t="s">
        <v>238</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4561"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4561"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4561"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4561"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4561" customFormat="1" customHeight="1" ht="17.25" hidden="1">
      <c r="A89" s="719"/>
      <c r="C89" s="607"/>
      <c r="D89" s="2533">
        <v>3</v>
      </c>
      <c r="E89" s="2541" t="s">
        <v>239</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240</v>
      </c>
      <c r="AD89" s="1665" t="s">
        <v>241</v>
      </c>
      <c r="AE89" s="1665" t="s">
        <v>242</v>
      </c>
      <c r="AF89" s="1665" t="s">
        <v>243</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4561"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4561"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4561"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4561"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4561" customFormat="1" customHeight="1" ht="17.25" hidden="1">
      <c r="A94" s="719"/>
      <c r="C94" s="607"/>
      <c r="D94" s="2533">
        <v>4</v>
      </c>
      <c r="E94" s="2541" t="s">
        <v>244</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245</v>
      </c>
      <c r="AD94" s="1665" t="s">
        <v>246</v>
      </c>
      <c r="AE94" s="1665" t="s">
        <v>247</v>
      </c>
      <c r="AF94" s="1665" t="s">
        <v>248</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4561"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4561"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4561"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4561"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4561" customFormat="1" customHeight="1" ht="17.25" hidden="1">
      <c r="A99" s="719"/>
      <c r="C99" s="607"/>
      <c r="D99" s="2533">
        <v>5</v>
      </c>
      <c r="E99" s="2541" t="s">
        <v>249</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250</v>
      </c>
      <c r="AD99" s="1665" t="s">
        <v>251</v>
      </c>
      <c r="AE99" s="1665" t="s">
        <v>252</v>
      </c>
      <c r="AF99" s="1665" t="s">
        <v>253</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4561"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4561"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4561"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4561"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4561"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4561" customFormat="1" customHeight="1" ht="17.25" hidden="1">
      <c r="A105" s="719"/>
      <c r="C105" s="607"/>
      <c r="D105" s="2533">
        <v>1</v>
      </c>
      <c r="E105" s="2541" t="s">
        <v>254</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255</v>
      </c>
      <c r="AD105" s="1665" t="s">
        <v>256</v>
      </c>
      <c r="AE105" s="1665" t="s">
        <v>257</v>
      </c>
      <c r="AF105" s="1665" t="s">
        <v>258</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4561"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4561"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4561"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4561"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4561" customFormat="1" customHeight="1" ht="17.25" hidden="1">
      <c r="A110" s="719"/>
      <c r="C110" s="607"/>
      <c r="D110" s="2533">
        <v>2</v>
      </c>
      <c r="E110" s="2541" t="s">
        <v>259</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260</v>
      </c>
      <c r="AD110" s="1665" t="s">
        <v>261</v>
      </c>
      <c r="AE110" s="1665" t="s">
        <v>262</v>
      </c>
      <c r="AF110" s="1665" t="s">
        <v>263</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4561"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4561"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4561"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4561"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4561" customFormat="1" customHeight="1" ht="17.25" hidden="1">
      <c r="A115" s="719"/>
      <c r="C115" s="607"/>
      <c r="D115" s="2533">
        <v>3</v>
      </c>
      <c r="E115" s="2541" t="s">
        <v>264</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265</v>
      </c>
      <c r="AD115" s="1665" t="s">
        <v>266</v>
      </c>
      <c r="AE115" s="1665" t="s">
        <v>267</v>
      </c>
      <c r="AF115" s="1665" t="s">
        <v>268</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4561"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4561"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4561"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4561"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4561"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4561" customFormat="1" customHeight="1" ht="17.25" hidden="1">
      <c r="A121" s="719"/>
      <c r="C121" s="607"/>
      <c r="D121" s="2533">
        <v>1</v>
      </c>
      <c r="E121" s="2541" t="s">
        <v>269</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270</v>
      </c>
      <c r="AD121" s="1665" t="s">
        <v>271</v>
      </c>
      <c r="AE121" s="1665" t="s">
        <v>272</v>
      </c>
      <c r="AF121" s="1665" t="s">
        <v>273</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4561"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4561"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4561"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4561"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4561" customFormat="1" customHeight="1" ht="17.25" hidden="1">
      <c r="A126" s="719"/>
      <c r="C126" s="607"/>
      <c r="D126" s="2533">
        <v>2</v>
      </c>
      <c r="E126" s="2541" t="s">
        <v>274</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275</v>
      </c>
      <c r="AD126" s="1665" t="s">
        <v>276</v>
      </c>
      <c r="AE126" s="1665" t="s">
        <v>277</v>
      </c>
      <c r="AF126" s="1665" t="s">
        <v>278</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4561"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4561"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4561"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4561"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4561" customFormat="1" customHeight="1" ht="17.25" hidden="1">
      <c r="A131" s="719"/>
      <c r="C131" s="607"/>
      <c r="D131" s="2533">
        <v>3</v>
      </c>
      <c r="E131" s="2541" t="s">
        <v>279</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280</v>
      </c>
      <c r="AD131" s="1665" t="s">
        <v>281</v>
      </c>
      <c r="AE131" s="1665" t="s">
        <v>282</v>
      </c>
      <c r="AF131" s="1665" t="s">
        <v>283</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4561"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4561"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4561"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4561"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83</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554E-9ACC-6AC7-ECC6-622C723F458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4495" width="9.140625" hidden="1"/>
    <col min="3" max="4" style="24495" width="3.00390625" customWidth="1"/>
    <col min="5" max="6" style="24495" width="15.00390625" customWidth="1"/>
    <col min="7" max="7" style="24495" width="11.57421875" customWidth="1"/>
    <col min="8" max="9" style="24495" width="3.00390625" customWidth="1"/>
    <col min="10" max="10" style="24495" width="12.00390625" customWidth="1"/>
    <col min="11" max="11" style="24495" width="0.28125" customWidth="1"/>
    <col min="12" max="13" style="24495" width="10.00390625" customWidth="1"/>
    <col min="14" max="15" style="24495" width="3.00390625" customWidth="1"/>
    <col min="16" max="16" style="24495" width="19.00390625" customWidth="1"/>
    <col min="17" max="17" style="24495" width="0.28125" customWidth="1"/>
    <col min="18" max="19" style="24495" width="10.00390625" customWidth="1"/>
    <col min="20" max="21" style="24495" width="3.00390625" customWidth="1"/>
    <col min="22" max="22" style="24495" width="25.00390625" customWidth="1"/>
    <col min="23" max="23" style="24495" width="0.28125" customWidth="1"/>
    <col min="24" max="25" style="24495" width="10.00390625" customWidth="1"/>
    <col min="26" max="27" style="24495" width="3.00390625" customWidth="1"/>
    <col min="28" max="28" style="24495" width="16.00390625" customWidth="1"/>
    <col min="29" max="29" style="24495" width="0.28125" customWidth="1"/>
    <col min="30" max="31" style="24495" width="10.00390625" customWidth="1"/>
    <col min="32" max="33" style="24495" width="3.00390625" customWidth="1"/>
    <col min="34" max="34" style="24495" width="8.00390625" customWidth="1"/>
    <col min="35" max="35" style="24495" width="21.00390625" customWidth="1"/>
    <col min="36" max="36" style="24495" width="8.00390625" customWidth="1"/>
    <col min="37" max="37" style="24872" width="8.00390625" customWidth="1"/>
    <col min="38" max="64" style="24495" width="8.00390625" customWidth="1"/>
    <col min="65" max="65" style="24495" width="9.140625" hidden="1"/>
  </cols>
  <sheetData>
    <row s="24796"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4797" customFormat="1" customHeight="1" ht="11.25" hidden="1">
      <c r="L2" s="1951" t="s">
        <v>284</v>
      </c>
      <c r="M2" s="1951" t="s">
        <v>285</v>
      </c>
      <c r="R2" s="1951" t="s">
        <v>286</v>
      </c>
      <c r="S2" s="1951" t="s">
        <v>285</v>
      </c>
      <c r="X2" s="1951" t="s">
        <v>284</v>
      </c>
      <c r="Y2" s="1951" t="s">
        <v>285</v>
      </c>
      <c r="AD2" s="1951" t="s">
        <v>284</v>
      </c>
      <c r="AE2" s="1951" t="s">
        <v>285</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4800"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4450" customFormat="1" customHeight="1" ht="34.5">
      <c r="A4" s="1554"/>
      <c r="B4" s="1553"/>
      <c r="C4" s="1913"/>
      <c r="D4" s="2589" t="s">
        <v>287</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4450" customFormat="1" customHeight="1" ht="14.699999999999998">
      <c r="A5" s="2030"/>
      <c r="B5" s="2029"/>
      <c r="C5" s="1913"/>
      <c r="D5" s="2574" t="str">
        <f>IF(org=0,"Не определено",org)</f>
        <v>ООО "Новая Энергетика"</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4450"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4796"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89</v>
      </c>
      <c r="E8" s="2525" t="s">
        <v>106</v>
      </c>
      <c r="F8" s="2590" t="s">
        <v>123</v>
      </c>
      <c r="G8" s="2591"/>
      <c r="H8" s="2590" t="s">
        <v>89</v>
      </c>
      <c r="I8" s="2591"/>
      <c r="J8" s="2525" t="s">
        <v>124</v>
      </c>
      <c r="K8" s="1954"/>
      <c r="L8" s="2594" t="s">
        <v>288</v>
      </c>
      <c r="M8" s="2594"/>
      <c r="N8" s="2594"/>
      <c r="O8" s="2594"/>
      <c r="P8" s="2594"/>
      <c r="Q8" s="1955"/>
      <c r="R8" s="2494" t="s">
        <v>289</v>
      </c>
      <c r="S8" s="2595"/>
      <c r="T8" s="2595"/>
      <c r="U8" s="2595"/>
      <c r="V8" s="2595"/>
      <c r="W8" s="1955"/>
      <c r="X8" s="2596" t="s">
        <v>290</v>
      </c>
      <c r="Y8" s="2596"/>
      <c r="Z8" s="2596"/>
      <c r="AA8" s="2596"/>
      <c r="AB8" s="2596"/>
      <c r="AC8" s="1956"/>
      <c r="AD8" s="2525" t="s">
        <v>291</v>
      </c>
      <c r="AE8" s="2525"/>
      <c r="AF8" s="2525"/>
      <c r="AG8" s="2525"/>
      <c r="AH8" s="2499"/>
      <c r="AI8" s="2525" t="s">
        <v>292</v>
      </c>
      <c r="AJ8" s="1972"/>
      <c r="BM8" s="691">
        <v>32</v>
      </c>
    </row>
    <row customHeight="1" ht="23.25">
      <c r="D9" s="2525"/>
      <c r="E9" s="2525"/>
      <c r="F9" s="2573" t="s">
        <v>90</v>
      </c>
      <c r="G9" s="2573" t="s">
        <v>129</v>
      </c>
      <c r="H9" s="2592"/>
      <c r="I9" s="2593"/>
      <c r="J9" s="2499"/>
      <c r="K9" s="1957"/>
      <c r="L9" s="2525" t="s">
        <v>293</v>
      </c>
      <c r="M9" s="2499"/>
      <c r="N9" s="2590" t="s">
        <v>89</v>
      </c>
      <c r="O9" s="2591"/>
      <c r="P9" s="2525" t="s">
        <v>130</v>
      </c>
      <c r="Q9" s="1954"/>
      <c r="R9" s="2525" t="s">
        <v>293</v>
      </c>
      <c r="S9" s="2499"/>
      <c r="T9" s="2590" t="s">
        <v>89</v>
      </c>
      <c r="U9" s="2591"/>
      <c r="V9" s="2525" t="s">
        <v>130</v>
      </c>
      <c r="W9" s="1954"/>
      <c r="X9" s="2525" t="s">
        <v>293</v>
      </c>
      <c r="Y9" s="2499"/>
      <c r="Z9" s="2590" t="s">
        <v>89</v>
      </c>
      <c r="AA9" s="2591"/>
      <c r="AB9" s="2525" t="s">
        <v>294</v>
      </c>
      <c r="AC9" s="1954"/>
      <c r="AD9" s="2525" t="s">
        <v>293</v>
      </c>
      <c r="AE9" s="2499"/>
      <c r="AF9" s="2590" t="s">
        <v>89</v>
      </c>
      <c r="AG9" s="2591"/>
      <c r="AH9" s="2499" t="s">
        <v>294</v>
      </c>
      <c r="AI9" s="2525"/>
      <c r="AJ9" s="1972"/>
      <c r="BM9" s="691">
        <v>22</v>
      </c>
    </row>
    <row customHeight="1" ht="24">
      <c r="D10" s="2573"/>
      <c r="E10" s="2573"/>
      <c r="F10" s="2597"/>
      <c r="G10" s="2597"/>
      <c r="H10" s="2598"/>
      <c r="I10" s="2599"/>
      <c r="J10" s="2590"/>
      <c r="K10" s="1957"/>
      <c r="L10" s="1976" t="s">
        <v>295</v>
      </c>
      <c r="M10" s="1971" t="s">
        <v>296</v>
      </c>
      <c r="N10" s="2592"/>
      <c r="O10" s="2593"/>
      <c r="P10" s="2573"/>
      <c r="Q10" s="1954"/>
      <c r="R10" s="1976" t="s">
        <v>295</v>
      </c>
      <c r="S10" s="1971" t="s">
        <v>296</v>
      </c>
      <c r="T10" s="2592"/>
      <c r="U10" s="2593"/>
      <c r="V10" s="2573"/>
      <c r="W10" s="1954"/>
      <c r="X10" s="1976" t="s">
        <v>295</v>
      </c>
      <c r="Y10" s="1971" t="s">
        <v>296</v>
      </c>
      <c r="Z10" s="2592"/>
      <c r="AA10" s="2593"/>
      <c r="AB10" s="2573"/>
      <c r="AC10" s="1954"/>
      <c r="AD10" s="1976" t="s">
        <v>295</v>
      </c>
      <c r="AE10" s="1971" t="s">
        <v>296</v>
      </c>
      <c r="AF10" s="2592"/>
      <c r="AG10" s="2593"/>
      <c r="AH10" s="2590"/>
      <c r="AI10" s="2573"/>
      <c r="AJ10" s="1972"/>
      <c r="AK10" s="652" t="s">
        <v>297</v>
      </c>
      <c r="AL10" s="652" t="s">
        <v>131</v>
      </c>
      <c r="BM10" s="691">
        <v>23</v>
      </c>
    </row>
    <row customHeight="1" ht="15">
      <c r="D11" s="2581" t="s">
        <v>110</v>
      </c>
      <c r="E11" s="2577" t="s">
        <v>298</v>
      </c>
      <c r="F11" s="2577" t="s">
        <v>299</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4800"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111</v>
      </c>
      <c r="E17" s="2577" t="s">
        <v>298</v>
      </c>
      <c r="F17" s="2577" t="s">
        <v>300</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4800"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91</v>
      </c>
      <c r="E23" s="2577" t="s">
        <v>298</v>
      </c>
      <c r="F23" s="2577" t="s">
        <v>301</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99</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4800"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92</v>
      </c>
      <c r="E29" s="2577" t="s">
        <v>298</v>
      </c>
      <c r="F29" s="2577" t="s">
        <v>302</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4800"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112</v>
      </c>
      <c r="E35" s="2577" t="s">
        <v>298</v>
      </c>
      <c r="F35" s="2577" t="s">
        <v>303</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4800"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83</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AED52-949B-6CA3-F01E-.DEBF0F7513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4960" width="15.00390625" hidden="1" customWidth="1"/>
    <col min="2" max="2" style="24916" width="15.00390625" hidden="1" customWidth="1"/>
    <col min="3" max="3" style="24961" width="3.00390625" customWidth="1"/>
    <col min="4" max="4" style="24962" width="6.00390625" customWidth="1"/>
    <col min="5" max="5" style="24961" width="52.00390625" customWidth="1"/>
    <col min="6" max="6" style="24961" width="48.00390625" customWidth="1"/>
    <col min="7" max="7" style="24961" width="121.00390625" customWidth="1"/>
    <col min="8" max="8" style="24961" width="8.00390625" customWidth="1"/>
    <col min="9" max="9" style="24961" width="64.00390625" customWidth="1"/>
    <col min="10" max="10" style="24961" width="9.140625" hidden="1"/>
  </cols>
  <sheetData>
    <row customHeight="1" ht="11.25" hidden="1">
      <c r="A1" s="2084" t="s">
        <v>304</v>
      </c>
      <c r="J1" s="853" t="s">
        <v>14</v>
      </c>
    </row>
    <row customHeight="1" ht="11.25" hidden="1">
      <c r="J2" s="853">
        <v>0</v>
      </c>
    </row>
    <row s="24875"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ООО "Новая Энергетика"</v>
      </c>
      <c r="E5" s="2574"/>
      <c r="F5" s="2574"/>
      <c r="I5" s="1113"/>
      <c r="J5" s="853">
        <v>17</v>
      </c>
    </row>
    <row s="24875"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305</v>
      </c>
      <c r="E8" s="2603"/>
      <c r="F8" s="2603"/>
      <c r="G8" s="2606" t="s">
        <v>306</v>
      </c>
      <c r="J8" s="853">
        <v>11</v>
      </c>
    </row>
    <row customHeight="1" ht="11.549999999999999">
      <c r="A9" s="855"/>
      <c r="B9" s="900"/>
      <c r="C9" s="855"/>
      <c r="D9" s="870" t="s">
        <v>89</v>
      </c>
      <c r="E9" s="844" t="s">
        <v>307</v>
      </c>
      <c r="F9" s="844" t="s">
        <v>308</v>
      </c>
      <c r="G9" s="2607"/>
      <c r="J9" s="853">
        <v>11</v>
      </c>
    </row>
    <row customHeight="1" ht="12" hidden="1">
      <c r="A10" s="855"/>
      <c r="B10" s="900"/>
      <c r="C10" s="855"/>
      <c r="D10" s="862"/>
      <c r="E10" s="862"/>
      <c r="F10" s="862"/>
      <c r="G10" s="862"/>
      <c r="J10" s="853">
        <v>0</v>
      </c>
    </row>
    <row customHeight="1" ht="22.5" hidden="1">
      <c r="A11" s="855"/>
      <c r="B11" s="900"/>
      <c r="C11" s="855"/>
      <c r="D11" s="1407" t="s">
        <v>110</v>
      </c>
      <c r="E11" s="1410" t="s">
        <v>309</v>
      </c>
      <c r="F11" s="1409" t="str">
        <f>IF(region_name="","",region_name)</f>
        <v>Приморский край</v>
      </c>
      <c r="G11" s="1410" t="s">
        <v>310</v>
      </c>
      <c r="H11" s="873"/>
      <c r="J11" s="853">
        <v>0</v>
      </c>
    </row>
    <row customHeight="1" ht="22.5" hidden="1">
      <c r="A12" s="855"/>
      <c r="B12" s="900"/>
      <c r="C12" s="855"/>
      <c r="D12" s="843" t="s">
        <v>110</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311</v>
      </c>
      <c r="G12" s="872"/>
      <c r="H12" s="873"/>
      <c r="J12" s="853">
        <v>0</v>
      </c>
    </row>
    <row customHeight="1" ht="23.25">
      <c r="A13" s="855"/>
      <c r="B13" s="900"/>
      <c r="C13" s="855"/>
      <c r="D13" s="843" t="s">
        <v>110</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312</v>
      </c>
      <c r="E14" s="1408" t="s">
        <v>313</v>
      </c>
      <c r="F14" s="1409" t="str">
        <f>IF(inn="","",inn)</f>
        <v>2543168948</v>
      </c>
      <c r="G14" s="1410" t="s">
        <v>314</v>
      </c>
      <c r="H14" s="873"/>
      <c r="J14" s="853">
        <v>0</v>
      </c>
    </row>
    <row customHeight="1" ht="22.5" hidden="1">
      <c r="A15" s="855"/>
      <c r="B15" s="900"/>
      <c r="C15" s="855"/>
      <c r="D15" s="1407" t="s">
        <v>315</v>
      </c>
      <c r="E15" s="1408" t="s">
        <v>316</v>
      </c>
      <c r="F15" s="1409" t="str">
        <f>IF(kpp="","",kpp)</f>
        <v>254301001</v>
      </c>
      <c r="G15" s="1410" t="s">
        <v>317</v>
      </c>
      <c r="H15" s="873"/>
      <c r="J15" s="853">
        <v>0</v>
      </c>
    </row>
    <row customHeight="1" ht="39">
      <c r="A16" s="855"/>
      <c r="B16" s="900"/>
      <c r="C16" s="855"/>
      <c r="D16" s="843" t="s">
        <v>111</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91</v>
      </c>
      <c r="E17" s="840" t="str">
        <f>"Дата присвоения ОГРН"&amp;IF(TEMPLATE_SPHERE="TKO",""," (ОГРНИП)")</f>
        <v>Дата присвоения ОГРН (ОГРНИП)</v>
      </c>
      <c r="F17" s="2130" t="s">
        <v>28</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92</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c r="A19" s="2600" t="s">
        <v>318</v>
      </c>
      <c r="B19" s="900"/>
      <c r="C19" s="2611"/>
      <c r="D19" s="843" t="str">
        <f>A19</f>
        <v>5.1</v>
      </c>
      <c r="E19" s="840" t="s">
        <v>319</v>
      </c>
      <c r="F19" s="841" t="s">
        <v>311</v>
      </c>
      <c r="G19" s="842" t="s">
        <v>320</v>
      </c>
      <c r="H19" s="873"/>
      <c r="I19" s="1250"/>
      <c r="J19" s="853">
        <v>0</v>
      </c>
    </row>
    <row customHeight="1" ht="24">
      <c r="A20" s="2600"/>
      <c r="B20" s="900"/>
      <c r="C20" s="2611"/>
      <c r="D20" s="838" t="str">
        <f>D19&amp;".1"</f>
        <v>5.1.1</v>
      </c>
      <c r="E20" s="837" t="s">
        <v>321</v>
      </c>
      <c r="F20" s="3657" t="s">
        <v>28</v>
      </c>
      <c r="G20" s="872"/>
      <c r="H20" s="873"/>
      <c r="I20" s="1250"/>
      <c r="J20" s="853">
        <v>0</v>
      </c>
    </row>
    <row customHeight="1" ht="22.5">
      <c r="A21" s="2600"/>
      <c r="B21" s="900"/>
      <c r="C21" s="2611"/>
      <c r="D21" s="838" t="str">
        <f>D19&amp;".2"</f>
        <v>5.1.2</v>
      </c>
      <c r="E21" s="837" t="s">
        <v>322</v>
      </c>
      <c r="F21" s="3137" t="s">
        <v>28</v>
      </c>
      <c r="G21" s="842" t="s">
        <v>323</v>
      </c>
      <c r="H21" s="873"/>
      <c r="I21" s="1250"/>
      <c r="J21" s="853">
        <v>0</v>
      </c>
    </row>
    <row customHeight="1" ht="22.5">
      <c r="A22" s="2600"/>
      <c r="B22" s="900"/>
      <c r="C22" s="2611"/>
      <c r="D22" s="838" t="str">
        <f>D19&amp;".3"</f>
        <v>5.1.3</v>
      </c>
      <c r="E22" s="837" t="s">
        <v>324</v>
      </c>
      <c r="F22" s="3657" t="s">
        <v>28</v>
      </c>
      <c r="G22" s="872"/>
      <c r="H22" s="873"/>
      <c r="I22" s="1250"/>
      <c r="J22" s="853">
        <v>0</v>
      </c>
    </row>
    <row customHeight="1" ht="22.5">
      <c r="A23" s="2600"/>
      <c r="B23" s="900"/>
      <c r="C23" s="2611"/>
      <c r="D23" s="838" t="str">
        <f>D19&amp;".4"</f>
        <v>5.1.4</v>
      </c>
      <c r="E23" s="837" t="s">
        <v>325</v>
      </c>
      <c r="F23" s="3657" t="s">
        <v>28</v>
      </c>
      <c r="G23" s="842" t="s">
        <v>326</v>
      </c>
      <c r="H23" s="873"/>
      <c r="I23" s="1250"/>
      <c r="J23" s="853">
        <v>0</v>
      </c>
    </row>
    <row customHeight="1" ht="22.5">
      <c r="A24" s="2376"/>
      <c r="B24" s="900"/>
      <c r="C24" s="890"/>
      <c r="D24" s="865"/>
      <c r="E24" s="1566" t="s">
        <v>327</v>
      </c>
      <c r="F24" s="866"/>
      <c r="G24" s="867"/>
      <c r="H24" s="873"/>
      <c r="I24" s="1250"/>
      <c r="J24" s="853">
        <v>0</v>
      </c>
    </row>
    <row s="24916" customFormat="1" customHeight="1" ht="24.75" hidden="1">
      <c r="A25" s="855"/>
      <c r="B25" s="900"/>
      <c r="C25" s="900"/>
      <c r="D25" s="1404" t="s">
        <v>91</v>
      </c>
      <c r="E25" s="1406" t="s">
        <v>328</v>
      </c>
      <c r="F25" s="1411" t="s">
        <v>311</v>
      </c>
      <c r="G25" s="1406"/>
      <c r="J25" s="899">
        <v>0</v>
      </c>
    </row>
    <row s="24916" customFormat="1" customHeight="1" ht="11.25" hidden="1">
      <c r="A26" s="855"/>
      <c r="B26" s="900"/>
      <c r="C26" s="900"/>
      <c r="D26" s="1404" t="s">
        <v>329</v>
      </c>
      <c r="E26" s="1405" t="s">
        <v>330</v>
      </c>
      <c r="F26" s="1411" t="s">
        <v>311</v>
      </c>
      <c r="G26" s="1406"/>
      <c r="J26" s="899">
        <v>0</v>
      </c>
    </row>
    <row s="24916" customFormat="1" customHeight="1" ht="11.25" hidden="1">
      <c r="A27" s="855"/>
      <c r="B27" s="900"/>
      <c r="C27" s="900"/>
      <c r="D27" s="1404" t="s">
        <v>331</v>
      </c>
      <c r="E27" s="1412" t="s">
        <v>332</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4916" customFormat="1" customHeight="1" ht="11.25" hidden="1">
      <c r="A28" s="855"/>
      <c r="B28" s="900"/>
      <c r="C28" s="900"/>
      <c r="D28" s="1404" t="s">
        <v>333</v>
      </c>
      <c r="E28" s="1412" t="s">
        <v>334</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4916" customFormat="1" customHeight="1" ht="11.25" hidden="1">
      <c r="A29" s="855"/>
      <c r="B29" s="900"/>
      <c r="C29" s="900"/>
      <c r="D29" s="1404" t="s">
        <v>335</v>
      </c>
      <c r="E29" s="1412" t="s">
        <v>336</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4916" customFormat="1" customHeight="1" ht="11.25" hidden="1">
      <c r="A30" s="855"/>
      <c r="B30" s="900"/>
      <c r="C30" s="900"/>
      <c r="D30" s="1404" t="s">
        <v>337</v>
      </c>
      <c r="E30" s="1405" t="s">
        <v>338</v>
      </c>
      <c r="F30" s="1413"/>
      <c r="G30" s="1406"/>
      <c r="J30" s="899">
        <v>0</v>
      </c>
    </row>
    <row s="24916" customFormat="1" customHeight="1" ht="11.25" hidden="1">
      <c r="A31" s="855"/>
      <c r="B31" s="900"/>
      <c r="C31" s="900"/>
      <c r="D31" s="1404" t="s">
        <v>339</v>
      </c>
      <c r="E31" s="1405" t="s">
        <v>340</v>
      </c>
      <c r="F31" s="1413"/>
      <c r="G31" s="1406"/>
      <c r="J31" s="899">
        <v>0</v>
      </c>
    </row>
    <row s="24916" customFormat="1" customHeight="1" ht="11.25" hidden="1">
      <c r="A32" s="855"/>
      <c r="B32" s="900"/>
      <c r="C32" s="900"/>
      <c r="D32" s="1404" t="s">
        <v>341</v>
      </c>
      <c r="E32" s="1405" t="s">
        <v>342</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311</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343</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343</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311</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344</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345</v>
      </c>
      <c r="H44" s="873"/>
      <c r="J44" s="853">
        <v>22</v>
      </c>
    </row>
    <row customHeight="1" ht="23.25">
      <c r="A45" s="855"/>
      <c r="B45" s="900"/>
      <c r="C45" s="855"/>
      <c r="D45" s="838">
        <f>D44+1</f>
        <v>12</v>
      </c>
      <c r="E45" s="836" t="s">
        <v>346</v>
      </c>
      <c r="F45" s="841" t="s">
        <v>311</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347</v>
      </c>
      <c r="H46" s="873"/>
      <c r="J46" s="853">
        <v>23</v>
      </c>
    </row>
    <row customHeight="1" ht="24">
      <c r="A47" s="2600"/>
      <c r="B47" s="900"/>
      <c r="C47" s="890"/>
      <c r="D47" s="838" t="str">
        <f>D45&amp;".2"</f>
        <v>12.2</v>
      </c>
      <c r="E47" s="840" t="s">
        <v>348</v>
      </c>
      <c r="F47" s="888"/>
      <c r="G47" s="835" t="s">
        <v>349</v>
      </c>
      <c r="H47" s="873"/>
      <c r="J47" s="853">
        <v>23</v>
      </c>
    </row>
    <row customHeight="1" ht="24">
      <c r="A48" s="2600"/>
      <c r="B48" s="900"/>
      <c r="C48" s="890"/>
      <c r="D48" s="838" t="str">
        <f>D45&amp;".3"</f>
        <v>12.3</v>
      </c>
      <c r="E48" s="840" t="s">
        <v>350</v>
      </c>
      <c r="F48" s="888"/>
      <c r="G48" s="835" t="s">
        <v>351</v>
      </c>
      <c r="H48" s="873"/>
      <c r="J48" s="853">
        <v>23</v>
      </c>
    </row>
    <row customHeight="1" ht="24">
      <c r="A49" s="2600"/>
      <c r="B49" s="900"/>
      <c r="C49" s="890"/>
      <c r="D49" s="838" t="str">
        <f>IF(TEMPLATE_SPHERE="TKO",D45&amp;".0",D45&amp;".4")</f>
        <v>12.4</v>
      </c>
      <c r="E49" s="834" t="s">
        <v>352</v>
      </c>
      <c r="F49" s="2083"/>
      <c r="G49" s="2160" t="s">
        <v>353</v>
      </c>
      <c r="H49" s="873"/>
      <c r="J49" s="853">
        <v>23</v>
      </c>
    </row>
    <row customHeight="1" ht="24">
      <c r="A50" s="855"/>
      <c r="B50" s="900"/>
      <c r="C50" s="855"/>
      <c r="D50" s="865"/>
      <c r="E50" s="813" t="s">
        <v>354</v>
      </c>
      <c r="F50" s="866"/>
      <c r="G50" s="2160" t="s">
        <v>355</v>
      </c>
      <c r="H50" s="874"/>
      <c r="J50" s="853">
        <v>23</v>
      </c>
    </row>
    <row customHeight="1" ht="24">
      <c r="A51" s="1256"/>
      <c r="B51" s="900"/>
      <c r="C51" s="890"/>
      <c r="D51" s="838">
        <f>D45+1</f>
        <v>13</v>
      </c>
      <c r="E51" s="926" t="s">
        <v>356</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4946"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4946"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83</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429F-DE13-BAAC-B38C-4F39BC36866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4318" width="9.140625" hidden="1" customWidth="1"/>
    <col min="2" max="2" style="24354" width="9.140625" hidden="1" customWidth="1"/>
    <col min="3" max="3" style="24523" width="3.00390625" customWidth="1"/>
    <col min="4" max="4" style="24354" width="5.00390625" customWidth="1"/>
    <col min="5" max="5" style="24354" width="48.00390625" customWidth="1"/>
    <col min="6" max="6" style="24354" width="38.00390625" customWidth="1"/>
    <col min="7" max="7" style="24354" width="1.7109375" hidden="1" customWidth="1"/>
    <col min="8" max="11" style="24354" width="19.8515625" customWidth="1"/>
    <col min="12" max="12" style="24354" width="9.7109375" customWidth="1"/>
    <col min="13" max="18" style="24354" width="19.8515625" customWidth="1"/>
    <col min="19" max="19" style="24354" width="1.7109375" hidden="1" customWidth="1"/>
    <col min="20" max="22" style="24354" width="19.8515625" hidden="1" customWidth="1"/>
    <col min="23" max="23" style="24354" width="1.7109375" hidden="1" customWidth="1"/>
    <col min="24" max="26" style="24354" width="19.8515625" hidden="1" customWidth="1"/>
    <col min="27" max="27" style="24354" width="1.7109375" hidden="1" customWidth="1"/>
    <col min="28" max="29" style="24354" width="19.8515625" hidden="1" customWidth="1"/>
    <col min="30" max="30" style="24354" width="1.7109375" hidden="1" customWidth="1"/>
    <col min="31" max="31" style="24354" width="103.7109375" customWidth="1"/>
    <col min="32" max="34" style="24354" width="103.7109375" hidden="1" customWidth="1"/>
    <col min="35" max="35" style="24450" width="3.00390625" customWidth="1"/>
    <col min="36" max="38" style="24435" width="10.00390625" customWidth="1"/>
    <col min="39" max="39" style="24435" width="13.7109375" hidden="1" customWidth="1"/>
    <col min="40" max="40" style="24435" width="15.00390625" customWidth="1"/>
    <col min="41" max="41" style="24435" width="16.00390625" customWidth="1"/>
    <col min="42" max="45" style="24435" width="10.00390625" customWidth="1"/>
    <col min="46" max="46" style="24354" width="10.57421875" hidden="1"/>
  </cols>
  <sheetData>
    <row customHeight="1" ht="22.5" hidden="1">
      <c r="E1" s="810"/>
      <c r="F1" s="810"/>
      <c r="G1" s="810"/>
      <c r="H1" s="2615" t="s">
        <v>357</v>
      </c>
      <c r="I1" s="2615"/>
      <c r="J1" s="2615"/>
      <c r="K1" s="2615"/>
      <c r="L1" s="2615"/>
      <c r="M1" s="2615"/>
      <c r="N1" s="2615"/>
      <c r="O1" s="2615"/>
      <c r="P1" s="2615"/>
      <c r="Q1" s="2615"/>
      <c r="R1" s="2615"/>
      <c r="T1" s="2615" t="s">
        <v>358</v>
      </c>
      <c r="U1" s="2615"/>
      <c r="V1" s="2615"/>
      <c r="X1" s="2615" t="s">
        <v>359</v>
      </c>
      <c r="Y1" s="2615"/>
      <c r="Z1" s="2615"/>
      <c r="AB1" s="2615" t="s">
        <v>360</v>
      </c>
      <c r="AC1" s="2615"/>
      <c r="AT1" s="845" t="s">
        <v>14</v>
      </c>
    </row>
    <row customHeight="1" ht="14.25" hidden="1">
      <c r="AT2" s="845">
        <v>0</v>
      </c>
    </row>
    <row s="24965" customFormat="1" customHeight="1" ht="5.25">
      <c r="C3" s="1099"/>
      <c r="D3" s="1100"/>
      <c r="E3" s="1100"/>
      <c r="F3" s="1100"/>
      <c r="G3" s="1100"/>
      <c r="H3" s="1100" t="s">
        <v>361</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4354" customFormat="1" customHeight="1" ht="18">
      <c r="A5" s="1157"/>
      <c r="C5" s="1220"/>
      <c r="D5" s="2612" t="str">
        <f>IF(org=0,"Не определено",org)</f>
        <v>ООО "Новая Энергетика"</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4329"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305</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306</v>
      </c>
      <c r="AF7" s="2621" t="s">
        <v>306</v>
      </c>
      <c r="AG7" s="2621" t="s">
        <v>306</v>
      </c>
      <c r="AH7" s="2621" t="s">
        <v>306</v>
      </c>
      <c r="AT7" s="845">
        <v>14</v>
      </c>
    </row>
    <row customHeight="1" ht="27.299999999999997">
      <c r="C8" s="848"/>
      <c r="D8" s="2525" t="s">
        <v>89</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362</v>
      </c>
      <c r="I8" s="2624" t="s">
        <v>363</v>
      </c>
      <c r="J8" s="2621" t="s">
        <v>364</v>
      </c>
      <c r="K8" s="2621"/>
      <c r="L8" s="2621"/>
      <c r="M8" s="2616"/>
      <c r="N8" s="2621" t="s">
        <v>365</v>
      </c>
      <c r="O8" s="2621"/>
      <c r="P8" s="2621" t="s">
        <v>366</v>
      </c>
      <c r="Q8" s="2621"/>
      <c r="R8" s="2628" t="s">
        <v>367</v>
      </c>
      <c r="S8" s="1222"/>
      <c r="T8" s="2626" t="s">
        <v>368</v>
      </c>
      <c r="U8" s="2626" t="s">
        <v>369</v>
      </c>
      <c r="V8" s="2626" t="s">
        <v>370</v>
      </c>
      <c r="W8" s="1224"/>
      <c r="X8" s="2626" t="s">
        <v>371</v>
      </c>
      <c r="Y8" s="2626" t="s">
        <v>372</v>
      </c>
      <c r="Z8" s="2626" t="s">
        <v>373</v>
      </c>
      <c r="AA8" s="1224"/>
      <c r="AB8" s="2626" t="s">
        <v>374</v>
      </c>
      <c r="AC8" s="2626" t="s">
        <v>367</v>
      </c>
      <c r="AD8" s="1224"/>
      <c r="AE8" s="2621"/>
      <c r="AF8" s="2621"/>
      <c r="AG8" s="2621"/>
      <c r="AH8" s="2621"/>
      <c r="AT8" s="845">
        <v>26</v>
      </c>
    </row>
    <row customHeight="1" ht="46.199999999999996">
      <c r="C9" s="848"/>
      <c r="D9" s="2525"/>
      <c r="E9" s="2621"/>
      <c r="F9" s="2621"/>
      <c r="G9" s="1227"/>
      <c r="H9" s="2623"/>
      <c r="I9" s="2625"/>
      <c r="J9" s="823" t="s">
        <v>375</v>
      </c>
      <c r="K9" s="823" t="s">
        <v>376</v>
      </c>
      <c r="L9" s="823" t="s">
        <v>377</v>
      </c>
      <c r="M9" s="829" t="s">
        <v>378</v>
      </c>
      <c r="N9" s="823" t="s">
        <v>379</v>
      </c>
      <c r="O9" s="823" t="s">
        <v>378</v>
      </c>
      <c r="P9" s="823" t="s">
        <v>380</v>
      </c>
      <c r="Q9" s="823" t="s">
        <v>378</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5006" customFormat="1" customHeight="1" ht="11.25" hidden="1">
      <c r="C11" s="896"/>
      <c r="D11" s="897" t="s">
        <v>381</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110</v>
      </c>
      <c r="E12" s="2175" t="s">
        <v>28</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382</v>
      </c>
      <c r="AF12" s="2619" t="s">
        <v>383</v>
      </c>
      <c r="AG12" s="2619" t="s">
        <v>384</v>
      </c>
      <c r="AH12" s="2619" t="s">
        <v>385</v>
      </c>
      <c r="AI12" s="845"/>
      <c r="AM12" s="909"/>
      <c r="AP12" s="898" t="s">
        <v>386</v>
      </c>
      <c r="AQ12" s="898" t="s">
        <v>386</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83</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7A801-34D7-1BBD-5201-CF956CF7331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4318" width="9.140625" hidden="1" customWidth="1"/>
    <col min="2" max="2" style="24354" width="9.140625" hidden="1" customWidth="1"/>
    <col min="3" max="3" style="24523" width="3.00390625" customWidth="1"/>
    <col min="4" max="4" style="24354" width="5.00390625" customWidth="1"/>
    <col min="5" max="5" style="24354" width="38.00390625" customWidth="1"/>
    <col min="6" max="7" style="24354" width="3.00390625" customWidth="1"/>
    <col min="8" max="8" style="24354" width="38.00390625" customWidth="1"/>
    <col min="9" max="9" style="24354" width="35.00390625" customWidth="1"/>
    <col min="10" max="10" style="24354" width="103.00390625" customWidth="1"/>
    <col min="11" max="11" style="24450" width="3.00390625" customWidth="1"/>
    <col min="12" max="14" style="24435" width="10.00390625" customWidth="1"/>
    <col min="15" max="15" style="24435" width="13.00390625" customWidth="1"/>
    <col min="16" max="16" style="24435" width="15.00390625" customWidth="1"/>
    <col min="17" max="17" style="24435" width="16.00390625" customWidth="1"/>
    <col min="18" max="21" style="24435" width="10.00390625" customWidth="1"/>
    <col min="22" max="22" style="24354" width="10.57421875" hidden="1"/>
  </cols>
  <sheetData>
    <row customHeight="1" ht="22.5" hidden="1">
      <c r="E1" s="810"/>
      <c r="F1" s="810"/>
      <c r="G1" s="810"/>
      <c r="H1" s="2615" t="s">
        <v>357</v>
      </c>
      <c r="I1" s="2615"/>
      <c r="V1" s="2005" t="s">
        <v>14</v>
      </c>
    </row>
    <row s="24354" customFormat="1" customHeight="1" ht="14.25" hidden="1">
      <c r="C2" s="2017"/>
      <c r="D2" s="2631" t="s">
        <v>110</v>
      </c>
      <c r="E2" s="2633"/>
      <c r="F2" s="2023"/>
      <c r="G2" s="2018" t="s">
        <v>110</v>
      </c>
      <c r="H2" s="2021"/>
      <c r="I2" s="2019"/>
      <c r="L2" s="2020"/>
      <c r="M2" s="2020"/>
      <c r="N2" s="2020"/>
      <c r="O2" s="2020" t="s">
        <v>387</v>
      </c>
      <c r="P2" s="2020"/>
      <c r="Q2" s="2020"/>
      <c r="R2" s="2022" t="s">
        <v>386</v>
      </c>
      <c r="S2" s="2022" t="s">
        <v>386</v>
      </c>
      <c r="T2" s="2020"/>
      <c r="U2" s="2020"/>
      <c r="V2" s="2016">
        <v>0</v>
      </c>
    </row>
    <row s="24354" customFormat="1" customHeight="1" ht="14.25" hidden="1">
      <c r="C3" s="2017"/>
      <c r="D3" s="2632"/>
      <c r="E3" s="2634"/>
      <c r="F3" s="803"/>
      <c r="G3" s="1267"/>
      <c r="H3" s="1267" t="s">
        <v>388</v>
      </c>
      <c r="I3" s="711"/>
      <c r="L3" s="2020"/>
      <c r="M3" s="2020"/>
      <c r="N3" s="2020"/>
      <c r="O3" s="2020"/>
      <c r="P3" s="2020"/>
      <c r="Q3" s="2020"/>
      <c r="R3" s="2022"/>
      <c r="S3" s="2022"/>
      <c r="T3" s="2020"/>
      <c r="U3" s="2020"/>
      <c r="V3" s="2016">
        <v>0</v>
      </c>
    </row>
    <row customHeight="1" ht="14.25" hidden="1">
      <c r="V4" s="2005">
        <v>0</v>
      </c>
    </row>
    <row s="24965" customFormat="1" customHeight="1" ht="5.25">
      <c r="C5" s="1099"/>
      <c r="D5" s="1100"/>
      <c r="E5" s="1100"/>
      <c r="F5" s="1100"/>
      <c r="G5" s="1100"/>
      <c r="H5" s="1100" t="s">
        <v>361</v>
      </c>
      <c r="I5" s="1100"/>
      <c r="J5" s="1100"/>
      <c r="L5" s="2012"/>
      <c r="M5" s="2012"/>
      <c r="N5" s="2012"/>
      <c r="O5" s="2012"/>
      <c r="P5" s="2012"/>
      <c r="Q5" s="2012"/>
      <c r="R5" s="2012"/>
      <c r="S5" s="2012"/>
      <c r="T5" s="2012"/>
      <c r="U5" s="2012"/>
      <c r="V5" s="2011">
        <v>5</v>
      </c>
    </row>
    <row customHeight="1" ht="29.25">
      <c r="C6" s="1914"/>
      <c r="D6" s="2635" t="s">
        <v>389</v>
      </c>
      <c r="E6" s="2635"/>
      <c r="F6" s="2635"/>
      <c r="G6" s="2635"/>
      <c r="H6" s="2635"/>
      <c r="I6" s="2635"/>
      <c r="J6" s="889"/>
      <c r="K6" s="2013"/>
      <c r="V6" s="2005">
        <v>28</v>
      </c>
    </row>
    <row customHeight="1" ht="18">
      <c r="C7" s="1914"/>
      <c r="D7" s="2574" t="str">
        <f>IF(org=0,"Не определено",org)</f>
        <v>ООО "Новая Энергетика"</v>
      </c>
      <c r="E7" s="2574"/>
      <c r="F7" s="2574"/>
      <c r="G7" s="2574"/>
      <c r="H7" s="2574"/>
      <c r="I7" s="2574"/>
      <c r="J7" s="889"/>
      <c r="K7" s="2013"/>
      <c r="V7" s="2005">
        <v>17</v>
      </c>
    </row>
    <row s="24329"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4329"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305</v>
      </c>
      <c r="E10" s="2617"/>
      <c r="F10" s="2617"/>
      <c r="G10" s="2617"/>
      <c r="H10" s="2617"/>
      <c r="I10" s="2617"/>
      <c r="J10" s="2621" t="s">
        <v>306</v>
      </c>
      <c r="V10" s="2005">
        <v>14</v>
      </c>
    </row>
    <row customHeight="1" ht="27.299999999999997">
      <c r="C11" s="1914"/>
      <c r="D11" s="2525" t="s">
        <v>89</v>
      </c>
      <c r="E11" s="2621" t="s">
        <v>106</v>
      </c>
      <c r="F11" s="2590" t="s">
        <v>89</v>
      </c>
      <c r="G11" s="2591"/>
      <c r="H11" s="2573" t="s">
        <v>390</v>
      </c>
      <c r="I11" s="2573" t="s">
        <v>391</v>
      </c>
      <c r="J11" s="2621"/>
      <c r="V11" s="2005">
        <v>26</v>
      </c>
    </row>
    <row customHeight="1" ht="14.699999999999998">
      <c r="C12" s="1914"/>
      <c r="D12" s="2525"/>
      <c r="E12" s="2621"/>
      <c r="F12" s="2598"/>
      <c r="G12" s="2599"/>
      <c r="H12" s="2630"/>
      <c r="I12" s="2630"/>
      <c r="J12" s="2621"/>
      <c r="V12" s="2005">
        <v>14</v>
      </c>
    </row>
    <row s="25006" customFormat="1" customHeight="1" ht="11.25" hidden="1">
      <c r="C13" s="896"/>
      <c r="D13" s="897" t="s">
        <v>381</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110</v>
      </c>
      <c r="E14" s="2633"/>
      <c r="F14" s="2015"/>
      <c r="G14" s="2014" t="s">
        <v>110</v>
      </c>
      <c r="H14" s="2021"/>
      <c r="I14" s="2019"/>
      <c r="J14" s="2567" t="s">
        <v>392</v>
      </c>
      <c r="K14" s="2005"/>
      <c r="R14" s="898" t="s">
        <v>386</v>
      </c>
      <c r="S14" s="898" t="s">
        <v>386</v>
      </c>
      <c r="V14" s="2005">
        <v>14</v>
      </c>
    </row>
    <row customHeight="1" ht="14.699999999999998">
      <c r="A15" s="2005"/>
      <c r="C15" s="1914"/>
      <c r="D15" s="2632"/>
      <c r="E15" s="2634"/>
      <c r="F15" s="803"/>
      <c r="G15" s="1267"/>
      <c r="H15" s="1267" t="s">
        <v>388</v>
      </c>
      <c r="I15" s="711"/>
      <c r="J15" s="2568"/>
      <c r="K15" s="2005"/>
      <c r="R15" s="898"/>
      <c r="S15" s="898"/>
      <c r="V15" s="2005">
        <v>14</v>
      </c>
    </row>
    <row customHeight="1" ht="14.699999999999998">
      <c r="A16" s="2005"/>
      <c r="C16" s="1914"/>
      <c r="D16" s="803"/>
      <c r="E16" s="1267" t="s">
        <v>122</v>
      </c>
      <c r="F16" s="711"/>
      <c r="G16" s="711"/>
      <c r="H16" s="804"/>
      <c r="I16" s="804"/>
      <c r="J16" s="2569"/>
      <c r="K16" s="2005"/>
      <c r="V16" s="2005">
        <v>14</v>
      </c>
    </row>
    <row customHeight="1" ht="14.699999999999998">
      <c r="K17" s="2005"/>
      <c r="V17" s="2005">
        <v>14</v>
      </c>
    </row>
    <row customHeight="1" ht="22.5" hidden="1">
      <c r="A18" s="2006" t="s">
        <v>83</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A1527-D67C-3511-ECF9-9FB8EC7F5FB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4318" width="9.140625" hidden="1" customWidth="1"/>
    <col min="2" max="3" style="24354" width="9.140625" hidden="1" customWidth="1"/>
    <col min="4" max="4" style="24523" width="3.00390625" customWidth="1"/>
    <col min="5" max="5" style="24354" width="6.00390625" customWidth="1"/>
    <col min="6" max="6" style="24354" width="1.7109375" hidden="1" customWidth="1"/>
    <col min="7" max="8" style="24354" width="30.00390625" customWidth="1"/>
    <col min="9" max="9" style="24354" width="8.00390625" customWidth="1"/>
    <col min="10" max="10" style="24354" width="12.140625" customWidth="1"/>
    <col min="11" max="11" style="24354" width="46.00390625" customWidth="1"/>
    <col min="12" max="12" style="24354" width="100.00390625" customWidth="1"/>
    <col min="13" max="13" style="24450" width="7.00390625" customWidth="1"/>
    <col min="14" max="22" style="24354" width="10.00390625" customWidth="1"/>
    <col min="23" max="23" style="24354" width="10.57421875" hidden="1"/>
  </cols>
  <sheetData>
    <row s="24435" customFormat="1" customHeight="1" ht="5.25" hidden="1">
      <c r="C1" s="909"/>
      <c r="D1" s="892"/>
      <c r="F1" s="909"/>
      <c r="G1" s="887" t="s">
        <v>84</v>
      </c>
      <c r="H1" s="887" t="s">
        <v>85</v>
      </c>
      <c r="I1" s="887" t="s">
        <v>86</v>
      </c>
      <c r="P1" s="887" t="s">
        <v>84</v>
      </c>
      <c r="Q1" s="887" t="s">
        <v>85</v>
      </c>
      <c r="R1" s="887" t="s">
        <v>86</v>
      </c>
      <c r="W1" s="887" t="s">
        <v>14</v>
      </c>
    </row>
    <row s="24435" customFormat="1" customHeight="1" ht="5.25" hidden="1">
      <c r="C2" s="909"/>
      <c r="D2" s="892"/>
      <c r="F2" s="909"/>
      <c r="W2" s="887">
        <v>0</v>
      </c>
    </row>
    <row s="24329" customFormat="1" customHeight="1" ht="5.25">
      <c r="A3" s="877"/>
      <c r="D3" s="884"/>
      <c r="E3" s="879"/>
      <c r="F3" s="879"/>
      <c r="G3" s="879"/>
      <c r="H3" s="879"/>
      <c r="I3" s="880"/>
      <c r="J3" s="881"/>
      <c r="K3" s="881"/>
      <c r="L3" s="881"/>
      <c r="W3" s="878">
        <v>5</v>
      </c>
    </row>
    <row customHeight="1" ht="23.25">
      <c r="D4" s="848"/>
      <c r="E4" s="2636" t="s">
        <v>393</v>
      </c>
      <c r="F4" s="2636"/>
      <c r="G4" s="2637"/>
      <c r="H4" s="2637"/>
      <c r="I4" s="2638"/>
      <c r="J4" s="889"/>
      <c r="K4" s="851"/>
      <c r="L4" s="851"/>
      <c r="W4" s="845">
        <v>22</v>
      </c>
    </row>
    <row s="24354" customFormat="1" customHeight="1" ht="18">
      <c r="A5" s="1157"/>
      <c r="D5" s="1220"/>
      <c r="E5" s="2612" t="str">
        <f>IF(org=0,"Не определено",org)</f>
        <v>ООО "Новая Энергетика"</v>
      </c>
      <c r="F5" s="2612"/>
      <c r="G5" s="2613"/>
      <c r="H5" s="2613"/>
      <c r="I5" s="2614"/>
      <c r="J5" s="889"/>
      <c r="K5" s="851"/>
      <c r="L5" s="851"/>
      <c r="M5" s="905"/>
      <c r="W5" s="1156">
        <v>17</v>
      </c>
    </row>
    <row s="24329" customFormat="1" customHeight="1" ht="11.549999999999999">
      <c r="A6" s="877"/>
      <c r="D6" s="884"/>
      <c r="E6" s="879"/>
      <c r="F6" s="879"/>
      <c r="G6" s="882"/>
      <c r="H6" s="882"/>
      <c r="I6" s="883"/>
      <c r="J6" s="883"/>
      <c r="K6" s="1150"/>
      <c r="L6" s="883"/>
      <c r="W6" s="878">
        <v>11</v>
      </c>
    </row>
    <row customHeight="1" ht="14.699999999999998">
      <c r="D7" s="848"/>
      <c r="E7" s="2606" t="s">
        <v>305</v>
      </c>
      <c r="F7" s="2606"/>
      <c r="G7" s="2607"/>
      <c r="H7" s="2607"/>
      <c r="I7" s="2607"/>
      <c r="J7" s="2607"/>
      <c r="K7" s="2607"/>
      <c r="L7" s="2621" t="s">
        <v>306</v>
      </c>
      <c r="W7" s="845">
        <v>14</v>
      </c>
    </row>
    <row customHeight="1" ht="48.29999999999999">
      <c r="D8" s="848"/>
      <c r="E8" s="871" t="s">
        <v>89</v>
      </c>
      <c r="F8" s="1221"/>
      <c r="G8" s="863" t="s">
        <v>87</v>
      </c>
      <c r="H8" s="863" t="s">
        <v>88</v>
      </c>
      <c r="I8" s="812" t="s">
        <v>86</v>
      </c>
      <c r="J8" s="812" t="s">
        <v>394</v>
      </c>
      <c r="K8" s="812" t="s">
        <v>395</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396</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4329" customFormat="1" customHeight="1" ht="15">
      <c r="A12" s="2497"/>
      <c r="B12" s="902"/>
      <c r="C12" s="902"/>
      <c r="D12" s="1264"/>
      <c r="E12" s="1221">
        <v>1</v>
      </c>
      <c r="F12" s="1262">
        <v>23</v>
      </c>
      <c r="G12" s="1261"/>
      <c r="H12" s="1191"/>
      <c r="I12" s="1189"/>
      <c r="J12" s="918" t="s">
        <v>67</v>
      </c>
      <c r="K12" s="1562" t="s">
        <v>28</v>
      </c>
      <c r="L12" s="2639"/>
      <c r="M12" s="909"/>
      <c r="N12" s="909"/>
      <c r="O12" s="909"/>
      <c r="P12" s="914" t="s">
        <v>397</v>
      </c>
      <c r="Q12" s="914" t="s">
        <v>398</v>
      </c>
      <c r="R12" s="915" t="s">
        <v>399</v>
      </c>
      <c r="S12" s="909" t="s">
        <v>400</v>
      </c>
      <c r="T12" s="909"/>
      <c r="U12" s="909"/>
      <c r="V12" s="909"/>
      <c r="W12" s="878">
        <v>14</v>
      </c>
    </row>
    <row customHeight="1" ht="15.75">
      <c r="A13" s="2497"/>
      <c r="B13" s="903"/>
      <c r="D13" s="904"/>
      <c r="E13" s="803"/>
      <c r="F13" s="927"/>
      <c r="G13" s="814" t="s">
        <v>103</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83</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C149E-D14D-0006-3786-82D93E152A92}" mc:Ignorable="x14ac xr xr2 xr3">
  <sheetPr>
    <tabColor theme="6" tint="0.4"/>
  </sheetPr>
  <dimension ref="A1:FI69"/>
  <sheetViews>
    <sheetView topLeftCell="A1" showGridLines="0" zoomScale="90" workbookViewId="0">
      <selection activeCell="ET53" sqref="ET53"/>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3.140625" customWidth="1"/>
    <col min="35" max="35" style="24354" width="3.7109375" customWidth="1"/>
    <col min="36" max="36" style="24354" width="12.7109375" customWidth="1"/>
    <col min="37" max="37" style="24354" width="8.57421875" customWidth="1"/>
    <col min="42" max="42" style="26196" width="16.8515625" customWidth="1"/>
    <col min="44" max="44" style="26196" width="19.57421875" customWidth="1"/>
    <col min="49" max="49" style="26196" width="7.28125" customWidth="1"/>
    <col min="50" max="50" style="26196" width="12.8515625" customWidth="1"/>
    <col min="52" max="52" style="26196" width="12.7109375" customWidth="1"/>
    <col min="58" max="58" style="26196" width="12.421875" customWidth="1"/>
    <col min="60" max="60" style="26196" width="15.421875" customWidth="1"/>
    <col min="66" max="66" style="26196" width="13.28125" customWidth="1"/>
    <col min="68" max="68" style="26196" width="14.57421875" customWidth="1"/>
    <col min="74" max="74" style="26196" width="12.8515625" customWidth="1"/>
    <col min="76" max="76" style="26196" width="16.8515625" customWidth="1"/>
    <col min="81" max="81" style="26196" width="6.28125" customWidth="1"/>
    <col min="82" max="82" style="26196" width="14.00390625" customWidth="1"/>
    <col min="84" max="84" style="26196" width="14.7109375" customWidth="1"/>
    <col min="90" max="90" style="26196" width="13.28125" customWidth="1"/>
    <col min="92" max="92" style="26196" width="13.140625" customWidth="1"/>
    <col min="98" max="98" style="26196" width="11.7109375" customWidth="1"/>
    <col min="100" max="100" style="26196" width="13.421875" customWidth="1"/>
    <col min="106" max="106" style="26196" width="13.00390625" customWidth="1"/>
    <col min="108" max="108" style="26196" width="14.140625" customWidth="1"/>
    <col min="114" max="114" style="26196" width="13.8515625" customWidth="1"/>
    <col min="116" max="116" style="26196" width="15.421875" customWidth="1"/>
    <col min="122" max="122" style="26196" width="14.7109375" customWidth="1"/>
    <col min="124" max="124" style="26196" width="14.140625" customWidth="1"/>
    <col min="130" max="130" style="26196" width="14.00390625" customWidth="1"/>
    <col min="132" max="132" style="26196" width="14.8515625" customWidth="1"/>
    <col min="138" max="138" style="26196" width="13.140625" customWidth="1"/>
    <col min="140" max="140" style="26196" width="13.421875" customWidth="1"/>
    <col min="146" max="146" style="26196" width="13.8515625" customWidth="1"/>
    <col min="154" max="154" style="26196" width="12.8515625" customWidth="1"/>
    <col min="156" max="156" style="26196" width="16.28125" customWidth="1"/>
    <col min="157" max="157" style="26196" width="10.57421875" hidden="1"/>
    <col min="158" max="158" style="24354" width="4.00390625" customWidth="1"/>
    <col min="159" max="159" style="24354" width="115.00390625" customWidth="1"/>
    <col min="160" max="164" style="24435" width="10.00390625" customWidth="1"/>
    <col min="165" max="165" style="24354" width="10.57421875" hidden="1"/>
  </cols>
  <sheetData>
    <row customHeight="1" ht="22.5" hidden="1">
      <c r="Y1" s="725"/>
      <c r="Z1" s="725"/>
      <c r="AG1" s="725"/>
      <c r="AH1" s="725"/>
      <c r="AL1" s="3835"/>
      <c r="AM1" s="3835"/>
      <c r="AN1" s="3835"/>
      <c r="AO1" s="3835"/>
      <c r="AP1" s="3835"/>
      <c r="AQ1" s="3835"/>
      <c r="AR1" s="3835"/>
      <c r="AS1" s="3835"/>
      <c r="AT1" s="3835"/>
      <c r="AU1" s="3835"/>
      <c r="AV1" s="3835"/>
      <c r="AW1" s="3835"/>
      <c r="AX1" s="3835"/>
      <c r="AY1" s="3835"/>
      <c r="AZ1" s="3835"/>
      <c r="BA1" s="3835"/>
      <c r="BB1" s="3835"/>
      <c r="BC1" s="3835"/>
      <c r="BD1" s="3835"/>
      <c r="BE1" s="3835"/>
      <c r="BF1" s="3835"/>
      <c r="BG1" s="3835"/>
      <c r="BH1" s="3835"/>
      <c r="BI1" s="3835"/>
      <c r="BJ1" s="3835"/>
      <c r="BK1" s="3835"/>
      <c r="BL1" s="3835"/>
      <c r="BM1" s="3835"/>
      <c r="BN1" s="3835"/>
      <c r="BO1" s="3835"/>
      <c r="BP1" s="3835"/>
      <c r="BQ1" s="3835"/>
      <c r="BR1" s="3835"/>
      <c r="BS1" s="3835"/>
      <c r="BT1" s="3835"/>
      <c r="BU1" s="3835"/>
      <c r="BV1" s="3835"/>
      <c r="BW1" s="3835"/>
      <c r="BX1" s="3835"/>
      <c r="BY1" s="3835"/>
      <c r="BZ1" s="3835"/>
      <c r="CA1" s="3835"/>
      <c r="CB1" s="3835"/>
      <c r="CC1" s="3835"/>
      <c r="CD1" s="3835"/>
      <c r="CE1" s="3835"/>
      <c r="CF1" s="3835"/>
      <c r="CG1" s="3835"/>
      <c r="CH1" s="3835"/>
      <c r="CI1" s="3835"/>
      <c r="CJ1" s="3835"/>
      <c r="CK1" s="3835"/>
      <c r="CL1" s="3835"/>
      <c r="CM1" s="3835"/>
      <c r="CN1" s="3835"/>
      <c r="CO1" s="3835"/>
      <c r="CP1" s="3835"/>
      <c r="CQ1" s="3835"/>
      <c r="CR1" s="3835"/>
      <c r="CS1" s="3835"/>
      <c r="CT1" s="3835"/>
      <c r="CU1" s="3835"/>
      <c r="CV1" s="3835"/>
      <c r="CW1" s="3835"/>
      <c r="CX1" s="3835"/>
      <c r="CY1" s="3835"/>
      <c r="CZ1" s="3835"/>
      <c r="DA1" s="3835"/>
      <c r="DB1" s="3835"/>
      <c r="DC1" s="3835"/>
      <c r="DD1" s="3835"/>
      <c r="DE1" s="3835"/>
      <c r="DF1" s="3835"/>
      <c r="DG1" s="3835"/>
      <c r="DH1" s="3835"/>
      <c r="DI1" s="3835"/>
      <c r="DJ1" s="3835"/>
      <c r="DK1" s="3835"/>
      <c r="DL1" s="3835"/>
      <c r="DM1" s="3835"/>
      <c r="DN1" s="3835"/>
      <c r="DO1" s="3835"/>
      <c r="DP1" s="3835"/>
      <c r="DQ1" s="3835"/>
      <c r="DR1" s="3835"/>
      <c r="DS1" s="3835"/>
      <c r="DT1" s="3835"/>
      <c r="DU1" s="3835"/>
      <c r="DV1" s="3835"/>
      <c r="DW1" s="3835"/>
      <c r="DX1" s="3835"/>
      <c r="DY1" s="3835"/>
      <c r="DZ1" s="3835"/>
      <c r="EA1" s="3835"/>
      <c r="EB1" s="3835"/>
      <c r="EC1" s="3835"/>
      <c r="ED1" s="3835"/>
      <c r="EE1" s="3835"/>
      <c r="EF1" s="3835"/>
      <c r="EG1" s="3835"/>
      <c r="EH1" s="3835"/>
      <c r="EI1" s="3835"/>
      <c r="EJ1" s="3835"/>
      <c r="EK1" s="3835"/>
      <c r="EL1" s="3835"/>
      <c r="EM1" s="3835"/>
      <c r="EN1" s="3835"/>
      <c r="EO1" s="3835"/>
      <c r="EP1" s="3835"/>
      <c r="EQ1" s="3835"/>
      <c r="ER1" s="3835"/>
      <c r="ES1" s="3835"/>
      <c r="ET1" s="3835"/>
      <c r="EU1" s="3835"/>
      <c r="EV1" s="3835"/>
      <c r="EW1" s="3835"/>
      <c r="EX1" s="3835"/>
      <c r="EY1" s="3835"/>
      <c r="EZ1" s="3835"/>
      <c r="FA1" s="3835"/>
      <c r="FI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3849"/>
      <c r="AM2" s="3850"/>
      <c r="AN2" s="3850"/>
      <c r="AO2" s="3850"/>
      <c r="AP2" s="3850"/>
      <c r="AQ2" s="3850"/>
      <c r="AR2" s="3850"/>
      <c r="AS2" s="3851"/>
      <c r="AT2" s="3849"/>
      <c r="AU2" s="3850"/>
      <c r="AV2" s="3850"/>
      <c r="AW2" s="3850"/>
      <c r="AX2" s="3850"/>
      <c r="AY2" s="3850"/>
      <c r="AZ2" s="3850"/>
      <c r="BA2" s="3851"/>
      <c r="BB2" s="3849"/>
      <c r="BC2" s="3850"/>
      <c r="BD2" s="3850"/>
      <c r="BE2" s="3850"/>
      <c r="BF2" s="3850"/>
      <c r="BG2" s="3850"/>
      <c r="BH2" s="3850"/>
      <c r="BI2" s="3851"/>
      <c r="BJ2" s="3849"/>
      <c r="BK2" s="3850"/>
      <c r="BL2" s="3850"/>
      <c r="BM2" s="3850"/>
      <c r="BN2" s="3850"/>
      <c r="BO2" s="3850"/>
      <c r="BP2" s="3850"/>
      <c r="BQ2" s="3851"/>
      <c r="BR2" s="3849"/>
      <c r="BS2" s="3850"/>
      <c r="BT2" s="3850"/>
      <c r="BU2" s="3850"/>
      <c r="BV2" s="3850"/>
      <c r="BW2" s="3850"/>
      <c r="BX2" s="3850"/>
      <c r="BY2" s="3851"/>
      <c r="BZ2" s="3849"/>
      <c r="CA2" s="3850"/>
      <c r="CB2" s="3850"/>
      <c r="CC2" s="3850"/>
      <c r="CD2" s="3850"/>
      <c r="CE2" s="3850"/>
      <c r="CF2" s="3850"/>
      <c r="CG2" s="3851"/>
      <c r="CH2" s="3849"/>
      <c r="CI2" s="3850"/>
      <c r="CJ2" s="3850"/>
      <c r="CK2" s="3850"/>
      <c r="CL2" s="3850"/>
      <c r="CM2" s="3850"/>
      <c r="CN2" s="3850"/>
      <c r="CO2" s="3851"/>
      <c r="CP2" s="3849"/>
      <c r="CQ2" s="3850"/>
      <c r="CR2" s="3850"/>
      <c r="CS2" s="3850"/>
      <c r="CT2" s="3850"/>
      <c r="CU2" s="3850"/>
      <c r="CV2" s="3850"/>
      <c r="CW2" s="3851"/>
      <c r="CX2" s="3849"/>
      <c r="CY2" s="3850"/>
      <c r="CZ2" s="3850"/>
      <c r="DA2" s="3850"/>
      <c r="DB2" s="3850"/>
      <c r="DC2" s="3850"/>
      <c r="DD2" s="3850"/>
      <c r="DE2" s="3851"/>
      <c r="DF2" s="3849"/>
      <c r="DG2" s="3850"/>
      <c r="DH2" s="3850"/>
      <c r="DI2" s="3850"/>
      <c r="DJ2" s="3850"/>
      <c r="DK2" s="3850"/>
      <c r="DL2" s="3850"/>
      <c r="DM2" s="3851"/>
      <c r="DN2" s="3849"/>
      <c r="DO2" s="3850"/>
      <c r="DP2" s="3850"/>
      <c r="DQ2" s="3850"/>
      <c r="DR2" s="3850"/>
      <c r="DS2" s="3850"/>
      <c r="DT2" s="3850"/>
      <c r="DU2" s="3851"/>
      <c r="DV2" s="3849"/>
      <c r="DW2" s="3850"/>
      <c r="DX2" s="3850"/>
      <c r="DY2" s="3850"/>
      <c r="DZ2" s="3850"/>
      <c r="EA2" s="3850"/>
      <c r="EB2" s="3850"/>
      <c r="EC2" s="3851"/>
      <c r="ED2" s="3849"/>
      <c r="EE2" s="3850"/>
      <c r="EF2" s="3850"/>
      <c r="EG2" s="3850"/>
      <c r="EH2" s="3850"/>
      <c r="EI2" s="3850"/>
      <c r="EJ2" s="3850"/>
      <c r="EK2" s="3851"/>
      <c r="EL2" s="3849"/>
      <c r="EM2" s="3850"/>
      <c r="EN2" s="3850"/>
      <c r="EO2" s="3850"/>
      <c r="EP2" s="3850"/>
      <c r="EQ2" s="3850"/>
      <c r="ER2" s="3850"/>
      <c r="ES2" s="3851"/>
      <c r="ET2" s="3849"/>
      <c r="EU2" s="3850"/>
      <c r="EV2" s="3850"/>
      <c r="EW2" s="3850"/>
      <c r="EX2" s="3850"/>
      <c r="EY2" s="3850"/>
      <c r="EZ2" s="3850"/>
      <c r="FA2" s="3851"/>
      <c r="FB2" s="2642"/>
      <c r="FC2" s="1656" t="s">
        <v>401</v>
      </c>
      <c r="FE2" s="898"/>
      <c r="FF2" s="898" t="str">
        <f>IF(T2="","",T2)</f>
        <v>Наименование тарифа</v>
      </c>
      <c r="FG2" s="898"/>
      <c r="FH2" s="898"/>
      <c r="FI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3849"/>
      <c r="AM3" s="3850"/>
      <c r="AN3" s="3850"/>
      <c r="AO3" s="3850"/>
      <c r="AP3" s="3850"/>
      <c r="AQ3" s="3850"/>
      <c r="AR3" s="3850"/>
      <c r="AS3" s="3851"/>
      <c r="AT3" s="3849"/>
      <c r="AU3" s="3850"/>
      <c r="AV3" s="3850"/>
      <c r="AW3" s="3850"/>
      <c r="AX3" s="3850"/>
      <c r="AY3" s="3850"/>
      <c r="AZ3" s="3850"/>
      <c r="BA3" s="3851"/>
      <c r="BB3" s="3849"/>
      <c r="BC3" s="3850"/>
      <c r="BD3" s="3850"/>
      <c r="BE3" s="3850"/>
      <c r="BF3" s="3850"/>
      <c r="BG3" s="3850"/>
      <c r="BH3" s="3850"/>
      <c r="BI3" s="3851"/>
      <c r="BJ3" s="3849"/>
      <c r="BK3" s="3850"/>
      <c r="BL3" s="3850"/>
      <c r="BM3" s="3850"/>
      <c r="BN3" s="3850"/>
      <c r="BO3" s="3850"/>
      <c r="BP3" s="3850"/>
      <c r="BQ3" s="3851"/>
      <c r="BR3" s="3849"/>
      <c r="BS3" s="3850"/>
      <c r="BT3" s="3850"/>
      <c r="BU3" s="3850"/>
      <c r="BV3" s="3850"/>
      <c r="BW3" s="3850"/>
      <c r="BX3" s="3850"/>
      <c r="BY3" s="3851"/>
      <c r="BZ3" s="3849"/>
      <c r="CA3" s="3850"/>
      <c r="CB3" s="3850"/>
      <c r="CC3" s="3850"/>
      <c r="CD3" s="3850"/>
      <c r="CE3" s="3850"/>
      <c r="CF3" s="3850"/>
      <c r="CG3" s="3851"/>
      <c r="CH3" s="3849"/>
      <c r="CI3" s="3850"/>
      <c r="CJ3" s="3850"/>
      <c r="CK3" s="3850"/>
      <c r="CL3" s="3850"/>
      <c r="CM3" s="3850"/>
      <c r="CN3" s="3850"/>
      <c r="CO3" s="3851"/>
      <c r="CP3" s="3849"/>
      <c r="CQ3" s="3850"/>
      <c r="CR3" s="3850"/>
      <c r="CS3" s="3850"/>
      <c r="CT3" s="3850"/>
      <c r="CU3" s="3850"/>
      <c r="CV3" s="3850"/>
      <c r="CW3" s="3851"/>
      <c r="CX3" s="3849"/>
      <c r="CY3" s="3850"/>
      <c r="CZ3" s="3850"/>
      <c r="DA3" s="3850"/>
      <c r="DB3" s="3850"/>
      <c r="DC3" s="3850"/>
      <c r="DD3" s="3850"/>
      <c r="DE3" s="3851"/>
      <c r="DF3" s="3849"/>
      <c r="DG3" s="3850"/>
      <c r="DH3" s="3850"/>
      <c r="DI3" s="3850"/>
      <c r="DJ3" s="3850"/>
      <c r="DK3" s="3850"/>
      <c r="DL3" s="3850"/>
      <c r="DM3" s="3851"/>
      <c r="DN3" s="3849"/>
      <c r="DO3" s="3850"/>
      <c r="DP3" s="3850"/>
      <c r="DQ3" s="3850"/>
      <c r="DR3" s="3850"/>
      <c r="DS3" s="3850"/>
      <c r="DT3" s="3850"/>
      <c r="DU3" s="3851"/>
      <c r="DV3" s="3849"/>
      <c r="DW3" s="3850"/>
      <c r="DX3" s="3850"/>
      <c r="DY3" s="3850"/>
      <c r="DZ3" s="3850"/>
      <c r="EA3" s="3850"/>
      <c r="EB3" s="3850"/>
      <c r="EC3" s="3851"/>
      <c r="ED3" s="3849"/>
      <c r="EE3" s="3850"/>
      <c r="EF3" s="3850"/>
      <c r="EG3" s="3850"/>
      <c r="EH3" s="3850"/>
      <c r="EI3" s="3850"/>
      <c r="EJ3" s="3850"/>
      <c r="EK3" s="3851"/>
      <c r="EL3" s="3849"/>
      <c r="EM3" s="3850"/>
      <c r="EN3" s="3850"/>
      <c r="EO3" s="3850"/>
      <c r="EP3" s="3850"/>
      <c r="EQ3" s="3850"/>
      <c r="ER3" s="3850"/>
      <c r="ES3" s="3851"/>
      <c r="ET3" s="3849"/>
      <c r="EU3" s="3850"/>
      <c r="EV3" s="3850"/>
      <c r="EW3" s="3850"/>
      <c r="EX3" s="3850"/>
      <c r="EY3" s="3850"/>
      <c r="EZ3" s="3850"/>
      <c r="FA3" s="3851"/>
      <c r="FB3" s="2642"/>
      <c r="FC3" s="1656" t="s">
        <v>403</v>
      </c>
      <c r="FE3" s="898"/>
      <c r="FF3" s="898" t="str">
        <f>IF(T3="","",T3)</f>
        <v>Территория действия тарифа</v>
      </c>
      <c r="FG3" s="898"/>
      <c r="FH3" s="898"/>
      <c r="FI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3849"/>
      <c r="AM4" s="3850"/>
      <c r="AN4" s="3850"/>
      <c r="AO4" s="3850"/>
      <c r="AP4" s="3850"/>
      <c r="AQ4" s="3850"/>
      <c r="AR4" s="3850"/>
      <c r="AS4" s="3851"/>
      <c r="AT4" s="3849"/>
      <c r="AU4" s="3850"/>
      <c r="AV4" s="3850"/>
      <c r="AW4" s="3850"/>
      <c r="AX4" s="3850"/>
      <c r="AY4" s="3850"/>
      <c r="AZ4" s="3850"/>
      <c r="BA4" s="3851"/>
      <c r="BB4" s="3849"/>
      <c r="BC4" s="3850"/>
      <c r="BD4" s="3850"/>
      <c r="BE4" s="3850"/>
      <c r="BF4" s="3850"/>
      <c r="BG4" s="3850"/>
      <c r="BH4" s="3850"/>
      <c r="BI4" s="3851"/>
      <c r="BJ4" s="3849"/>
      <c r="BK4" s="3850"/>
      <c r="BL4" s="3850"/>
      <c r="BM4" s="3850"/>
      <c r="BN4" s="3850"/>
      <c r="BO4" s="3850"/>
      <c r="BP4" s="3850"/>
      <c r="BQ4" s="3851"/>
      <c r="BR4" s="3849"/>
      <c r="BS4" s="3850"/>
      <c r="BT4" s="3850"/>
      <c r="BU4" s="3850"/>
      <c r="BV4" s="3850"/>
      <c r="BW4" s="3850"/>
      <c r="BX4" s="3850"/>
      <c r="BY4" s="3851"/>
      <c r="BZ4" s="3849"/>
      <c r="CA4" s="3850"/>
      <c r="CB4" s="3850"/>
      <c r="CC4" s="3850"/>
      <c r="CD4" s="3850"/>
      <c r="CE4" s="3850"/>
      <c r="CF4" s="3850"/>
      <c r="CG4" s="3851"/>
      <c r="CH4" s="3849"/>
      <c r="CI4" s="3850"/>
      <c r="CJ4" s="3850"/>
      <c r="CK4" s="3850"/>
      <c r="CL4" s="3850"/>
      <c r="CM4" s="3850"/>
      <c r="CN4" s="3850"/>
      <c r="CO4" s="3851"/>
      <c r="CP4" s="3849"/>
      <c r="CQ4" s="3850"/>
      <c r="CR4" s="3850"/>
      <c r="CS4" s="3850"/>
      <c r="CT4" s="3850"/>
      <c r="CU4" s="3850"/>
      <c r="CV4" s="3850"/>
      <c r="CW4" s="3851"/>
      <c r="CX4" s="3849"/>
      <c r="CY4" s="3850"/>
      <c r="CZ4" s="3850"/>
      <c r="DA4" s="3850"/>
      <c r="DB4" s="3850"/>
      <c r="DC4" s="3850"/>
      <c r="DD4" s="3850"/>
      <c r="DE4" s="3851"/>
      <c r="DF4" s="3849"/>
      <c r="DG4" s="3850"/>
      <c r="DH4" s="3850"/>
      <c r="DI4" s="3850"/>
      <c r="DJ4" s="3850"/>
      <c r="DK4" s="3850"/>
      <c r="DL4" s="3850"/>
      <c r="DM4" s="3851"/>
      <c r="DN4" s="3849"/>
      <c r="DO4" s="3850"/>
      <c r="DP4" s="3850"/>
      <c r="DQ4" s="3850"/>
      <c r="DR4" s="3850"/>
      <c r="DS4" s="3850"/>
      <c r="DT4" s="3850"/>
      <c r="DU4" s="3851"/>
      <c r="DV4" s="3849"/>
      <c r="DW4" s="3850"/>
      <c r="DX4" s="3850"/>
      <c r="DY4" s="3850"/>
      <c r="DZ4" s="3850"/>
      <c r="EA4" s="3850"/>
      <c r="EB4" s="3850"/>
      <c r="EC4" s="3851"/>
      <c r="ED4" s="3849"/>
      <c r="EE4" s="3850"/>
      <c r="EF4" s="3850"/>
      <c r="EG4" s="3850"/>
      <c r="EH4" s="3850"/>
      <c r="EI4" s="3850"/>
      <c r="EJ4" s="3850"/>
      <c r="EK4" s="3851"/>
      <c r="EL4" s="3849"/>
      <c r="EM4" s="3850"/>
      <c r="EN4" s="3850"/>
      <c r="EO4" s="3850"/>
      <c r="EP4" s="3850"/>
      <c r="EQ4" s="3850"/>
      <c r="ER4" s="3850"/>
      <c r="ES4" s="3851"/>
      <c r="ET4" s="3849"/>
      <c r="EU4" s="3850"/>
      <c r="EV4" s="3850"/>
      <c r="EW4" s="3850"/>
      <c r="EX4" s="3850"/>
      <c r="EY4" s="3850"/>
      <c r="EZ4" s="3850"/>
      <c r="FA4" s="3851"/>
      <c r="FB4" s="2642"/>
      <c r="FC4" s="1656" t="s">
        <v>405</v>
      </c>
      <c r="FE4" s="898"/>
      <c r="FF4" s="898" t="str">
        <f>IF(T4="","",T4)</f>
        <v>Наименование системы теплоснабжения </v>
      </c>
      <c r="FG4" s="898"/>
      <c r="FH4" s="898"/>
      <c r="FI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3849"/>
      <c r="AM5" s="3850"/>
      <c r="AN5" s="3850"/>
      <c r="AO5" s="3850"/>
      <c r="AP5" s="3850"/>
      <c r="AQ5" s="3850"/>
      <c r="AR5" s="3850"/>
      <c r="AS5" s="3851"/>
      <c r="AT5" s="3849"/>
      <c r="AU5" s="3850"/>
      <c r="AV5" s="3850"/>
      <c r="AW5" s="3850"/>
      <c r="AX5" s="3850"/>
      <c r="AY5" s="3850"/>
      <c r="AZ5" s="3850"/>
      <c r="BA5" s="3851"/>
      <c r="BB5" s="3849"/>
      <c r="BC5" s="3850"/>
      <c r="BD5" s="3850"/>
      <c r="BE5" s="3850"/>
      <c r="BF5" s="3850"/>
      <c r="BG5" s="3850"/>
      <c r="BH5" s="3850"/>
      <c r="BI5" s="3851"/>
      <c r="BJ5" s="3849"/>
      <c r="BK5" s="3850"/>
      <c r="BL5" s="3850"/>
      <c r="BM5" s="3850"/>
      <c r="BN5" s="3850"/>
      <c r="BO5" s="3850"/>
      <c r="BP5" s="3850"/>
      <c r="BQ5" s="3851"/>
      <c r="BR5" s="3849"/>
      <c r="BS5" s="3850"/>
      <c r="BT5" s="3850"/>
      <c r="BU5" s="3850"/>
      <c r="BV5" s="3850"/>
      <c r="BW5" s="3850"/>
      <c r="BX5" s="3850"/>
      <c r="BY5" s="3851"/>
      <c r="BZ5" s="3849"/>
      <c r="CA5" s="3850"/>
      <c r="CB5" s="3850"/>
      <c r="CC5" s="3850"/>
      <c r="CD5" s="3850"/>
      <c r="CE5" s="3850"/>
      <c r="CF5" s="3850"/>
      <c r="CG5" s="3851"/>
      <c r="CH5" s="3849"/>
      <c r="CI5" s="3850"/>
      <c r="CJ5" s="3850"/>
      <c r="CK5" s="3850"/>
      <c r="CL5" s="3850"/>
      <c r="CM5" s="3850"/>
      <c r="CN5" s="3850"/>
      <c r="CO5" s="3851"/>
      <c r="CP5" s="3849"/>
      <c r="CQ5" s="3850"/>
      <c r="CR5" s="3850"/>
      <c r="CS5" s="3850"/>
      <c r="CT5" s="3850"/>
      <c r="CU5" s="3850"/>
      <c r="CV5" s="3850"/>
      <c r="CW5" s="3851"/>
      <c r="CX5" s="3849"/>
      <c r="CY5" s="3850"/>
      <c r="CZ5" s="3850"/>
      <c r="DA5" s="3850"/>
      <c r="DB5" s="3850"/>
      <c r="DC5" s="3850"/>
      <c r="DD5" s="3850"/>
      <c r="DE5" s="3851"/>
      <c r="DF5" s="3849"/>
      <c r="DG5" s="3850"/>
      <c r="DH5" s="3850"/>
      <c r="DI5" s="3850"/>
      <c r="DJ5" s="3850"/>
      <c r="DK5" s="3850"/>
      <c r="DL5" s="3850"/>
      <c r="DM5" s="3851"/>
      <c r="DN5" s="3849"/>
      <c r="DO5" s="3850"/>
      <c r="DP5" s="3850"/>
      <c r="DQ5" s="3850"/>
      <c r="DR5" s="3850"/>
      <c r="DS5" s="3850"/>
      <c r="DT5" s="3850"/>
      <c r="DU5" s="3851"/>
      <c r="DV5" s="3849"/>
      <c r="DW5" s="3850"/>
      <c r="DX5" s="3850"/>
      <c r="DY5" s="3850"/>
      <c r="DZ5" s="3850"/>
      <c r="EA5" s="3850"/>
      <c r="EB5" s="3850"/>
      <c r="EC5" s="3851"/>
      <c r="ED5" s="3849"/>
      <c r="EE5" s="3850"/>
      <c r="EF5" s="3850"/>
      <c r="EG5" s="3850"/>
      <c r="EH5" s="3850"/>
      <c r="EI5" s="3850"/>
      <c r="EJ5" s="3850"/>
      <c r="EK5" s="3851"/>
      <c r="EL5" s="3849"/>
      <c r="EM5" s="3850"/>
      <c r="EN5" s="3850"/>
      <c r="EO5" s="3850"/>
      <c r="EP5" s="3850"/>
      <c r="EQ5" s="3850"/>
      <c r="ER5" s="3850"/>
      <c r="ES5" s="3851"/>
      <c r="ET5" s="3849"/>
      <c r="EU5" s="3850"/>
      <c r="EV5" s="3850"/>
      <c r="EW5" s="3850"/>
      <c r="EX5" s="3850"/>
      <c r="EY5" s="3850"/>
      <c r="EZ5" s="3850"/>
      <c r="FA5" s="3851"/>
      <c r="FB5" s="2642"/>
      <c r="FC5" s="1656" t="s">
        <v>407</v>
      </c>
      <c r="FE5" s="898"/>
      <c r="FF5" s="898" t="str">
        <f>IF(T5="","",T5)</f>
        <v>Источник тепловой энергии  </v>
      </c>
      <c r="FG5" s="898"/>
      <c r="FH5" s="898"/>
      <c r="FI5" s="1553">
        <v>0</v>
      </c>
    </row>
    <row customHeight="1" ht="47.25" hidden="1">
      <c r="A6" s="1761"/>
      <c r="B6" s="1761"/>
      <c r="C6" s="1761"/>
      <c r="D6" s="1761"/>
      <c r="E6" s="2657"/>
      <c r="F6" s="2657"/>
      <c r="G6" s="2657"/>
      <c r="H6" s="2657"/>
      <c r="I6" s="2654">
        <f>S5&amp;".1"</f>
      </c>
      <c r="J6" s="1761"/>
      <c r="K6" s="1761"/>
      <c r="L6" s="1762" t="s">
        <v>408</v>
      </c>
      <c r="M6" s="935"/>
      <c r="P6" s="2655">
        <v>1</v>
      </c>
      <c r="Q6" s="1703"/>
      <c r="R6" s="754"/>
      <c r="S6" s="1707">
        <f>$I6</f>
      </c>
      <c r="T6" s="683" t="s">
        <v>409</v>
      </c>
      <c r="U6" s="698"/>
      <c r="V6" s="2643"/>
      <c r="W6" s="2644"/>
      <c r="X6" s="2644"/>
      <c r="Y6" s="2644"/>
      <c r="Z6" s="2644"/>
      <c r="AA6" s="2644"/>
      <c r="AB6" s="2644"/>
      <c r="AC6" s="2645"/>
      <c r="AD6" s="2643"/>
      <c r="AE6" s="2644"/>
      <c r="AF6" s="2644"/>
      <c r="AG6" s="2644"/>
      <c r="AH6" s="2644"/>
      <c r="AI6" s="2644"/>
      <c r="AJ6" s="2644"/>
      <c r="AK6" s="2644"/>
      <c r="AL6" s="3870"/>
      <c r="AM6" s="3871"/>
      <c r="AN6" s="3871"/>
      <c r="AO6" s="3871"/>
      <c r="AP6" s="3871"/>
      <c r="AQ6" s="3871"/>
      <c r="AR6" s="3871"/>
      <c r="AS6" s="3872"/>
      <c r="AT6" s="3870"/>
      <c r="AU6" s="3871"/>
      <c r="AV6" s="3871"/>
      <c r="AW6" s="3871"/>
      <c r="AX6" s="3871"/>
      <c r="AY6" s="3871"/>
      <c r="AZ6" s="3871"/>
      <c r="BA6" s="3872"/>
      <c r="BB6" s="3870"/>
      <c r="BC6" s="3871"/>
      <c r="BD6" s="3871"/>
      <c r="BE6" s="3871"/>
      <c r="BF6" s="3871"/>
      <c r="BG6" s="3871"/>
      <c r="BH6" s="3871"/>
      <c r="BI6" s="3872"/>
      <c r="BJ6" s="3870"/>
      <c r="BK6" s="3871"/>
      <c r="BL6" s="3871"/>
      <c r="BM6" s="3871"/>
      <c r="BN6" s="3871"/>
      <c r="BO6" s="3871"/>
      <c r="BP6" s="3871"/>
      <c r="BQ6" s="3872"/>
      <c r="BR6" s="3870"/>
      <c r="BS6" s="3871"/>
      <c r="BT6" s="3871"/>
      <c r="BU6" s="3871"/>
      <c r="BV6" s="3871"/>
      <c r="BW6" s="3871"/>
      <c r="BX6" s="3871"/>
      <c r="BY6" s="3872"/>
      <c r="BZ6" s="3870"/>
      <c r="CA6" s="3871"/>
      <c r="CB6" s="3871"/>
      <c r="CC6" s="3871"/>
      <c r="CD6" s="3871"/>
      <c r="CE6" s="3871"/>
      <c r="CF6" s="3871"/>
      <c r="CG6" s="3872"/>
      <c r="CH6" s="3870"/>
      <c r="CI6" s="3871"/>
      <c r="CJ6" s="3871"/>
      <c r="CK6" s="3871"/>
      <c r="CL6" s="3871"/>
      <c r="CM6" s="3871"/>
      <c r="CN6" s="3871"/>
      <c r="CO6" s="3872"/>
      <c r="CP6" s="3870"/>
      <c r="CQ6" s="3871"/>
      <c r="CR6" s="3871"/>
      <c r="CS6" s="3871"/>
      <c r="CT6" s="3871"/>
      <c r="CU6" s="3871"/>
      <c r="CV6" s="3871"/>
      <c r="CW6" s="3872"/>
      <c r="CX6" s="3870"/>
      <c r="CY6" s="3871"/>
      <c r="CZ6" s="3871"/>
      <c r="DA6" s="3871"/>
      <c r="DB6" s="3871"/>
      <c r="DC6" s="3871"/>
      <c r="DD6" s="3871"/>
      <c r="DE6" s="3872"/>
      <c r="DF6" s="3870"/>
      <c r="DG6" s="3871"/>
      <c r="DH6" s="3871"/>
      <c r="DI6" s="3871"/>
      <c r="DJ6" s="3871"/>
      <c r="DK6" s="3871"/>
      <c r="DL6" s="3871"/>
      <c r="DM6" s="3872"/>
      <c r="DN6" s="3870"/>
      <c r="DO6" s="3871"/>
      <c r="DP6" s="3871"/>
      <c r="DQ6" s="3871"/>
      <c r="DR6" s="3871"/>
      <c r="DS6" s="3871"/>
      <c r="DT6" s="3871"/>
      <c r="DU6" s="3872"/>
      <c r="DV6" s="3870"/>
      <c r="DW6" s="3871"/>
      <c r="DX6" s="3871"/>
      <c r="DY6" s="3871"/>
      <c r="DZ6" s="3871"/>
      <c r="EA6" s="3871"/>
      <c r="EB6" s="3871"/>
      <c r="EC6" s="3872"/>
      <c r="ED6" s="3870"/>
      <c r="EE6" s="3871"/>
      <c r="EF6" s="3871"/>
      <c r="EG6" s="3871"/>
      <c r="EH6" s="3871"/>
      <c r="EI6" s="3871"/>
      <c r="EJ6" s="3871"/>
      <c r="EK6" s="3872"/>
      <c r="EL6" s="3870"/>
      <c r="EM6" s="3871"/>
      <c r="EN6" s="3871"/>
      <c r="EO6" s="3871"/>
      <c r="EP6" s="3871"/>
      <c r="EQ6" s="3871"/>
      <c r="ER6" s="3871"/>
      <c r="ES6" s="3872"/>
      <c r="ET6" s="3870"/>
      <c r="EU6" s="3871"/>
      <c r="EV6" s="3871"/>
      <c r="EW6" s="3871"/>
      <c r="EX6" s="3871"/>
      <c r="EY6" s="3871"/>
      <c r="EZ6" s="3871"/>
      <c r="FA6" s="3872"/>
      <c r="FB6" s="2645"/>
      <c r="FC6" s="1656" t="s">
        <v>410</v>
      </c>
      <c r="FE6" s="898"/>
      <c r="FF6" s="898" t="str">
        <f>IF(T6="","",T6)</f>
        <v>Схема подключения теплопотребляющей установки к коллектору источника тепловой энергии</v>
      </c>
      <c r="FG6" s="898"/>
      <c r="FH6" s="898"/>
      <c r="FI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07">
        <f>$J7</f>
      </c>
      <c r="T7" s="684" t="s">
        <v>412</v>
      </c>
      <c r="U7" s="698"/>
      <c r="V7" s="2643"/>
      <c r="W7" s="2644"/>
      <c r="X7" s="2644"/>
      <c r="Y7" s="2644"/>
      <c r="Z7" s="2644"/>
      <c r="AA7" s="2644"/>
      <c r="AB7" s="2644"/>
      <c r="AC7" s="2645"/>
      <c r="AD7" s="2643"/>
      <c r="AE7" s="2644"/>
      <c r="AF7" s="2644"/>
      <c r="AG7" s="2644"/>
      <c r="AH7" s="2644"/>
      <c r="AI7" s="2644"/>
      <c r="AJ7" s="2644"/>
      <c r="AK7" s="2644"/>
      <c r="AL7" s="3870"/>
      <c r="AM7" s="3871"/>
      <c r="AN7" s="3871"/>
      <c r="AO7" s="3871"/>
      <c r="AP7" s="3871"/>
      <c r="AQ7" s="3871"/>
      <c r="AR7" s="3871"/>
      <c r="AS7" s="3872"/>
      <c r="AT7" s="3870"/>
      <c r="AU7" s="3871"/>
      <c r="AV7" s="3871"/>
      <c r="AW7" s="3871"/>
      <c r="AX7" s="3871"/>
      <c r="AY7" s="3871"/>
      <c r="AZ7" s="3871"/>
      <c r="BA7" s="3872"/>
      <c r="BB7" s="3870"/>
      <c r="BC7" s="3871"/>
      <c r="BD7" s="3871"/>
      <c r="BE7" s="3871"/>
      <c r="BF7" s="3871"/>
      <c r="BG7" s="3871"/>
      <c r="BH7" s="3871"/>
      <c r="BI7" s="3872"/>
      <c r="BJ7" s="3870"/>
      <c r="BK7" s="3871"/>
      <c r="BL7" s="3871"/>
      <c r="BM7" s="3871"/>
      <c r="BN7" s="3871"/>
      <c r="BO7" s="3871"/>
      <c r="BP7" s="3871"/>
      <c r="BQ7" s="3872"/>
      <c r="BR7" s="3870"/>
      <c r="BS7" s="3871"/>
      <c r="BT7" s="3871"/>
      <c r="BU7" s="3871"/>
      <c r="BV7" s="3871"/>
      <c r="BW7" s="3871"/>
      <c r="BX7" s="3871"/>
      <c r="BY7" s="3872"/>
      <c r="BZ7" s="3870"/>
      <c r="CA7" s="3871"/>
      <c r="CB7" s="3871"/>
      <c r="CC7" s="3871"/>
      <c r="CD7" s="3871"/>
      <c r="CE7" s="3871"/>
      <c r="CF7" s="3871"/>
      <c r="CG7" s="3872"/>
      <c r="CH7" s="3870"/>
      <c r="CI7" s="3871"/>
      <c r="CJ7" s="3871"/>
      <c r="CK7" s="3871"/>
      <c r="CL7" s="3871"/>
      <c r="CM7" s="3871"/>
      <c r="CN7" s="3871"/>
      <c r="CO7" s="3872"/>
      <c r="CP7" s="3870"/>
      <c r="CQ7" s="3871"/>
      <c r="CR7" s="3871"/>
      <c r="CS7" s="3871"/>
      <c r="CT7" s="3871"/>
      <c r="CU7" s="3871"/>
      <c r="CV7" s="3871"/>
      <c r="CW7" s="3872"/>
      <c r="CX7" s="3870"/>
      <c r="CY7" s="3871"/>
      <c r="CZ7" s="3871"/>
      <c r="DA7" s="3871"/>
      <c r="DB7" s="3871"/>
      <c r="DC7" s="3871"/>
      <c r="DD7" s="3871"/>
      <c r="DE7" s="3872"/>
      <c r="DF7" s="3870"/>
      <c r="DG7" s="3871"/>
      <c r="DH7" s="3871"/>
      <c r="DI7" s="3871"/>
      <c r="DJ7" s="3871"/>
      <c r="DK7" s="3871"/>
      <c r="DL7" s="3871"/>
      <c r="DM7" s="3872"/>
      <c r="DN7" s="3870"/>
      <c r="DO7" s="3871"/>
      <c r="DP7" s="3871"/>
      <c r="DQ7" s="3871"/>
      <c r="DR7" s="3871"/>
      <c r="DS7" s="3871"/>
      <c r="DT7" s="3871"/>
      <c r="DU7" s="3872"/>
      <c r="DV7" s="3870"/>
      <c r="DW7" s="3871"/>
      <c r="DX7" s="3871"/>
      <c r="DY7" s="3871"/>
      <c r="DZ7" s="3871"/>
      <c r="EA7" s="3871"/>
      <c r="EB7" s="3871"/>
      <c r="EC7" s="3872"/>
      <c r="ED7" s="3870"/>
      <c r="EE7" s="3871"/>
      <c r="EF7" s="3871"/>
      <c r="EG7" s="3871"/>
      <c r="EH7" s="3871"/>
      <c r="EI7" s="3871"/>
      <c r="EJ7" s="3871"/>
      <c r="EK7" s="3872"/>
      <c r="EL7" s="3870"/>
      <c r="EM7" s="3871"/>
      <c r="EN7" s="3871"/>
      <c r="EO7" s="3871"/>
      <c r="EP7" s="3871"/>
      <c r="EQ7" s="3871"/>
      <c r="ER7" s="3871"/>
      <c r="ES7" s="3872"/>
      <c r="ET7" s="3870"/>
      <c r="EU7" s="3871"/>
      <c r="EV7" s="3871"/>
      <c r="EW7" s="3871"/>
      <c r="EX7" s="3871"/>
      <c r="EY7" s="3871"/>
      <c r="EZ7" s="3871"/>
      <c r="FA7" s="3872"/>
      <c r="FB7" s="2645"/>
      <c r="FC7" s="1656" t="s">
        <v>413</v>
      </c>
      <c r="FE7" s="898"/>
      <c r="FF7" s="898" t="str">
        <f>IF(T7="","",T7)</f>
        <v>Группа потребителей</v>
      </c>
      <c r="FG7" s="898"/>
      <c r="FH7" s="898"/>
      <c r="FI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07">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3881"/>
      <c r="AM8" s="3882"/>
      <c r="AN8" s="3881"/>
      <c r="AO8" s="3883"/>
      <c r="AP8" s="3884"/>
      <c r="AQ8" s="3419" t="s">
        <v>67</v>
      </c>
      <c r="AR8" s="3884"/>
      <c r="AS8" s="3419" t="s">
        <v>67</v>
      </c>
      <c r="AT8" s="3881"/>
      <c r="AU8" s="3882"/>
      <c r="AV8" s="3881"/>
      <c r="AW8" s="3883"/>
      <c r="AX8" s="3884"/>
      <c r="AY8" s="3419" t="s">
        <v>67</v>
      </c>
      <c r="AZ8" s="3884"/>
      <c r="BA8" s="3419" t="s">
        <v>67</v>
      </c>
      <c r="BB8" s="3881"/>
      <c r="BC8" s="3882"/>
      <c r="BD8" s="3881"/>
      <c r="BE8" s="3883"/>
      <c r="BF8" s="3884"/>
      <c r="BG8" s="3419" t="s">
        <v>67</v>
      </c>
      <c r="BH8" s="3884"/>
      <c r="BI8" s="3419" t="s">
        <v>67</v>
      </c>
      <c r="BJ8" s="3881"/>
      <c r="BK8" s="3882"/>
      <c r="BL8" s="3881"/>
      <c r="BM8" s="3883"/>
      <c r="BN8" s="3884"/>
      <c r="BO8" s="3419" t="s">
        <v>67</v>
      </c>
      <c r="BP8" s="3884"/>
      <c r="BQ8" s="3419" t="s">
        <v>67</v>
      </c>
      <c r="BR8" s="3881"/>
      <c r="BS8" s="3882"/>
      <c r="BT8" s="3881"/>
      <c r="BU8" s="3883"/>
      <c r="BV8" s="3884"/>
      <c r="BW8" s="3419" t="s">
        <v>67</v>
      </c>
      <c r="BX8" s="3884"/>
      <c r="BY8" s="3419" t="s">
        <v>67</v>
      </c>
      <c r="BZ8" s="3881"/>
      <c r="CA8" s="3882"/>
      <c r="CB8" s="3881"/>
      <c r="CC8" s="3883"/>
      <c r="CD8" s="3884"/>
      <c r="CE8" s="3419" t="s">
        <v>67</v>
      </c>
      <c r="CF8" s="3884"/>
      <c r="CG8" s="3419" t="s">
        <v>67</v>
      </c>
      <c r="CH8" s="3881"/>
      <c r="CI8" s="3882"/>
      <c r="CJ8" s="3881"/>
      <c r="CK8" s="3883"/>
      <c r="CL8" s="3884"/>
      <c r="CM8" s="3419" t="s">
        <v>67</v>
      </c>
      <c r="CN8" s="3884"/>
      <c r="CO8" s="3419" t="s">
        <v>67</v>
      </c>
      <c r="CP8" s="3881"/>
      <c r="CQ8" s="3882"/>
      <c r="CR8" s="3881"/>
      <c r="CS8" s="3883"/>
      <c r="CT8" s="3884"/>
      <c r="CU8" s="3419" t="s">
        <v>67</v>
      </c>
      <c r="CV8" s="3884"/>
      <c r="CW8" s="3419" t="s">
        <v>67</v>
      </c>
      <c r="CX8" s="3881"/>
      <c r="CY8" s="3882"/>
      <c r="CZ8" s="3881"/>
      <c r="DA8" s="3883"/>
      <c r="DB8" s="3884"/>
      <c r="DC8" s="3419" t="s">
        <v>67</v>
      </c>
      <c r="DD8" s="3884"/>
      <c r="DE8" s="3419" t="s">
        <v>67</v>
      </c>
      <c r="DF8" s="3881"/>
      <c r="DG8" s="3882"/>
      <c r="DH8" s="3881"/>
      <c r="DI8" s="3883"/>
      <c r="DJ8" s="3884"/>
      <c r="DK8" s="3419" t="s">
        <v>67</v>
      </c>
      <c r="DL8" s="3884"/>
      <c r="DM8" s="3419" t="s">
        <v>67</v>
      </c>
      <c r="DN8" s="3881"/>
      <c r="DO8" s="3882"/>
      <c r="DP8" s="3881"/>
      <c r="DQ8" s="3883"/>
      <c r="DR8" s="3884"/>
      <c r="DS8" s="3419" t="s">
        <v>67</v>
      </c>
      <c r="DT8" s="3884"/>
      <c r="DU8" s="3419" t="s">
        <v>67</v>
      </c>
      <c r="DV8" s="3881"/>
      <c r="DW8" s="3882"/>
      <c r="DX8" s="3881"/>
      <c r="DY8" s="3883"/>
      <c r="DZ8" s="3884"/>
      <c r="EA8" s="3419" t="s">
        <v>67</v>
      </c>
      <c r="EB8" s="3884"/>
      <c r="EC8" s="3419" t="s">
        <v>67</v>
      </c>
      <c r="ED8" s="3881"/>
      <c r="EE8" s="3882"/>
      <c r="EF8" s="3881"/>
      <c r="EG8" s="3883"/>
      <c r="EH8" s="3884"/>
      <c r="EI8" s="3419" t="s">
        <v>67</v>
      </c>
      <c r="EJ8" s="3884"/>
      <c r="EK8" s="3419" t="s">
        <v>67</v>
      </c>
      <c r="EL8" s="3881"/>
      <c r="EM8" s="3882"/>
      <c r="EN8" s="3881"/>
      <c r="EO8" s="3883"/>
      <c r="EP8" s="3884"/>
      <c r="EQ8" s="3419" t="s">
        <v>67</v>
      </c>
      <c r="ER8" s="3884"/>
      <c r="ES8" s="3419" t="s">
        <v>67</v>
      </c>
      <c r="ET8" s="3881"/>
      <c r="EU8" s="3882"/>
      <c r="EV8" s="3881"/>
      <c r="EW8" s="3883"/>
      <c r="EX8" s="3884"/>
      <c r="EY8" s="3419" t="s">
        <v>67</v>
      </c>
      <c r="EZ8" s="3884"/>
      <c r="FA8" s="3419" t="s">
        <v>67</v>
      </c>
      <c r="FB8" s="723"/>
      <c r="FC8" s="2651" t="s">
        <v>415</v>
      </c>
      <c r="FD8" s="909">
        <f>STRCHECKDATE(V9:FB9)</f>
      </c>
      <c r="FE8" s="898"/>
      <c r="FF8" s="898" t="str">
        <f>IF(T8="","",T8)</f>
        <v/>
      </c>
      <c r="FG8" s="898"/>
      <c r="FH8" s="898"/>
      <c r="FI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3882"/>
      <c r="AM9" s="3882"/>
      <c r="AN9" s="3882"/>
      <c r="AO9" s="3889" t="str">
        <f>AP8&amp;"-"&amp;AR8</f>
        <v>-</v>
      </c>
      <c r="AP9" s="3890"/>
      <c r="AQ9" s="3419"/>
      <c r="AR9" s="3890"/>
      <c r="AS9" s="3419"/>
      <c r="AT9" s="3882"/>
      <c r="AU9" s="3882"/>
      <c r="AV9" s="3882"/>
      <c r="AW9" s="3889" t="str">
        <f>AX8&amp;"-"&amp;AZ8</f>
        <v>-</v>
      </c>
      <c r="AX9" s="3890"/>
      <c r="AY9" s="3419"/>
      <c r="AZ9" s="3890"/>
      <c r="BA9" s="3419"/>
      <c r="BB9" s="3882"/>
      <c r="BC9" s="3882"/>
      <c r="BD9" s="3882"/>
      <c r="BE9" s="3889" t="str">
        <f>BF8&amp;"-"&amp;BH8</f>
        <v>-</v>
      </c>
      <c r="BF9" s="3890"/>
      <c r="BG9" s="3419"/>
      <c r="BH9" s="3890"/>
      <c r="BI9" s="3419"/>
      <c r="BJ9" s="3882"/>
      <c r="BK9" s="3882"/>
      <c r="BL9" s="3882"/>
      <c r="BM9" s="3889" t="str">
        <f>BN8&amp;"-"&amp;BP8</f>
        <v>-</v>
      </c>
      <c r="BN9" s="3890"/>
      <c r="BO9" s="3419"/>
      <c r="BP9" s="3890"/>
      <c r="BQ9" s="3419"/>
      <c r="BR9" s="3882"/>
      <c r="BS9" s="3882"/>
      <c r="BT9" s="3882"/>
      <c r="BU9" s="3889" t="str">
        <f>BV8&amp;"-"&amp;BX8</f>
        <v>-</v>
      </c>
      <c r="BV9" s="3890"/>
      <c r="BW9" s="3419"/>
      <c r="BX9" s="3890"/>
      <c r="BY9" s="3419"/>
      <c r="BZ9" s="3882"/>
      <c r="CA9" s="3882"/>
      <c r="CB9" s="3882"/>
      <c r="CC9" s="3889" t="str">
        <f>CD8&amp;"-"&amp;CF8</f>
        <v>-</v>
      </c>
      <c r="CD9" s="3890"/>
      <c r="CE9" s="3419"/>
      <c r="CF9" s="3890"/>
      <c r="CG9" s="3419"/>
      <c r="CH9" s="3882"/>
      <c r="CI9" s="3882"/>
      <c r="CJ9" s="3882"/>
      <c r="CK9" s="3889" t="str">
        <f>CL8&amp;"-"&amp;CN8</f>
        <v>-</v>
      </c>
      <c r="CL9" s="3890"/>
      <c r="CM9" s="3419"/>
      <c r="CN9" s="3890"/>
      <c r="CO9" s="3419"/>
      <c r="CP9" s="3882"/>
      <c r="CQ9" s="3882"/>
      <c r="CR9" s="3882"/>
      <c r="CS9" s="3889" t="str">
        <f>CT8&amp;"-"&amp;CV8</f>
        <v>-</v>
      </c>
      <c r="CT9" s="3890"/>
      <c r="CU9" s="3419"/>
      <c r="CV9" s="3890"/>
      <c r="CW9" s="3419"/>
      <c r="CX9" s="3882"/>
      <c r="CY9" s="3882"/>
      <c r="CZ9" s="3882"/>
      <c r="DA9" s="3889" t="str">
        <f>DB8&amp;"-"&amp;DD8</f>
        <v>-</v>
      </c>
      <c r="DB9" s="3890"/>
      <c r="DC9" s="3419"/>
      <c r="DD9" s="3890"/>
      <c r="DE9" s="3419"/>
      <c r="DF9" s="3882"/>
      <c r="DG9" s="3882"/>
      <c r="DH9" s="3882"/>
      <c r="DI9" s="3889" t="str">
        <f>DJ8&amp;"-"&amp;DL8</f>
        <v>-</v>
      </c>
      <c r="DJ9" s="3890"/>
      <c r="DK9" s="3419"/>
      <c r="DL9" s="3890"/>
      <c r="DM9" s="3419"/>
      <c r="DN9" s="3882"/>
      <c r="DO9" s="3882"/>
      <c r="DP9" s="3882"/>
      <c r="DQ9" s="3889" t="str">
        <f>DR8&amp;"-"&amp;DT8</f>
        <v>-</v>
      </c>
      <c r="DR9" s="3890"/>
      <c r="DS9" s="3419"/>
      <c r="DT9" s="3890"/>
      <c r="DU9" s="3419"/>
      <c r="DV9" s="3882"/>
      <c r="DW9" s="3882"/>
      <c r="DX9" s="3882"/>
      <c r="DY9" s="3889" t="str">
        <f>DZ8&amp;"-"&amp;EB8</f>
        <v>-</v>
      </c>
      <c r="DZ9" s="3890"/>
      <c r="EA9" s="3419"/>
      <c r="EB9" s="3890"/>
      <c r="EC9" s="3419"/>
      <c r="ED9" s="3882"/>
      <c r="EE9" s="3882"/>
      <c r="EF9" s="3882"/>
      <c r="EG9" s="3889" t="str">
        <f>EH8&amp;"-"&amp;EJ8</f>
        <v>-</v>
      </c>
      <c r="EH9" s="3890"/>
      <c r="EI9" s="3419"/>
      <c r="EJ9" s="3890"/>
      <c r="EK9" s="3419"/>
      <c r="EL9" s="3882"/>
      <c r="EM9" s="3882"/>
      <c r="EN9" s="3882"/>
      <c r="EO9" s="3889" t="str">
        <f>EP8&amp;"-"&amp;ER8</f>
        <v>-</v>
      </c>
      <c r="EP9" s="3890"/>
      <c r="EQ9" s="3419"/>
      <c r="ER9" s="3890"/>
      <c r="ES9" s="3419"/>
      <c r="ET9" s="3882"/>
      <c r="EU9" s="3882"/>
      <c r="EV9" s="3882"/>
      <c r="EW9" s="3889" t="str">
        <f>EX8&amp;"-"&amp;EZ8</f>
        <v>-</v>
      </c>
      <c r="EX9" s="3890"/>
      <c r="EY9" s="3419"/>
      <c r="EZ9" s="3890"/>
      <c r="FA9" s="3419"/>
      <c r="FB9" s="723"/>
      <c r="FC9" s="2652"/>
      <c r="FE9" s="898"/>
      <c r="FF9" s="898" t="str">
        <f>IF(T9="","",T9)</f>
        <v/>
      </c>
      <c r="FG9" s="898"/>
      <c r="FH9" s="898"/>
      <c r="FI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3894"/>
      <c r="AM10" s="3895"/>
      <c r="AN10" s="3896"/>
      <c r="AO10" s="3897"/>
      <c r="AP10" s="3898"/>
      <c r="AQ10" s="3899"/>
      <c r="AR10" s="3900"/>
      <c r="AS10" s="3901"/>
      <c r="AT10" s="3902"/>
      <c r="AU10" s="3903"/>
      <c r="AV10" s="3904"/>
      <c r="AW10" s="3905"/>
      <c r="AX10" s="3906"/>
      <c r="AY10" s="3907"/>
      <c r="AZ10" s="3908"/>
      <c r="BA10" s="3909"/>
      <c r="BB10" s="3910"/>
      <c r="BC10" s="3911"/>
      <c r="BD10" s="3912"/>
      <c r="BE10" s="3913"/>
      <c r="BF10" s="3914"/>
      <c r="BG10" s="3915"/>
      <c r="BH10" s="3916"/>
      <c r="BI10" s="3917"/>
      <c r="BJ10" s="3918"/>
      <c r="BK10" s="3919"/>
      <c r="BL10" s="3920"/>
      <c r="BM10" s="3921"/>
      <c r="BN10" s="3922"/>
      <c r="BO10" s="3923"/>
      <c r="BP10" s="3924"/>
      <c r="BQ10" s="3925"/>
      <c r="BR10" s="3926"/>
      <c r="BS10" s="3927"/>
      <c r="BT10" s="3928"/>
      <c r="BU10" s="3929"/>
      <c r="BV10" s="3930"/>
      <c r="BW10" s="3931"/>
      <c r="BX10" s="3932"/>
      <c r="BY10" s="3933"/>
      <c r="BZ10" s="3934"/>
      <c r="CA10" s="3935"/>
      <c r="CB10" s="3936"/>
      <c r="CC10" s="3937"/>
      <c r="CD10" s="3938"/>
      <c r="CE10" s="3939"/>
      <c r="CF10" s="3940"/>
      <c r="CG10" s="3941"/>
      <c r="CH10" s="3942"/>
      <c r="CI10" s="3943"/>
      <c r="CJ10" s="3944"/>
      <c r="CK10" s="3945"/>
      <c r="CL10" s="3946"/>
      <c r="CM10" s="3947"/>
      <c r="CN10" s="3948"/>
      <c r="CO10" s="3949"/>
      <c r="CP10" s="3950"/>
      <c r="CQ10" s="3951"/>
      <c r="CR10" s="3952"/>
      <c r="CS10" s="3953"/>
      <c r="CT10" s="3954"/>
      <c r="CU10" s="3955"/>
      <c r="CV10" s="3956"/>
      <c r="CW10" s="3957"/>
      <c r="CX10" s="3958"/>
      <c r="CY10" s="3959"/>
      <c r="CZ10" s="3960"/>
      <c r="DA10" s="3961"/>
      <c r="DB10" s="3962"/>
      <c r="DC10" s="3963"/>
      <c r="DD10" s="3964"/>
      <c r="DE10" s="3965"/>
      <c r="DF10" s="3966"/>
      <c r="DG10" s="3967"/>
      <c r="DH10" s="3968"/>
      <c r="DI10" s="3969"/>
      <c r="DJ10" s="3970"/>
      <c r="DK10" s="3971"/>
      <c r="DL10" s="3972"/>
      <c r="DM10" s="3973"/>
      <c r="DN10" s="3974"/>
      <c r="DO10" s="3975"/>
      <c r="DP10" s="3976"/>
      <c r="DQ10" s="3977"/>
      <c r="DR10" s="3978"/>
      <c r="DS10" s="3979"/>
      <c r="DT10" s="3980"/>
      <c r="DU10" s="3981"/>
      <c r="DV10" s="3982"/>
      <c r="DW10" s="3983"/>
      <c r="DX10" s="3984"/>
      <c r="DY10" s="3985"/>
      <c r="DZ10" s="3986"/>
      <c r="EA10" s="3987"/>
      <c r="EB10" s="3988"/>
      <c r="EC10" s="3989"/>
      <c r="ED10" s="3990"/>
      <c r="EE10" s="3991"/>
      <c r="EF10" s="3992"/>
      <c r="EG10" s="3993"/>
      <c r="EH10" s="3994"/>
      <c r="EI10" s="3995"/>
      <c r="EJ10" s="3996"/>
      <c r="EK10" s="3997"/>
      <c r="EL10" s="3998"/>
      <c r="EM10" s="3999"/>
      <c r="EN10" s="4000"/>
      <c r="EO10" s="4001"/>
      <c r="EP10" s="4002"/>
      <c r="EQ10" s="4003"/>
      <c r="ER10" s="4004"/>
      <c r="ES10" s="4005"/>
      <c r="ET10" s="4006"/>
      <c r="EU10" s="4007"/>
      <c r="EV10" s="4008"/>
      <c r="EW10" s="4009"/>
      <c r="EX10" s="4010"/>
      <c r="EY10" s="4011"/>
      <c r="EZ10" s="4012"/>
      <c r="FA10" s="4013"/>
      <c r="FB10" s="722"/>
      <c r="FC10" s="2653"/>
      <c r="FE10" s="898"/>
      <c r="FF10" s="898" t="str">
        <f>IF(T10="","",T10)</f>
        <v>Добавить вид теплоносителя (параметры теплоносителя)</v>
      </c>
      <c r="FG10" s="898"/>
      <c r="FH10" s="898"/>
      <c r="FI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417</v>
      </c>
      <c r="U11" s="765"/>
      <c r="V11" s="765"/>
      <c r="W11" s="765"/>
      <c r="X11" s="765"/>
      <c r="Y11" s="765"/>
      <c r="Z11" s="765"/>
      <c r="AA11" s="765"/>
      <c r="AB11" s="765"/>
      <c r="AC11" s="764"/>
      <c r="AD11" s="765"/>
      <c r="AE11" s="765"/>
      <c r="AF11" s="765"/>
      <c r="AG11" s="765"/>
      <c r="AH11" s="765"/>
      <c r="AI11" s="765"/>
      <c r="AJ11" s="765"/>
      <c r="AK11" s="764"/>
      <c r="AL11" s="4018"/>
      <c r="AM11" s="4019"/>
      <c r="AN11" s="4020"/>
      <c r="AO11" s="4021"/>
      <c r="AP11" s="4022"/>
      <c r="AQ11" s="4023"/>
      <c r="AR11" s="4024"/>
      <c r="AS11" s="4025"/>
      <c r="AT11" s="4026"/>
      <c r="AU11" s="4027"/>
      <c r="AV11" s="4028"/>
      <c r="AW11" s="4029"/>
      <c r="AX11" s="4030"/>
      <c r="AY11" s="4031"/>
      <c r="AZ11" s="4032"/>
      <c r="BA11" s="4033"/>
      <c r="BB11" s="4034"/>
      <c r="BC11" s="4035"/>
      <c r="BD11" s="4036"/>
      <c r="BE11" s="4037"/>
      <c r="BF11" s="4038"/>
      <c r="BG11" s="4039"/>
      <c r="BH11" s="4040"/>
      <c r="BI11" s="4041"/>
      <c r="BJ11" s="4042"/>
      <c r="BK11" s="4043"/>
      <c r="BL11" s="4044"/>
      <c r="BM11" s="4045"/>
      <c r="BN11" s="4046"/>
      <c r="BO11" s="4047"/>
      <c r="BP11" s="4048"/>
      <c r="BQ11" s="4049"/>
      <c r="BR11" s="4050"/>
      <c r="BS11" s="4051"/>
      <c r="BT11" s="4052"/>
      <c r="BU11" s="4053"/>
      <c r="BV11" s="4054"/>
      <c r="BW11" s="4055"/>
      <c r="BX11" s="4056"/>
      <c r="BY11" s="4057"/>
      <c r="BZ11" s="4058"/>
      <c r="CA11" s="4059"/>
      <c r="CB11" s="4060"/>
      <c r="CC11" s="4061"/>
      <c r="CD11" s="4062"/>
      <c r="CE11" s="4063"/>
      <c r="CF11" s="4064"/>
      <c r="CG11" s="4065"/>
      <c r="CH11" s="4066"/>
      <c r="CI11" s="4067"/>
      <c r="CJ11" s="4068"/>
      <c r="CK11" s="4069"/>
      <c r="CL11" s="4070"/>
      <c r="CM11" s="4071"/>
      <c r="CN11" s="4072"/>
      <c r="CO11" s="4073"/>
      <c r="CP11" s="4074"/>
      <c r="CQ11" s="4075"/>
      <c r="CR11" s="4076"/>
      <c r="CS11" s="4077"/>
      <c r="CT11" s="4078"/>
      <c r="CU11" s="4079"/>
      <c r="CV11" s="4080"/>
      <c r="CW11" s="4081"/>
      <c r="CX11" s="4082"/>
      <c r="CY11" s="4083"/>
      <c r="CZ11" s="4084"/>
      <c r="DA11" s="4085"/>
      <c r="DB11" s="4086"/>
      <c r="DC11" s="4087"/>
      <c r="DD11" s="4088"/>
      <c r="DE11" s="4089"/>
      <c r="DF11" s="4090"/>
      <c r="DG11" s="4091"/>
      <c r="DH11" s="4092"/>
      <c r="DI11" s="4093"/>
      <c r="DJ11" s="4094"/>
      <c r="DK11" s="4095"/>
      <c r="DL11" s="4096"/>
      <c r="DM11" s="4097"/>
      <c r="DN11" s="4098"/>
      <c r="DO11" s="4099"/>
      <c r="DP11" s="4100"/>
      <c r="DQ11" s="4101"/>
      <c r="DR11" s="4102"/>
      <c r="DS11" s="4103"/>
      <c r="DT11" s="4104"/>
      <c r="DU11" s="4105"/>
      <c r="DV11" s="4106"/>
      <c r="DW11" s="4107"/>
      <c r="DX11" s="4108"/>
      <c r="DY11" s="4109"/>
      <c r="DZ11" s="4110"/>
      <c r="EA11" s="4111"/>
      <c r="EB11" s="4112"/>
      <c r="EC11" s="4113"/>
      <c r="ED11" s="4114"/>
      <c r="EE11" s="4115"/>
      <c r="EF11" s="4116"/>
      <c r="EG11" s="4117"/>
      <c r="EH11" s="4118"/>
      <c r="EI11" s="4119"/>
      <c r="EJ11" s="4120"/>
      <c r="EK11" s="4121"/>
      <c r="EL11" s="4122"/>
      <c r="EM11" s="4123"/>
      <c r="EN11" s="4124"/>
      <c r="EO11" s="4125"/>
      <c r="EP11" s="4126"/>
      <c r="EQ11" s="4127"/>
      <c r="ER11" s="4128"/>
      <c r="ES11" s="4129"/>
      <c r="ET11" s="4130"/>
      <c r="EU11" s="4131"/>
      <c r="EV11" s="4132"/>
      <c r="EW11" s="4133"/>
      <c r="EX11" s="4134"/>
      <c r="EY11" s="4135"/>
      <c r="EZ11" s="4136"/>
      <c r="FA11" s="4137"/>
      <c r="FB11" s="765"/>
      <c r="FC11" s="701"/>
      <c r="FE11" s="898"/>
      <c r="FF11" s="898" t="str">
        <f>IF(T11="","",T11)</f>
        <v>Добавить группу потребителей</v>
      </c>
      <c r="FG11" s="898"/>
      <c r="FH11" s="898"/>
      <c r="FI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4141"/>
      <c r="AM12" s="4142"/>
      <c r="AN12" s="4143"/>
      <c r="AO12" s="4144"/>
      <c r="AP12" s="4145"/>
      <c r="AQ12" s="4146"/>
      <c r="AR12" s="4147"/>
      <c r="AS12" s="4148"/>
      <c r="AT12" s="4149"/>
      <c r="AU12" s="4150"/>
      <c r="AV12" s="4151"/>
      <c r="AW12" s="4152"/>
      <c r="AX12" s="4153"/>
      <c r="AY12" s="4154"/>
      <c r="AZ12" s="4155"/>
      <c r="BA12" s="4156"/>
      <c r="BB12" s="4157"/>
      <c r="BC12" s="4158"/>
      <c r="BD12" s="4159"/>
      <c r="BE12" s="4160"/>
      <c r="BF12" s="4161"/>
      <c r="BG12" s="4162"/>
      <c r="BH12" s="4163"/>
      <c r="BI12" s="4164"/>
      <c r="BJ12" s="4165"/>
      <c r="BK12" s="4166"/>
      <c r="BL12" s="4167"/>
      <c r="BM12" s="4168"/>
      <c r="BN12" s="4169"/>
      <c r="BO12" s="4170"/>
      <c r="BP12" s="4171"/>
      <c r="BQ12" s="4172"/>
      <c r="BR12" s="4173"/>
      <c r="BS12" s="4174"/>
      <c r="BT12" s="4175"/>
      <c r="BU12" s="4176"/>
      <c r="BV12" s="4177"/>
      <c r="BW12" s="4178"/>
      <c r="BX12" s="4179"/>
      <c r="BY12" s="4180"/>
      <c r="BZ12" s="4181"/>
      <c r="CA12" s="4182"/>
      <c r="CB12" s="4183"/>
      <c r="CC12" s="4184"/>
      <c r="CD12" s="4185"/>
      <c r="CE12" s="4186"/>
      <c r="CF12" s="4187"/>
      <c r="CG12" s="4188"/>
      <c r="CH12" s="4189"/>
      <c r="CI12" s="4190"/>
      <c r="CJ12" s="4191"/>
      <c r="CK12" s="4192"/>
      <c r="CL12" s="4193"/>
      <c r="CM12" s="4194"/>
      <c r="CN12" s="4195"/>
      <c r="CO12" s="4196"/>
      <c r="CP12" s="4197"/>
      <c r="CQ12" s="4198"/>
      <c r="CR12" s="4199"/>
      <c r="CS12" s="4200"/>
      <c r="CT12" s="4201"/>
      <c r="CU12" s="4202"/>
      <c r="CV12" s="4203"/>
      <c r="CW12" s="4204"/>
      <c r="CX12" s="4205"/>
      <c r="CY12" s="4206"/>
      <c r="CZ12" s="4207"/>
      <c r="DA12" s="4208"/>
      <c r="DB12" s="4209"/>
      <c r="DC12" s="4210"/>
      <c r="DD12" s="4211"/>
      <c r="DE12" s="4212"/>
      <c r="DF12" s="4213"/>
      <c r="DG12" s="4214"/>
      <c r="DH12" s="4215"/>
      <c r="DI12" s="4216"/>
      <c r="DJ12" s="4217"/>
      <c r="DK12" s="4218"/>
      <c r="DL12" s="4219"/>
      <c r="DM12" s="4220"/>
      <c r="DN12" s="4221"/>
      <c r="DO12" s="4222"/>
      <c r="DP12" s="4223"/>
      <c r="DQ12" s="4224"/>
      <c r="DR12" s="4225"/>
      <c r="DS12" s="4226"/>
      <c r="DT12" s="4227"/>
      <c r="DU12" s="4228"/>
      <c r="DV12" s="4229"/>
      <c r="DW12" s="4230"/>
      <c r="DX12" s="4231"/>
      <c r="DY12" s="4232"/>
      <c r="DZ12" s="4233"/>
      <c r="EA12" s="4234"/>
      <c r="EB12" s="4235"/>
      <c r="EC12" s="4236"/>
      <c r="ED12" s="4237"/>
      <c r="EE12" s="4238"/>
      <c r="EF12" s="4239"/>
      <c r="EG12" s="4240"/>
      <c r="EH12" s="4241"/>
      <c r="EI12" s="4242"/>
      <c r="EJ12" s="4243"/>
      <c r="EK12" s="4244"/>
      <c r="EL12" s="4245"/>
      <c r="EM12" s="4246"/>
      <c r="EN12" s="4247"/>
      <c r="EO12" s="4248"/>
      <c r="EP12" s="4249"/>
      <c r="EQ12" s="4250"/>
      <c r="ER12" s="4251"/>
      <c r="ES12" s="4252"/>
      <c r="ET12" s="4253"/>
      <c r="EU12" s="4254"/>
      <c r="EV12" s="4255"/>
      <c r="EW12" s="4256"/>
      <c r="EX12" s="4257"/>
      <c r="EY12" s="4258"/>
      <c r="EZ12" s="4259"/>
      <c r="FA12" s="4260"/>
      <c r="FB12" s="765"/>
      <c r="FC12" s="701"/>
      <c r="FE12" s="898"/>
      <c r="FF12" s="898" t="str">
        <f>IF(T12="","",T12)</f>
        <v>Добавить схему подключения</v>
      </c>
      <c r="FG12" s="898"/>
      <c r="FH12" s="898"/>
      <c r="FI12" s="1553">
        <v>0</v>
      </c>
    </row>
    <row s="244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4268"/>
      <c r="AM13" s="4268"/>
      <c r="AN13" s="4268"/>
      <c r="AO13" s="4268"/>
      <c r="AP13" s="4268"/>
      <c r="AQ13" s="4268"/>
      <c r="AR13" s="4268"/>
      <c r="AS13" s="4268"/>
      <c r="AT13" s="4268"/>
      <c r="AU13" s="4268"/>
      <c r="AV13" s="4268"/>
      <c r="AW13" s="4268"/>
      <c r="AX13" s="4268"/>
      <c r="AY13" s="4268"/>
      <c r="AZ13" s="4268"/>
      <c r="BA13" s="4268"/>
      <c r="BB13" s="4268"/>
      <c r="BC13" s="4268"/>
      <c r="BD13" s="4268"/>
      <c r="BE13" s="4268"/>
      <c r="BF13" s="4268"/>
      <c r="BG13" s="4268"/>
      <c r="BH13" s="4268"/>
      <c r="BI13" s="4268"/>
      <c r="BJ13" s="4268"/>
      <c r="BK13" s="4268"/>
      <c r="BL13" s="4268"/>
      <c r="BM13" s="4268"/>
      <c r="BN13" s="4268"/>
      <c r="BO13" s="4268"/>
      <c r="BP13" s="4268"/>
      <c r="BQ13" s="4268"/>
      <c r="BR13" s="4268"/>
      <c r="BS13" s="4268"/>
      <c r="BT13" s="4268"/>
      <c r="BU13" s="4268"/>
      <c r="BV13" s="4268"/>
      <c r="BW13" s="4268"/>
      <c r="BX13" s="4268"/>
      <c r="BY13" s="4268"/>
      <c r="BZ13" s="4268"/>
      <c r="CA13" s="4268"/>
      <c r="CB13" s="4268"/>
      <c r="CC13" s="4268"/>
      <c r="CD13" s="4268"/>
      <c r="CE13" s="4268"/>
      <c r="CF13" s="4268"/>
      <c r="CG13" s="4268"/>
      <c r="CH13" s="4268"/>
      <c r="CI13" s="4268"/>
      <c r="CJ13" s="4268"/>
      <c r="CK13" s="4268"/>
      <c r="CL13" s="4268"/>
      <c r="CM13" s="4268"/>
      <c r="CN13" s="4268"/>
      <c r="CO13" s="4268"/>
      <c r="CP13" s="4268"/>
      <c r="CQ13" s="4268"/>
      <c r="CR13" s="4268"/>
      <c r="CS13" s="4268"/>
      <c r="CT13" s="4268"/>
      <c r="CU13" s="4268"/>
      <c r="CV13" s="4268"/>
      <c r="CW13" s="4268"/>
      <c r="CX13" s="4268"/>
      <c r="CY13" s="4268"/>
      <c r="CZ13" s="4268"/>
      <c r="DA13" s="4268"/>
      <c r="DB13" s="4268"/>
      <c r="DC13" s="4268"/>
      <c r="DD13" s="4268"/>
      <c r="DE13" s="4268"/>
      <c r="DF13" s="4268"/>
      <c r="DG13" s="4268"/>
      <c r="DH13" s="4268"/>
      <c r="DI13" s="4268"/>
      <c r="DJ13" s="4268"/>
      <c r="DK13" s="4268"/>
      <c r="DL13" s="4268"/>
      <c r="DM13" s="4268"/>
      <c r="DN13" s="4268"/>
      <c r="DO13" s="4268"/>
      <c r="DP13" s="4268"/>
      <c r="DQ13" s="4268"/>
      <c r="DR13" s="4268"/>
      <c r="DS13" s="4268"/>
      <c r="DT13" s="4268"/>
      <c r="DU13" s="4268"/>
      <c r="DV13" s="4268"/>
      <c r="DW13" s="4268"/>
      <c r="DX13" s="4268"/>
      <c r="DY13" s="4268"/>
      <c r="DZ13" s="4268"/>
      <c r="EA13" s="4268"/>
      <c r="EB13" s="4268"/>
      <c r="EC13" s="4268"/>
      <c r="ED13" s="4268"/>
      <c r="EE13" s="4268"/>
      <c r="EF13" s="4268"/>
      <c r="EG13" s="4268"/>
      <c r="EH13" s="4268"/>
      <c r="EI13" s="4268"/>
      <c r="EJ13" s="4268"/>
      <c r="EK13" s="4268"/>
      <c r="EL13" s="4268"/>
      <c r="EM13" s="4268"/>
      <c r="EN13" s="4268"/>
      <c r="EO13" s="4268"/>
      <c r="EP13" s="4268"/>
      <c r="EQ13" s="4268"/>
      <c r="ER13" s="4268"/>
      <c r="ES13" s="4268"/>
      <c r="ET13" s="4268"/>
      <c r="EU13" s="4268"/>
      <c r="EV13" s="4268"/>
      <c r="EW13" s="4268"/>
      <c r="EX13" s="4268"/>
      <c r="EY13" s="4268"/>
      <c r="EZ13" s="4268"/>
      <c r="FA13" s="4268"/>
      <c r="FB13" s="1718"/>
      <c r="FC13" s="1718"/>
      <c r="FE13" s="1187"/>
      <c r="FF13" s="1187" t="str">
        <f>IF(T13="","",T13)</f>
        <v>Добавить источник для дифференциации</v>
      </c>
      <c r="FG13" s="1187"/>
      <c r="FH13" s="1187"/>
      <c r="FI13" s="916">
        <v>0</v>
      </c>
    </row>
    <row s="244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4274"/>
      <c r="AM14" s="4274"/>
      <c r="AN14" s="4274"/>
      <c r="AO14" s="4274"/>
      <c r="AP14" s="4274"/>
      <c r="AQ14" s="4274"/>
      <c r="AR14" s="4274"/>
      <c r="AS14" s="4274"/>
      <c r="AT14" s="4274"/>
      <c r="AU14" s="4274"/>
      <c r="AV14" s="4274"/>
      <c r="AW14" s="4274"/>
      <c r="AX14" s="4274"/>
      <c r="AY14" s="4274"/>
      <c r="AZ14" s="4274"/>
      <c r="BA14" s="4274"/>
      <c r="BB14" s="4274"/>
      <c r="BC14" s="4274"/>
      <c r="BD14" s="4274"/>
      <c r="BE14" s="4274"/>
      <c r="BF14" s="4274"/>
      <c r="BG14" s="4274"/>
      <c r="BH14" s="4274"/>
      <c r="BI14" s="4274"/>
      <c r="BJ14" s="4274"/>
      <c r="BK14" s="4274"/>
      <c r="BL14" s="4274"/>
      <c r="BM14" s="4274"/>
      <c r="BN14" s="4274"/>
      <c r="BO14" s="4274"/>
      <c r="BP14" s="4274"/>
      <c r="BQ14" s="4274"/>
      <c r="BR14" s="4274"/>
      <c r="BS14" s="4274"/>
      <c r="BT14" s="4274"/>
      <c r="BU14" s="4274"/>
      <c r="BV14" s="4274"/>
      <c r="BW14" s="4274"/>
      <c r="BX14" s="4274"/>
      <c r="BY14" s="4274"/>
      <c r="BZ14" s="4274"/>
      <c r="CA14" s="4274"/>
      <c r="CB14" s="4274"/>
      <c r="CC14" s="4274"/>
      <c r="CD14" s="4274"/>
      <c r="CE14" s="4274"/>
      <c r="CF14" s="4274"/>
      <c r="CG14" s="4274"/>
      <c r="CH14" s="4274"/>
      <c r="CI14" s="4274"/>
      <c r="CJ14" s="4274"/>
      <c r="CK14" s="4274"/>
      <c r="CL14" s="4274"/>
      <c r="CM14" s="4274"/>
      <c r="CN14" s="4274"/>
      <c r="CO14" s="4274"/>
      <c r="CP14" s="4274"/>
      <c r="CQ14" s="4274"/>
      <c r="CR14" s="4274"/>
      <c r="CS14" s="4274"/>
      <c r="CT14" s="4274"/>
      <c r="CU14" s="4274"/>
      <c r="CV14" s="4274"/>
      <c r="CW14" s="4274"/>
      <c r="CX14" s="4274"/>
      <c r="CY14" s="4274"/>
      <c r="CZ14" s="4274"/>
      <c r="DA14" s="4274"/>
      <c r="DB14" s="4274"/>
      <c r="DC14" s="4274"/>
      <c r="DD14" s="4274"/>
      <c r="DE14" s="4274"/>
      <c r="DF14" s="4274"/>
      <c r="DG14" s="4274"/>
      <c r="DH14" s="4274"/>
      <c r="DI14" s="4274"/>
      <c r="DJ14" s="4274"/>
      <c r="DK14" s="4274"/>
      <c r="DL14" s="4274"/>
      <c r="DM14" s="4274"/>
      <c r="DN14" s="4274"/>
      <c r="DO14" s="4274"/>
      <c r="DP14" s="4274"/>
      <c r="DQ14" s="4274"/>
      <c r="DR14" s="4274"/>
      <c r="DS14" s="4274"/>
      <c r="DT14" s="4274"/>
      <c r="DU14" s="4274"/>
      <c r="DV14" s="4274"/>
      <c r="DW14" s="4274"/>
      <c r="DX14" s="4274"/>
      <c r="DY14" s="4274"/>
      <c r="DZ14" s="4274"/>
      <c r="EA14" s="4274"/>
      <c r="EB14" s="4274"/>
      <c r="EC14" s="4274"/>
      <c r="ED14" s="4274"/>
      <c r="EE14" s="4274"/>
      <c r="EF14" s="4274"/>
      <c r="EG14" s="4274"/>
      <c r="EH14" s="4274"/>
      <c r="EI14" s="4274"/>
      <c r="EJ14" s="4274"/>
      <c r="EK14" s="4274"/>
      <c r="EL14" s="4274"/>
      <c r="EM14" s="4274"/>
      <c r="EN14" s="4274"/>
      <c r="EO14" s="4274"/>
      <c r="EP14" s="4274"/>
      <c r="EQ14" s="4274"/>
      <c r="ER14" s="4274"/>
      <c r="ES14" s="4274"/>
      <c r="ET14" s="4274"/>
      <c r="EU14" s="4274"/>
      <c r="EV14" s="4274"/>
      <c r="EW14" s="4274"/>
      <c r="EX14" s="4274"/>
      <c r="EY14" s="4274"/>
      <c r="EZ14" s="4274"/>
      <c r="FA14" s="4274"/>
      <c r="FB14" s="1722"/>
      <c r="FC14" s="1722"/>
      <c r="FE14" s="1187"/>
      <c r="FF14" s="1187" t="str">
        <f>IF(T14="","",T14)</f>
        <v>Добавить централизованную систему для дифференциации</v>
      </c>
      <c r="FG14" s="1187"/>
      <c r="FH14" s="1187"/>
      <c r="FI14" s="916">
        <v>0</v>
      </c>
    </row>
    <row s="244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4274"/>
      <c r="AM15" s="4274"/>
      <c r="AN15" s="4274"/>
      <c r="AO15" s="4274"/>
      <c r="AP15" s="4274"/>
      <c r="AQ15" s="4274"/>
      <c r="AR15" s="4274"/>
      <c r="AS15" s="4274"/>
      <c r="AT15" s="4274"/>
      <c r="AU15" s="4274"/>
      <c r="AV15" s="4274"/>
      <c r="AW15" s="4274"/>
      <c r="AX15" s="4274"/>
      <c r="AY15" s="4274"/>
      <c r="AZ15" s="4274"/>
      <c r="BA15" s="4274"/>
      <c r="BB15" s="4274"/>
      <c r="BC15" s="4274"/>
      <c r="BD15" s="4274"/>
      <c r="BE15" s="4274"/>
      <c r="BF15" s="4274"/>
      <c r="BG15" s="4274"/>
      <c r="BH15" s="4274"/>
      <c r="BI15" s="4274"/>
      <c r="BJ15" s="4274"/>
      <c r="BK15" s="4274"/>
      <c r="BL15" s="4274"/>
      <c r="BM15" s="4274"/>
      <c r="BN15" s="4274"/>
      <c r="BO15" s="4274"/>
      <c r="BP15" s="4274"/>
      <c r="BQ15" s="4274"/>
      <c r="BR15" s="4274"/>
      <c r="BS15" s="4274"/>
      <c r="BT15" s="4274"/>
      <c r="BU15" s="4274"/>
      <c r="BV15" s="4274"/>
      <c r="BW15" s="4274"/>
      <c r="BX15" s="4274"/>
      <c r="BY15" s="4274"/>
      <c r="BZ15" s="4274"/>
      <c r="CA15" s="4274"/>
      <c r="CB15" s="4274"/>
      <c r="CC15" s="4274"/>
      <c r="CD15" s="4274"/>
      <c r="CE15" s="4274"/>
      <c r="CF15" s="4274"/>
      <c r="CG15" s="4274"/>
      <c r="CH15" s="4274"/>
      <c r="CI15" s="4274"/>
      <c r="CJ15" s="4274"/>
      <c r="CK15" s="4274"/>
      <c r="CL15" s="4274"/>
      <c r="CM15" s="4274"/>
      <c r="CN15" s="4274"/>
      <c r="CO15" s="4274"/>
      <c r="CP15" s="4274"/>
      <c r="CQ15" s="4274"/>
      <c r="CR15" s="4274"/>
      <c r="CS15" s="4274"/>
      <c r="CT15" s="4274"/>
      <c r="CU15" s="4274"/>
      <c r="CV15" s="4274"/>
      <c r="CW15" s="4274"/>
      <c r="CX15" s="4274"/>
      <c r="CY15" s="4274"/>
      <c r="CZ15" s="4274"/>
      <c r="DA15" s="4274"/>
      <c r="DB15" s="4274"/>
      <c r="DC15" s="4274"/>
      <c r="DD15" s="4274"/>
      <c r="DE15" s="4274"/>
      <c r="DF15" s="4274"/>
      <c r="DG15" s="4274"/>
      <c r="DH15" s="4274"/>
      <c r="DI15" s="4274"/>
      <c r="DJ15" s="4274"/>
      <c r="DK15" s="4274"/>
      <c r="DL15" s="4274"/>
      <c r="DM15" s="4274"/>
      <c r="DN15" s="4274"/>
      <c r="DO15" s="4274"/>
      <c r="DP15" s="4274"/>
      <c r="DQ15" s="4274"/>
      <c r="DR15" s="4274"/>
      <c r="DS15" s="4274"/>
      <c r="DT15" s="4274"/>
      <c r="DU15" s="4274"/>
      <c r="DV15" s="4274"/>
      <c r="DW15" s="4274"/>
      <c r="DX15" s="4274"/>
      <c r="DY15" s="4274"/>
      <c r="DZ15" s="4274"/>
      <c r="EA15" s="4274"/>
      <c r="EB15" s="4274"/>
      <c r="EC15" s="4274"/>
      <c r="ED15" s="4274"/>
      <c r="EE15" s="4274"/>
      <c r="EF15" s="4274"/>
      <c r="EG15" s="4274"/>
      <c r="EH15" s="4274"/>
      <c r="EI15" s="4274"/>
      <c r="EJ15" s="4274"/>
      <c r="EK15" s="4274"/>
      <c r="EL15" s="4274"/>
      <c r="EM15" s="4274"/>
      <c r="EN15" s="4274"/>
      <c r="EO15" s="4274"/>
      <c r="EP15" s="4274"/>
      <c r="EQ15" s="4274"/>
      <c r="ER15" s="4274"/>
      <c r="ES15" s="4274"/>
      <c r="ET15" s="4274"/>
      <c r="EU15" s="4274"/>
      <c r="EV15" s="4274"/>
      <c r="EW15" s="4274"/>
      <c r="EX15" s="4274"/>
      <c r="EY15" s="4274"/>
      <c r="EZ15" s="4274"/>
      <c r="FA15" s="4274"/>
      <c r="FB15" s="1722"/>
      <c r="FC15" s="1722"/>
      <c r="FE15" s="1187"/>
      <c r="FF15" s="1187" t="str">
        <f>IF(T15="","",T15)</f>
        <v>Добавить территорию для дифференциации</v>
      </c>
      <c r="FG15" s="1187"/>
      <c r="FH15" s="1187"/>
      <c r="FI15" s="916">
        <v>0</v>
      </c>
    </row>
    <row customHeight="1" ht="14.25" hidden="1">
      <c r="AC16" s="725"/>
      <c r="AK16" s="725"/>
      <c r="AL16" s="3835"/>
      <c r="AM16" s="3835"/>
      <c r="AN16" s="3835"/>
      <c r="AO16" s="3835"/>
      <c r="AP16" s="3835"/>
      <c r="AQ16" s="3835"/>
      <c r="AR16" s="3835"/>
      <c r="AS16" s="3835"/>
      <c r="AT16" s="3835"/>
      <c r="AU16" s="3835"/>
      <c r="AV16" s="3835"/>
      <c r="AW16" s="3835"/>
      <c r="AX16" s="3835"/>
      <c r="AY16" s="3835"/>
      <c r="AZ16" s="3835"/>
      <c r="BA16" s="3835"/>
      <c r="BB16" s="3835"/>
      <c r="BC16" s="3835"/>
      <c r="BD16" s="3835"/>
      <c r="BE16" s="3835"/>
      <c r="BF16" s="3835"/>
      <c r="BG16" s="3835"/>
      <c r="BH16" s="3835"/>
      <c r="BI16" s="3835"/>
      <c r="BJ16" s="3835"/>
      <c r="BK16" s="3835"/>
      <c r="BL16" s="3835"/>
      <c r="BM16" s="3835"/>
      <c r="BN16" s="3835"/>
      <c r="BO16" s="3835"/>
      <c r="BP16" s="3835"/>
      <c r="BQ16" s="3835"/>
      <c r="BR16" s="3835"/>
      <c r="BS16" s="3835"/>
      <c r="BT16" s="3835"/>
      <c r="BU16" s="3835"/>
      <c r="BV16" s="3835"/>
      <c r="BW16" s="3835"/>
      <c r="BX16" s="3835"/>
      <c r="BY16" s="3835"/>
      <c r="BZ16" s="3835"/>
      <c r="CA16" s="3835"/>
      <c r="CB16" s="3835"/>
      <c r="CC16" s="3835"/>
      <c r="CD16" s="3835"/>
      <c r="CE16" s="3835"/>
      <c r="CF16" s="3835"/>
      <c r="CG16" s="3835"/>
      <c r="CH16" s="3835"/>
      <c r="CI16" s="3835"/>
      <c r="CJ16" s="3835"/>
      <c r="CK16" s="3835"/>
      <c r="CL16" s="3835"/>
      <c r="CM16" s="3835"/>
      <c r="CN16" s="3835"/>
      <c r="CO16" s="3835"/>
      <c r="CP16" s="3835"/>
      <c r="CQ16" s="3835"/>
      <c r="CR16" s="3835"/>
      <c r="CS16" s="3835"/>
      <c r="CT16" s="3835"/>
      <c r="CU16" s="3835"/>
      <c r="CV16" s="3835"/>
      <c r="CW16" s="3835"/>
      <c r="CX16" s="3835"/>
      <c r="CY16" s="3835"/>
      <c r="CZ16" s="3835"/>
      <c r="DA16" s="3835"/>
      <c r="DB16" s="3835"/>
      <c r="DC16" s="3835"/>
      <c r="DD16" s="3835"/>
      <c r="DE16" s="3835"/>
      <c r="DF16" s="3835"/>
      <c r="DG16" s="3835"/>
      <c r="DH16" s="3835"/>
      <c r="DI16" s="3835"/>
      <c r="DJ16" s="3835"/>
      <c r="DK16" s="3835"/>
      <c r="DL16" s="3835"/>
      <c r="DM16" s="3835"/>
      <c r="DN16" s="3835"/>
      <c r="DO16" s="3835"/>
      <c r="DP16" s="3835"/>
      <c r="DQ16" s="3835"/>
      <c r="DR16" s="3835"/>
      <c r="DS16" s="3835"/>
      <c r="DT16" s="3835"/>
      <c r="DU16" s="3835"/>
      <c r="DV16" s="3835"/>
      <c r="DW16" s="3835"/>
      <c r="DX16" s="3835"/>
      <c r="DY16" s="3835"/>
      <c r="DZ16" s="3835"/>
      <c r="EA16" s="3835"/>
      <c r="EB16" s="3835"/>
      <c r="EC16" s="3835"/>
      <c r="ED16" s="3835"/>
      <c r="EE16" s="3835"/>
      <c r="EF16" s="3835"/>
      <c r="EG16" s="3835"/>
      <c r="EH16" s="3835"/>
      <c r="EI16" s="3835"/>
      <c r="EJ16" s="3835"/>
      <c r="EK16" s="3835"/>
      <c r="EL16" s="3835"/>
      <c r="EM16" s="3835"/>
      <c r="EN16" s="3835"/>
      <c r="EO16" s="3835"/>
      <c r="EP16" s="3835"/>
      <c r="EQ16" s="3835"/>
      <c r="ER16" s="3835"/>
      <c r="ES16" s="3835"/>
      <c r="ET16" s="3835"/>
      <c r="EU16" s="3835"/>
      <c r="EV16" s="3835"/>
      <c r="EW16" s="3835"/>
      <c r="EX16" s="3835"/>
      <c r="EY16" s="3835"/>
      <c r="EZ16" s="3835"/>
      <c r="FA16" s="3835"/>
      <c r="FI16" s="1553">
        <v>0</v>
      </c>
    </row>
    <row customHeight="1" ht="14.25" hidden="1">
      <c r="P17" s="1709"/>
      <c r="AD17" s="1758"/>
      <c r="AE17" s="1758"/>
      <c r="AF17" s="1758"/>
      <c r="AG17" s="1759"/>
      <c r="AH17" s="2665"/>
      <c r="AI17" s="2666" t="s">
        <v>67</v>
      </c>
      <c r="AJ17" s="2665"/>
      <c r="AK17" s="2666" t="s">
        <v>67</v>
      </c>
      <c r="AL17" s="3835"/>
      <c r="AM17" s="3835"/>
      <c r="AN17" s="3835"/>
      <c r="AO17" s="3835"/>
      <c r="AP17" s="3835"/>
      <c r="AQ17" s="3835"/>
      <c r="AR17" s="3835"/>
      <c r="AS17" s="3835"/>
      <c r="AT17" s="3835"/>
      <c r="AU17" s="3835"/>
      <c r="AV17" s="3835"/>
      <c r="AW17" s="3835"/>
      <c r="AX17" s="3835"/>
      <c r="AY17" s="3835"/>
      <c r="AZ17" s="3835"/>
      <c r="BA17" s="3835"/>
      <c r="BB17" s="3835"/>
      <c r="BC17" s="3835"/>
      <c r="BD17" s="3835"/>
      <c r="BE17" s="3835"/>
      <c r="BF17" s="3835"/>
      <c r="BG17" s="3835"/>
      <c r="BH17" s="3835"/>
      <c r="BI17" s="3835"/>
      <c r="BJ17" s="3835"/>
      <c r="BK17" s="3835"/>
      <c r="BL17" s="3835"/>
      <c r="BM17" s="3835"/>
      <c r="BN17" s="3835"/>
      <c r="BO17" s="3835"/>
      <c r="BP17" s="3835"/>
      <c r="BQ17" s="3835"/>
      <c r="BR17" s="3835"/>
      <c r="BS17" s="3835"/>
      <c r="BT17" s="3835"/>
      <c r="BU17" s="3835"/>
      <c r="BV17" s="3835"/>
      <c r="BW17" s="3835"/>
      <c r="BX17" s="3835"/>
      <c r="BY17" s="3835"/>
      <c r="BZ17" s="3835"/>
      <c r="CA17" s="3835"/>
      <c r="CB17" s="3835"/>
      <c r="CC17" s="3835"/>
      <c r="CD17" s="3835"/>
      <c r="CE17" s="3835"/>
      <c r="CF17" s="3835"/>
      <c r="CG17" s="3835"/>
      <c r="CH17" s="3835"/>
      <c r="CI17" s="3835"/>
      <c r="CJ17" s="3835"/>
      <c r="CK17" s="3835"/>
      <c r="CL17" s="3835"/>
      <c r="CM17" s="3835"/>
      <c r="CN17" s="3835"/>
      <c r="CO17" s="3835"/>
      <c r="CP17" s="3835"/>
      <c r="CQ17" s="3835"/>
      <c r="CR17" s="3835"/>
      <c r="CS17" s="3835"/>
      <c r="CT17" s="3835"/>
      <c r="CU17" s="3835"/>
      <c r="CV17" s="3835"/>
      <c r="CW17" s="3835"/>
      <c r="CX17" s="3835"/>
      <c r="CY17" s="3835"/>
      <c r="CZ17" s="3835"/>
      <c r="DA17" s="3835"/>
      <c r="DB17" s="3835"/>
      <c r="DC17" s="3835"/>
      <c r="DD17" s="3835"/>
      <c r="DE17" s="3835"/>
      <c r="DF17" s="3835"/>
      <c r="DG17" s="3835"/>
      <c r="DH17" s="3835"/>
      <c r="DI17" s="3835"/>
      <c r="DJ17" s="3835"/>
      <c r="DK17" s="3835"/>
      <c r="DL17" s="3835"/>
      <c r="DM17" s="3835"/>
      <c r="DN17" s="3835"/>
      <c r="DO17" s="3835"/>
      <c r="DP17" s="3835"/>
      <c r="DQ17" s="3835"/>
      <c r="DR17" s="3835"/>
      <c r="DS17" s="3835"/>
      <c r="DT17" s="3835"/>
      <c r="DU17" s="3835"/>
      <c r="DV17" s="3835"/>
      <c r="DW17" s="3835"/>
      <c r="DX17" s="3835"/>
      <c r="DY17" s="3835"/>
      <c r="DZ17" s="3835"/>
      <c r="EA17" s="3835"/>
      <c r="EB17" s="3835"/>
      <c r="EC17" s="3835"/>
      <c r="ED17" s="3835"/>
      <c r="EE17" s="3835"/>
      <c r="EF17" s="3835"/>
      <c r="EG17" s="3835"/>
      <c r="EH17" s="3835"/>
      <c r="EI17" s="3835"/>
      <c r="EJ17" s="3835"/>
      <c r="EK17" s="3835"/>
      <c r="EL17" s="3835"/>
      <c r="EM17" s="3835"/>
      <c r="EN17" s="3835"/>
      <c r="EO17" s="3835"/>
      <c r="EP17" s="3835"/>
      <c r="EQ17" s="3835"/>
      <c r="ER17" s="3835"/>
      <c r="ES17" s="3835"/>
      <c r="ET17" s="3835"/>
      <c r="EU17" s="3835"/>
      <c r="EV17" s="3835"/>
      <c r="EW17" s="3835"/>
      <c r="EX17" s="3835"/>
      <c r="EY17" s="3835"/>
      <c r="EZ17" s="3835"/>
      <c r="FA17" s="3835"/>
      <c r="FI17" s="1553">
        <v>0</v>
      </c>
    </row>
    <row customHeight="1" ht="14.25" hidden="1">
      <c r="P18" s="1709"/>
      <c r="AD18" s="1758"/>
      <c r="AE18" s="1758"/>
      <c r="AF18" s="1758"/>
      <c r="AG18" s="726" t="str">
        <f>AH17&amp;"-"&amp;AJ17</f>
        <v>-</v>
      </c>
      <c r="AH18" s="2666"/>
      <c r="AI18" s="2666"/>
      <c r="AJ18" s="2666"/>
      <c r="AK18" s="2666"/>
      <c r="AL18" s="3835"/>
      <c r="AM18" s="3835"/>
      <c r="AN18" s="3835"/>
      <c r="AO18" s="3835"/>
      <c r="AP18" s="3835"/>
      <c r="AQ18" s="3835"/>
      <c r="AR18" s="3835"/>
      <c r="AS18" s="3835"/>
      <c r="AT18" s="3835"/>
      <c r="AU18" s="3835"/>
      <c r="AV18" s="3835"/>
      <c r="AW18" s="3835"/>
      <c r="AX18" s="3835"/>
      <c r="AY18" s="3835"/>
      <c r="AZ18" s="3835"/>
      <c r="BA18" s="3835"/>
      <c r="BB18" s="3835"/>
      <c r="BC18" s="3835"/>
      <c r="BD18" s="3835"/>
      <c r="BE18" s="3835"/>
      <c r="BF18" s="3835"/>
      <c r="BG18" s="3835"/>
      <c r="BH18" s="3835"/>
      <c r="BI18" s="3835"/>
      <c r="BJ18" s="3835"/>
      <c r="BK18" s="3835"/>
      <c r="BL18" s="3835"/>
      <c r="BM18" s="3835"/>
      <c r="BN18" s="3835"/>
      <c r="BO18" s="3835"/>
      <c r="BP18" s="3835"/>
      <c r="BQ18" s="3835"/>
      <c r="BR18" s="3835"/>
      <c r="BS18" s="3835"/>
      <c r="BT18" s="3835"/>
      <c r="BU18" s="3835"/>
      <c r="BV18" s="3835"/>
      <c r="BW18" s="3835"/>
      <c r="BX18" s="3835"/>
      <c r="BY18" s="3835"/>
      <c r="BZ18" s="3835"/>
      <c r="CA18" s="3835"/>
      <c r="CB18" s="3835"/>
      <c r="CC18" s="3835"/>
      <c r="CD18" s="3835"/>
      <c r="CE18" s="3835"/>
      <c r="CF18" s="3835"/>
      <c r="CG18" s="3835"/>
      <c r="CH18" s="3835"/>
      <c r="CI18" s="3835"/>
      <c r="CJ18" s="3835"/>
      <c r="CK18" s="3835"/>
      <c r="CL18" s="3835"/>
      <c r="CM18" s="3835"/>
      <c r="CN18" s="3835"/>
      <c r="CO18" s="3835"/>
      <c r="CP18" s="3835"/>
      <c r="CQ18" s="3835"/>
      <c r="CR18" s="3835"/>
      <c r="CS18" s="3835"/>
      <c r="CT18" s="3835"/>
      <c r="CU18" s="3835"/>
      <c r="CV18" s="3835"/>
      <c r="CW18" s="3835"/>
      <c r="CX18" s="3835"/>
      <c r="CY18" s="3835"/>
      <c r="CZ18" s="3835"/>
      <c r="DA18" s="3835"/>
      <c r="DB18" s="3835"/>
      <c r="DC18" s="3835"/>
      <c r="DD18" s="3835"/>
      <c r="DE18" s="3835"/>
      <c r="DF18" s="3835"/>
      <c r="DG18" s="3835"/>
      <c r="DH18" s="3835"/>
      <c r="DI18" s="3835"/>
      <c r="DJ18" s="3835"/>
      <c r="DK18" s="3835"/>
      <c r="DL18" s="3835"/>
      <c r="DM18" s="3835"/>
      <c r="DN18" s="3835"/>
      <c r="DO18" s="3835"/>
      <c r="DP18" s="3835"/>
      <c r="DQ18" s="3835"/>
      <c r="DR18" s="3835"/>
      <c r="DS18" s="3835"/>
      <c r="DT18" s="3835"/>
      <c r="DU18" s="3835"/>
      <c r="DV18" s="3835"/>
      <c r="DW18" s="3835"/>
      <c r="DX18" s="3835"/>
      <c r="DY18" s="3835"/>
      <c r="DZ18" s="3835"/>
      <c r="EA18" s="3835"/>
      <c r="EB18" s="3835"/>
      <c r="EC18" s="3835"/>
      <c r="ED18" s="3835"/>
      <c r="EE18" s="3835"/>
      <c r="EF18" s="3835"/>
      <c r="EG18" s="3835"/>
      <c r="EH18" s="3835"/>
      <c r="EI18" s="3835"/>
      <c r="EJ18" s="3835"/>
      <c r="EK18" s="3835"/>
      <c r="EL18" s="3835"/>
      <c r="EM18" s="3835"/>
      <c r="EN18" s="3835"/>
      <c r="EO18" s="3835"/>
      <c r="EP18" s="3835"/>
      <c r="EQ18" s="3835"/>
      <c r="ER18" s="3835"/>
      <c r="ES18" s="3835"/>
      <c r="ET18" s="3835"/>
      <c r="EU18" s="3835"/>
      <c r="EV18" s="3835"/>
      <c r="EW18" s="3835"/>
      <c r="EX18" s="3835"/>
      <c r="EY18" s="3835"/>
      <c r="EZ18" s="3835"/>
      <c r="FA18" s="3835"/>
      <c r="FI18" s="1553">
        <v>0</v>
      </c>
    </row>
    <row customHeight="1" ht="14.25" hidden="1">
      <c r="P19" s="1709"/>
      <c r="AK19" s="725"/>
      <c r="AL19" s="3835"/>
      <c r="AM19" s="3835"/>
      <c r="AN19" s="3835"/>
      <c r="AO19" s="3835"/>
      <c r="AP19" s="3835"/>
      <c r="AQ19" s="3835"/>
      <c r="AR19" s="3835"/>
      <c r="AS19" s="3835"/>
      <c r="AT19" s="3835"/>
      <c r="AU19" s="3835"/>
      <c r="AV19" s="3835"/>
      <c r="AW19" s="3835"/>
      <c r="AX19" s="3835"/>
      <c r="AY19" s="3835"/>
      <c r="AZ19" s="3835"/>
      <c r="BA19" s="3835"/>
      <c r="BB19" s="3835"/>
      <c r="BC19" s="3835"/>
      <c r="BD19" s="3835"/>
      <c r="BE19" s="3835"/>
      <c r="BF19" s="3835"/>
      <c r="BG19" s="3835"/>
      <c r="BH19" s="3835"/>
      <c r="BI19" s="3835"/>
      <c r="BJ19" s="3835"/>
      <c r="BK19" s="3835"/>
      <c r="BL19" s="3835"/>
      <c r="BM19" s="3835"/>
      <c r="BN19" s="3835"/>
      <c r="BO19" s="3835"/>
      <c r="BP19" s="3835"/>
      <c r="BQ19" s="3835"/>
      <c r="BR19" s="3835"/>
      <c r="BS19" s="3835"/>
      <c r="BT19" s="3835"/>
      <c r="BU19" s="3835"/>
      <c r="BV19" s="3835"/>
      <c r="BW19" s="3835"/>
      <c r="BX19" s="3835"/>
      <c r="BY19" s="3835"/>
      <c r="BZ19" s="3835"/>
      <c r="CA19" s="3835"/>
      <c r="CB19" s="3835"/>
      <c r="CC19" s="3835"/>
      <c r="CD19" s="3835"/>
      <c r="CE19" s="3835"/>
      <c r="CF19" s="3835"/>
      <c r="CG19" s="3835"/>
      <c r="CH19" s="3835"/>
      <c r="CI19" s="3835"/>
      <c r="CJ19" s="3835"/>
      <c r="CK19" s="3835"/>
      <c r="CL19" s="3835"/>
      <c r="CM19" s="3835"/>
      <c r="CN19" s="3835"/>
      <c r="CO19" s="3835"/>
      <c r="CP19" s="3835"/>
      <c r="CQ19" s="3835"/>
      <c r="CR19" s="3835"/>
      <c r="CS19" s="3835"/>
      <c r="CT19" s="3835"/>
      <c r="CU19" s="3835"/>
      <c r="CV19" s="3835"/>
      <c r="CW19" s="3835"/>
      <c r="CX19" s="3835"/>
      <c r="CY19" s="3835"/>
      <c r="CZ19" s="3835"/>
      <c r="DA19" s="3835"/>
      <c r="DB19" s="3835"/>
      <c r="DC19" s="3835"/>
      <c r="DD19" s="3835"/>
      <c r="DE19" s="3835"/>
      <c r="DF19" s="3835"/>
      <c r="DG19" s="3835"/>
      <c r="DH19" s="3835"/>
      <c r="DI19" s="3835"/>
      <c r="DJ19" s="3835"/>
      <c r="DK19" s="3835"/>
      <c r="DL19" s="3835"/>
      <c r="DM19" s="3835"/>
      <c r="DN19" s="3835"/>
      <c r="DO19" s="3835"/>
      <c r="DP19" s="3835"/>
      <c r="DQ19" s="3835"/>
      <c r="DR19" s="3835"/>
      <c r="DS19" s="3835"/>
      <c r="DT19" s="3835"/>
      <c r="DU19" s="3835"/>
      <c r="DV19" s="3835"/>
      <c r="DW19" s="3835"/>
      <c r="DX19" s="3835"/>
      <c r="DY19" s="3835"/>
      <c r="DZ19" s="3835"/>
      <c r="EA19" s="3835"/>
      <c r="EB19" s="3835"/>
      <c r="EC19" s="3835"/>
      <c r="ED19" s="3835"/>
      <c r="EE19" s="3835"/>
      <c r="EF19" s="3835"/>
      <c r="EG19" s="3835"/>
      <c r="EH19" s="3835"/>
      <c r="EI19" s="3835"/>
      <c r="EJ19" s="3835"/>
      <c r="EK19" s="3835"/>
      <c r="EL19" s="3835"/>
      <c r="EM19" s="3835"/>
      <c r="EN19" s="3835"/>
      <c r="EO19" s="3835"/>
      <c r="EP19" s="3835"/>
      <c r="EQ19" s="3835"/>
      <c r="ER19" s="3835"/>
      <c r="ES19" s="3835"/>
      <c r="ET19" s="3835"/>
      <c r="EU19" s="3835"/>
      <c r="EV19" s="3835"/>
      <c r="EW19" s="3835"/>
      <c r="EX19" s="3835"/>
      <c r="EY19" s="3835"/>
      <c r="EZ19" s="3835"/>
      <c r="FA19" s="3835"/>
      <c r="FI19" s="1553">
        <v>0</v>
      </c>
    </row>
    <row s="24434" customFormat="1" customHeight="1" ht="22.5" hidden="1">
      <c r="L20" s="1727"/>
      <c r="M20" s="1760"/>
      <c r="N20" s="1760"/>
      <c r="O20" s="1765" t="s">
        <v>419</v>
      </c>
      <c r="P20" s="1760"/>
      <c r="Q20" s="1769"/>
      <c r="R20" s="1769"/>
      <c r="S20" s="1127"/>
      <c r="Z20" s="1765"/>
      <c r="AB20" s="1765"/>
      <c r="AC20" s="1764"/>
      <c r="AH20" s="1765"/>
      <c r="AJ20" s="1765"/>
      <c r="AK20" s="1764"/>
      <c r="AL20" s="4286"/>
      <c r="AM20" s="4286"/>
      <c r="AN20" s="4286"/>
      <c r="AO20" s="4286"/>
      <c r="AP20" s="4287"/>
      <c r="AQ20" s="4286"/>
      <c r="AR20" s="4287"/>
      <c r="AS20" s="4286"/>
      <c r="AT20" s="4286"/>
      <c r="AU20" s="4286"/>
      <c r="AV20" s="4286"/>
      <c r="AW20" s="4286"/>
      <c r="AX20" s="4287"/>
      <c r="AY20" s="4286"/>
      <c r="AZ20" s="4287"/>
      <c r="BA20" s="4286"/>
      <c r="BB20" s="4286"/>
      <c r="BC20" s="4286"/>
      <c r="BD20" s="4286"/>
      <c r="BE20" s="4286"/>
      <c r="BF20" s="4287"/>
      <c r="BG20" s="4286"/>
      <c r="BH20" s="4287"/>
      <c r="BI20" s="4286"/>
      <c r="BJ20" s="4286"/>
      <c r="BK20" s="4286"/>
      <c r="BL20" s="4286"/>
      <c r="BM20" s="4286"/>
      <c r="BN20" s="4287"/>
      <c r="BO20" s="4286"/>
      <c r="BP20" s="4287"/>
      <c r="BQ20" s="4286"/>
      <c r="BR20" s="4286"/>
      <c r="BS20" s="4286"/>
      <c r="BT20" s="4286"/>
      <c r="BU20" s="4286"/>
      <c r="BV20" s="4287"/>
      <c r="BW20" s="4286"/>
      <c r="BX20" s="4287"/>
      <c r="BY20" s="4286"/>
      <c r="BZ20" s="4286"/>
      <c r="CA20" s="4286"/>
      <c r="CB20" s="4286"/>
      <c r="CC20" s="4286"/>
      <c r="CD20" s="4287"/>
      <c r="CE20" s="4286"/>
      <c r="CF20" s="4287"/>
      <c r="CG20" s="4286"/>
      <c r="CH20" s="4286"/>
      <c r="CI20" s="4286"/>
      <c r="CJ20" s="4286"/>
      <c r="CK20" s="4286"/>
      <c r="CL20" s="4287"/>
      <c r="CM20" s="4286"/>
      <c r="CN20" s="4287"/>
      <c r="CO20" s="4286"/>
      <c r="CP20" s="4286"/>
      <c r="CQ20" s="4286"/>
      <c r="CR20" s="4286"/>
      <c r="CS20" s="4286"/>
      <c r="CT20" s="4287"/>
      <c r="CU20" s="4286"/>
      <c r="CV20" s="4287"/>
      <c r="CW20" s="4286"/>
      <c r="CX20" s="4286"/>
      <c r="CY20" s="4286"/>
      <c r="CZ20" s="4286"/>
      <c r="DA20" s="4286"/>
      <c r="DB20" s="4287"/>
      <c r="DC20" s="4286"/>
      <c r="DD20" s="4287"/>
      <c r="DE20" s="4286"/>
      <c r="DF20" s="4286"/>
      <c r="DG20" s="4286"/>
      <c r="DH20" s="4286"/>
      <c r="DI20" s="4286"/>
      <c r="DJ20" s="4287"/>
      <c r="DK20" s="4286"/>
      <c r="DL20" s="4287"/>
      <c r="DM20" s="4286"/>
      <c r="DN20" s="4286"/>
      <c r="DO20" s="4286"/>
      <c r="DP20" s="4286"/>
      <c r="DQ20" s="4286"/>
      <c r="DR20" s="4287"/>
      <c r="DS20" s="4286"/>
      <c r="DT20" s="4287"/>
      <c r="DU20" s="4286"/>
      <c r="DV20" s="4286"/>
      <c r="DW20" s="4286"/>
      <c r="DX20" s="4286"/>
      <c r="DY20" s="4286"/>
      <c r="DZ20" s="4287"/>
      <c r="EA20" s="4286"/>
      <c r="EB20" s="4287"/>
      <c r="EC20" s="4286"/>
      <c r="ED20" s="4286"/>
      <c r="EE20" s="4286"/>
      <c r="EF20" s="4286"/>
      <c r="EG20" s="4286"/>
      <c r="EH20" s="4287"/>
      <c r="EI20" s="4286"/>
      <c r="EJ20" s="4287"/>
      <c r="EK20" s="4286"/>
      <c r="EL20" s="4286"/>
      <c r="EM20" s="4286"/>
      <c r="EN20" s="4286"/>
      <c r="EO20" s="4286"/>
      <c r="EP20" s="4287"/>
      <c r="EQ20" s="4286"/>
      <c r="ER20" s="4287"/>
      <c r="ES20" s="4286"/>
      <c r="ET20" s="4286"/>
      <c r="EU20" s="4286"/>
      <c r="EV20" s="4286"/>
      <c r="EW20" s="4286"/>
      <c r="EX20" s="4287"/>
      <c r="EY20" s="4286"/>
      <c r="EZ20" s="4287"/>
      <c r="FA20" s="4286"/>
      <c r="FD20" s="909"/>
      <c r="FE20" s="909"/>
      <c r="FF20" s="909"/>
      <c r="FG20" s="909"/>
      <c r="FH20" s="909"/>
      <c r="FI20" s="1558">
        <v>0</v>
      </c>
    </row>
    <row s="24434" customFormat="1" customHeight="1" ht="14.25" hidden="1">
      <c r="L21" s="1727"/>
      <c r="M21" s="1760"/>
      <c r="N21" s="1760"/>
      <c r="O21" s="1760"/>
      <c r="P21" s="1760"/>
      <c r="Q21" s="1769"/>
      <c r="R21" s="1769"/>
      <c r="S21" s="1127"/>
      <c r="AC21" s="1764"/>
      <c r="AK21" s="1764"/>
      <c r="AL21" s="4286"/>
      <c r="AM21" s="4286"/>
      <c r="AN21" s="4286"/>
      <c r="AO21" s="4286"/>
      <c r="AP21" s="4286"/>
      <c r="AQ21" s="4286"/>
      <c r="AR21" s="4286"/>
      <c r="AS21" s="4286"/>
      <c r="AT21" s="4286"/>
      <c r="AU21" s="4286"/>
      <c r="AV21" s="4286"/>
      <c r="AW21" s="4286"/>
      <c r="AX21" s="4286"/>
      <c r="AY21" s="4286"/>
      <c r="AZ21" s="4286"/>
      <c r="BA21" s="4286"/>
      <c r="BB21" s="4286"/>
      <c r="BC21" s="4286"/>
      <c r="BD21" s="4286"/>
      <c r="BE21" s="4286"/>
      <c r="BF21" s="4286"/>
      <c r="BG21" s="4286"/>
      <c r="BH21" s="4286"/>
      <c r="BI21" s="4286"/>
      <c r="BJ21" s="4286"/>
      <c r="BK21" s="4286"/>
      <c r="BL21" s="4286"/>
      <c r="BM21" s="4286"/>
      <c r="BN21" s="4286"/>
      <c r="BO21" s="4286"/>
      <c r="BP21" s="4286"/>
      <c r="BQ21" s="4286"/>
      <c r="BR21" s="4286"/>
      <c r="BS21" s="4286"/>
      <c r="BT21" s="4286"/>
      <c r="BU21" s="4286"/>
      <c r="BV21" s="4286"/>
      <c r="BW21" s="4286"/>
      <c r="BX21" s="4286"/>
      <c r="BY21" s="4286"/>
      <c r="BZ21" s="4286"/>
      <c r="CA21" s="4286"/>
      <c r="CB21" s="4286"/>
      <c r="CC21" s="4286"/>
      <c r="CD21" s="4286"/>
      <c r="CE21" s="4286"/>
      <c r="CF21" s="4286"/>
      <c r="CG21" s="4286"/>
      <c r="CH21" s="4286"/>
      <c r="CI21" s="4286"/>
      <c r="CJ21" s="4286"/>
      <c r="CK21" s="4286"/>
      <c r="CL21" s="4286"/>
      <c r="CM21" s="4286"/>
      <c r="CN21" s="4286"/>
      <c r="CO21" s="4286"/>
      <c r="CP21" s="4286"/>
      <c r="CQ21" s="4286"/>
      <c r="CR21" s="4286"/>
      <c r="CS21" s="4286"/>
      <c r="CT21" s="4286"/>
      <c r="CU21" s="4286"/>
      <c r="CV21" s="4286"/>
      <c r="CW21" s="4286"/>
      <c r="CX21" s="4286"/>
      <c r="CY21" s="4286"/>
      <c r="CZ21" s="4286"/>
      <c r="DA21" s="4286"/>
      <c r="DB21" s="4286"/>
      <c r="DC21" s="4286"/>
      <c r="DD21" s="4286"/>
      <c r="DE21" s="4286"/>
      <c r="DF21" s="4286"/>
      <c r="DG21" s="4286"/>
      <c r="DH21" s="4286"/>
      <c r="DI21" s="4286"/>
      <c r="DJ21" s="4286"/>
      <c r="DK21" s="4286"/>
      <c r="DL21" s="4286"/>
      <c r="DM21" s="4286"/>
      <c r="DN21" s="4286"/>
      <c r="DO21" s="4286"/>
      <c r="DP21" s="4286"/>
      <c r="DQ21" s="4286"/>
      <c r="DR21" s="4286"/>
      <c r="DS21" s="4286"/>
      <c r="DT21" s="4286"/>
      <c r="DU21" s="4286"/>
      <c r="DV21" s="4286"/>
      <c r="DW21" s="4286"/>
      <c r="DX21" s="4286"/>
      <c r="DY21" s="4286"/>
      <c r="DZ21" s="4286"/>
      <c r="EA21" s="4286"/>
      <c r="EB21" s="4286"/>
      <c r="EC21" s="4286"/>
      <c r="ED21" s="4286"/>
      <c r="EE21" s="4286"/>
      <c r="EF21" s="4286"/>
      <c r="EG21" s="4286"/>
      <c r="EH21" s="4286"/>
      <c r="EI21" s="4286"/>
      <c r="EJ21" s="4286"/>
      <c r="EK21" s="4286"/>
      <c r="EL21" s="4286"/>
      <c r="EM21" s="4286"/>
      <c r="EN21" s="4286"/>
      <c r="EO21" s="4286"/>
      <c r="EP21" s="4286"/>
      <c r="EQ21" s="4286"/>
      <c r="ER21" s="4286"/>
      <c r="ES21" s="4286"/>
      <c r="ET21" s="4286"/>
      <c r="EU21" s="4286"/>
      <c r="EV21" s="4286"/>
      <c r="EW21" s="4286"/>
      <c r="EX21" s="4286"/>
      <c r="EY21" s="4286"/>
      <c r="EZ21" s="4286"/>
      <c r="FA21" s="4286"/>
      <c r="FD21" s="909"/>
      <c r="FE21" s="909"/>
      <c r="FF21" s="909"/>
      <c r="FG21" s="909"/>
      <c r="FH21" s="909"/>
      <c r="FI21" s="1558">
        <v>0</v>
      </c>
    </row>
    <row s="244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L22" s="4286"/>
      <c r="AM22" s="4286"/>
      <c r="AN22" s="4286"/>
      <c r="AO22" s="4286"/>
      <c r="AP22" s="4286"/>
      <c r="AQ22" s="4289" t="s">
        <v>422</v>
      </c>
      <c r="AR22" s="4286"/>
      <c r="AS22" s="4289" t="s">
        <v>423</v>
      </c>
      <c r="AT22" s="4286"/>
      <c r="AU22" s="4286"/>
      <c r="AV22" s="4286"/>
      <c r="AW22" s="4286"/>
      <c r="AX22" s="4286"/>
      <c r="AY22" s="4289" t="s">
        <v>422</v>
      </c>
      <c r="AZ22" s="4286"/>
      <c r="BA22" s="4289" t="s">
        <v>423</v>
      </c>
      <c r="BB22" s="4286"/>
      <c r="BC22" s="4286"/>
      <c r="BD22" s="4286"/>
      <c r="BE22" s="4286"/>
      <c r="BF22" s="4286"/>
      <c r="BG22" s="4289" t="s">
        <v>422</v>
      </c>
      <c r="BH22" s="4286"/>
      <c r="BI22" s="4289" t="s">
        <v>423</v>
      </c>
      <c r="BJ22" s="4286"/>
      <c r="BK22" s="4286"/>
      <c r="BL22" s="4286"/>
      <c r="BM22" s="4286"/>
      <c r="BN22" s="4286"/>
      <c r="BO22" s="4289" t="s">
        <v>422</v>
      </c>
      <c r="BP22" s="4286"/>
      <c r="BQ22" s="4289" t="s">
        <v>423</v>
      </c>
      <c r="BR22" s="4286"/>
      <c r="BS22" s="4286"/>
      <c r="BT22" s="4286"/>
      <c r="BU22" s="4286"/>
      <c r="BV22" s="4286"/>
      <c r="BW22" s="4289" t="s">
        <v>422</v>
      </c>
      <c r="BX22" s="4286"/>
      <c r="BY22" s="4289" t="s">
        <v>423</v>
      </c>
      <c r="BZ22" s="4286"/>
      <c r="CA22" s="4286"/>
      <c r="CB22" s="4286"/>
      <c r="CC22" s="4286"/>
      <c r="CD22" s="4286"/>
      <c r="CE22" s="4289" t="s">
        <v>422</v>
      </c>
      <c r="CF22" s="4286"/>
      <c r="CG22" s="4289" t="s">
        <v>423</v>
      </c>
      <c r="CH22" s="4286"/>
      <c r="CI22" s="4286"/>
      <c r="CJ22" s="4286"/>
      <c r="CK22" s="4286"/>
      <c r="CL22" s="4286"/>
      <c r="CM22" s="4289" t="s">
        <v>422</v>
      </c>
      <c r="CN22" s="4286"/>
      <c r="CO22" s="4289" t="s">
        <v>423</v>
      </c>
      <c r="CP22" s="4286"/>
      <c r="CQ22" s="4286"/>
      <c r="CR22" s="4286"/>
      <c r="CS22" s="4286"/>
      <c r="CT22" s="4286"/>
      <c r="CU22" s="4289" t="s">
        <v>422</v>
      </c>
      <c r="CV22" s="4286"/>
      <c r="CW22" s="4289" t="s">
        <v>423</v>
      </c>
      <c r="CX22" s="4286"/>
      <c r="CY22" s="4286"/>
      <c r="CZ22" s="4286"/>
      <c r="DA22" s="4286"/>
      <c r="DB22" s="4286"/>
      <c r="DC22" s="4289" t="s">
        <v>422</v>
      </c>
      <c r="DD22" s="4286"/>
      <c r="DE22" s="4289" t="s">
        <v>423</v>
      </c>
      <c r="DF22" s="4286"/>
      <c r="DG22" s="4286"/>
      <c r="DH22" s="4286"/>
      <c r="DI22" s="4286"/>
      <c r="DJ22" s="4286"/>
      <c r="DK22" s="4289" t="s">
        <v>422</v>
      </c>
      <c r="DL22" s="4286"/>
      <c r="DM22" s="4289" t="s">
        <v>423</v>
      </c>
      <c r="DN22" s="4286"/>
      <c r="DO22" s="4286"/>
      <c r="DP22" s="4286"/>
      <c r="DQ22" s="4286"/>
      <c r="DR22" s="4286"/>
      <c r="DS22" s="4289" t="s">
        <v>422</v>
      </c>
      <c r="DT22" s="4286"/>
      <c r="DU22" s="4289" t="s">
        <v>423</v>
      </c>
      <c r="DV22" s="4286"/>
      <c r="DW22" s="4286"/>
      <c r="DX22" s="4286"/>
      <c r="DY22" s="4286"/>
      <c r="DZ22" s="4286"/>
      <c r="EA22" s="4289" t="s">
        <v>422</v>
      </c>
      <c r="EB22" s="4286"/>
      <c r="EC22" s="4289" t="s">
        <v>423</v>
      </c>
      <c r="ED22" s="4286"/>
      <c r="EE22" s="4286"/>
      <c r="EF22" s="4286"/>
      <c r="EG22" s="4286"/>
      <c r="EH22" s="4286"/>
      <c r="EI22" s="4289" t="s">
        <v>422</v>
      </c>
      <c r="EJ22" s="4286"/>
      <c r="EK22" s="4289" t="s">
        <v>423</v>
      </c>
      <c r="EL22" s="4286"/>
      <c r="EM22" s="4286"/>
      <c r="EN22" s="4286"/>
      <c r="EO22" s="4286"/>
      <c r="EP22" s="4286"/>
      <c r="EQ22" s="4289" t="s">
        <v>422</v>
      </c>
      <c r="ER22" s="4286"/>
      <c r="ES22" s="4289" t="s">
        <v>423</v>
      </c>
      <c r="ET22" s="4286"/>
      <c r="EU22" s="4286"/>
      <c r="EV22" s="4286"/>
      <c r="EW22" s="4286"/>
      <c r="EX22" s="4286"/>
      <c r="EY22" s="4289" t="s">
        <v>422</v>
      </c>
      <c r="EZ22" s="4286"/>
      <c r="FA22" s="4289" t="s">
        <v>423</v>
      </c>
      <c r="FD22" s="909"/>
      <c r="FE22" s="909"/>
      <c r="FF22" s="909"/>
      <c r="FG22" s="909"/>
      <c r="FH22" s="909"/>
      <c r="FI22" s="1558">
        <v>0</v>
      </c>
    </row>
    <row customHeight="1" ht="14.25" hidden="1">
      <c r="O23" s="1762"/>
      <c r="P23" s="1709"/>
      <c r="AL23" s="3835"/>
      <c r="AM23" s="3835"/>
      <c r="AN23" s="3835"/>
      <c r="AO23" s="3835"/>
      <c r="AP23" s="3835"/>
      <c r="AQ23" s="3835"/>
      <c r="AR23" s="3835"/>
      <c r="AS23" s="3835"/>
      <c r="AT23" s="3835"/>
      <c r="AU23" s="3835"/>
      <c r="AV23" s="3835"/>
      <c r="AW23" s="3835"/>
      <c r="AX23" s="3835"/>
      <c r="AY23" s="3835"/>
      <c r="AZ23" s="3835"/>
      <c r="BA23" s="3835"/>
      <c r="BB23" s="3835"/>
      <c r="BC23" s="3835"/>
      <c r="BD23" s="3835"/>
      <c r="BE23" s="3835"/>
      <c r="BF23" s="3835"/>
      <c r="BG23" s="3835"/>
      <c r="BH23" s="3835"/>
      <c r="BI23" s="3835"/>
      <c r="BJ23" s="3835"/>
      <c r="BK23" s="3835"/>
      <c r="BL23" s="3835"/>
      <c r="BM23" s="3835"/>
      <c r="BN23" s="3835"/>
      <c r="BO23" s="3835"/>
      <c r="BP23" s="3835"/>
      <c r="BQ23" s="3835"/>
      <c r="BR23" s="3835"/>
      <c r="BS23" s="3835"/>
      <c r="BT23" s="3835"/>
      <c r="BU23" s="3835"/>
      <c r="BV23" s="3835"/>
      <c r="BW23" s="3835"/>
      <c r="BX23" s="3835"/>
      <c r="BY23" s="3835"/>
      <c r="BZ23" s="3835"/>
      <c r="CA23" s="3835"/>
      <c r="CB23" s="3835"/>
      <c r="CC23" s="3835"/>
      <c r="CD23" s="3835"/>
      <c r="CE23" s="3835"/>
      <c r="CF23" s="3835"/>
      <c r="CG23" s="3835"/>
      <c r="CH23" s="3835"/>
      <c r="CI23" s="3835"/>
      <c r="CJ23" s="3835"/>
      <c r="CK23" s="3835"/>
      <c r="CL23" s="3835"/>
      <c r="CM23" s="3835"/>
      <c r="CN23" s="3835"/>
      <c r="CO23" s="3835"/>
      <c r="CP23" s="3835"/>
      <c r="CQ23" s="3835"/>
      <c r="CR23" s="3835"/>
      <c r="CS23" s="3835"/>
      <c r="CT23" s="3835"/>
      <c r="CU23" s="3835"/>
      <c r="CV23" s="3835"/>
      <c r="CW23" s="3835"/>
      <c r="CX23" s="3835"/>
      <c r="CY23" s="3835"/>
      <c r="CZ23" s="3835"/>
      <c r="DA23" s="3835"/>
      <c r="DB23" s="3835"/>
      <c r="DC23" s="3835"/>
      <c r="DD23" s="3835"/>
      <c r="DE23" s="3835"/>
      <c r="DF23" s="3835"/>
      <c r="DG23" s="3835"/>
      <c r="DH23" s="3835"/>
      <c r="DI23" s="3835"/>
      <c r="DJ23" s="3835"/>
      <c r="DK23" s="3835"/>
      <c r="DL23" s="3835"/>
      <c r="DM23" s="3835"/>
      <c r="DN23" s="3835"/>
      <c r="DO23" s="3835"/>
      <c r="DP23" s="3835"/>
      <c r="DQ23" s="3835"/>
      <c r="DR23" s="3835"/>
      <c r="DS23" s="3835"/>
      <c r="DT23" s="3835"/>
      <c r="DU23" s="3835"/>
      <c r="DV23" s="3835"/>
      <c r="DW23" s="3835"/>
      <c r="DX23" s="3835"/>
      <c r="DY23" s="3835"/>
      <c r="DZ23" s="3835"/>
      <c r="EA23" s="3835"/>
      <c r="EB23" s="3835"/>
      <c r="EC23" s="3835"/>
      <c r="ED23" s="3835"/>
      <c r="EE23" s="3835"/>
      <c r="EF23" s="3835"/>
      <c r="EG23" s="3835"/>
      <c r="EH23" s="3835"/>
      <c r="EI23" s="3835"/>
      <c r="EJ23" s="3835"/>
      <c r="EK23" s="3835"/>
      <c r="EL23" s="3835"/>
      <c r="EM23" s="3835"/>
      <c r="EN23" s="3835"/>
      <c r="EO23" s="3835"/>
      <c r="EP23" s="3835"/>
      <c r="EQ23" s="3835"/>
      <c r="ER23" s="3835"/>
      <c r="ES23" s="3835"/>
      <c r="ET23" s="3835"/>
      <c r="EU23" s="3835"/>
      <c r="EV23" s="3835"/>
      <c r="EW23" s="3835"/>
      <c r="EX23" s="3835"/>
      <c r="EY23" s="3835"/>
      <c r="EZ23" s="3835"/>
      <c r="FA23" s="3835"/>
      <c r="FI23" s="1553">
        <v>0</v>
      </c>
    </row>
    <row customHeight="1" ht="14.25" hidden="1">
      <c r="O24" s="1762"/>
      <c r="P24" s="1709"/>
      <c r="AL24" s="3835"/>
      <c r="AM24" s="3835"/>
      <c r="AN24" s="3835"/>
      <c r="AO24" s="3835"/>
      <c r="AP24" s="3835"/>
      <c r="AQ24" s="3835"/>
      <c r="AR24" s="3835"/>
      <c r="AS24" s="3835"/>
      <c r="AT24" s="3835"/>
      <c r="AU24" s="3835"/>
      <c r="AV24" s="3835"/>
      <c r="AW24" s="3835"/>
      <c r="AX24" s="3835"/>
      <c r="AY24" s="3835"/>
      <c r="AZ24" s="3835"/>
      <c r="BA24" s="3835"/>
      <c r="BB24" s="3835"/>
      <c r="BC24" s="3835"/>
      <c r="BD24" s="3835"/>
      <c r="BE24" s="3835"/>
      <c r="BF24" s="3835"/>
      <c r="BG24" s="3835"/>
      <c r="BH24" s="3835"/>
      <c r="BI24" s="3835"/>
      <c r="BJ24" s="3835"/>
      <c r="BK24" s="3835"/>
      <c r="BL24" s="3835"/>
      <c r="BM24" s="3835"/>
      <c r="BN24" s="3835"/>
      <c r="BO24" s="3835"/>
      <c r="BP24" s="3835"/>
      <c r="BQ24" s="3835"/>
      <c r="BR24" s="3835"/>
      <c r="BS24" s="3835"/>
      <c r="BT24" s="3835"/>
      <c r="BU24" s="3835"/>
      <c r="BV24" s="3835"/>
      <c r="BW24" s="3835"/>
      <c r="BX24" s="3835"/>
      <c r="BY24" s="3835"/>
      <c r="BZ24" s="3835"/>
      <c r="CA24" s="3835"/>
      <c r="CB24" s="3835"/>
      <c r="CC24" s="3835"/>
      <c r="CD24" s="3835"/>
      <c r="CE24" s="3835"/>
      <c r="CF24" s="3835"/>
      <c r="CG24" s="3835"/>
      <c r="CH24" s="3835"/>
      <c r="CI24" s="3835"/>
      <c r="CJ24" s="3835"/>
      <c r="CK24" s="3835"/>
      <c r="CL24" s="3835"/>
      <c r="CM24" s="3835"/>
      <c r="CN24" s="3835"/>
      <c r="CO24" s="3835"/>
      <c r="CP24" s="3835"/>
      <c r="CQ24" s="3835"/>
      <c r="CR24" s="3835"/>
      <c r="CS24" s="3835"/>
      <c r="CT24" s="3835"/>
      <c r="CU24" s="3835"/>
      <c r="CV24" s="3835"/>
      <c r="CW24" s="3835"/>
      <c r="CX24" s="3835"/>
      <c r="CY24" s="3835"/>
      <c r="CZ24" s="3835"/>
      <c r="DA24" s="3835"/>
      <c r="DB24" s="3835"/>
      <c r="DC24" s="3835"/>
      <c r="DD24" s="3835"/>
      <c r="DE24" s="3835"/>
      <c r="DF24" s="3835"/>
      <c r="DG24" s="3835"/>
      <c r="DH24" s="3835"/>
      <c r="DI24" s="3835"/>
      <c r="DJ24" s="3835"/>
      <c r="DK24" s="3835"/>
      <c r="DL24" s="3835"/>
      <c r="DM24" s="3835"/>
      <c r="DN24" s="3835"/>
      <c r="DO24" s="3835"/>
      <c r="DP24" s="3835"/>
      <c r="DQ24" s="3835"/>
      <c r="DR24" s="3835"/>
      <c r="DS24" s="3835"/>
      <c r="DT24" s="3835"/>
      <c r="DU24" s="3835"/>
      <c r="DV24" s="3835"/>
      <c r="DW24" s="3835"/>
      <c r="DX24" s="3835"/>
      <c r="DY24" s="3835"/>
      <c r="DZ24" s="3835"/>
      <c r="EA24" s="3835"/>
      <c r="EB24" s="3835"/>
      <c r="EC24" s="3835"/>
      <c r="ED24" s="3835"/>
      <c r="EE24" s="3835"/>
      <c r="EF24" s="3835"/>
      <c r="EG24" s="3835"/>
      <c r="EH24" s="3835"/>
      <c r="EI24" s="3835"/>
      <c r="EJ24" s="3835"/>
      <c r="EK24" s="3835"/>
      <c r="EL24" s="3835"/>
      <c r="EM24" s="3835"/>
      <c r="EN24" s="3835"/>
      <c r="EO24" s="3835"/>
      <c r="EP24" s="3835"/>
      <c r="EQ24" s="3835"/>
      <c r="ER24" s="3835"/>
      <c r="ES24" s="3835"/>
      <c r="ET24" s="3835"/>
      <c r="EU24" s="3835"/>
      <c r="EV24" s="3835"/>
      <c r="EW24" s="3835"/>
      <c r="EX24" s="3835"/>
      <c r="EY24" s="3835"/>
      <c r="EZ24" s="3835"/>
      <c r="FA24" s="3835"/>
      <c r="FI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L25" s="3835"/>
      <c r="AM25" s="3835"/>
      <c r="AN25" s="3835"/>
      <c r="AO25" s="3835"/>
      <c r="AP25" s="3835"/>
      <c r="AQ25" s="3835"/>
      <c r="AR25" s="3835"/>
      <c r="AS25" s="3835"/>
      <c r="AT25" s="3835"/>
      <c r="AU25" s="3835"/>
      <c r="AV25" s="3835"/>
      <c r="AW25" s="3835"/>
      <c r="AX25" s="3835"/>
      <c r="AY25" s="3835"/>
      <c r="AZ25" s="3835"/>
      <c r="BA25" s="3835"/>
      <c r="BB25" s="3835"/>
      <c r="BC25" s="3835"/>
      <c r="BD25" s="3835"/>
      <c r="BE25" s="3835"/>
      <c r="BF25" s="3835"/>
      <c r="BG25" s="3835"/>
      <c r="BH25" s="3835"/>
      <c r="BI25" s="3835"/>
      <c r="BJ25" s="3835"/>
      <c r="BK25" s="3835"/>
      <c r="BL25" s="3835"/>
      <c r="BM25" s="3835"/>
      <c r="BN25" s="3835"/>
      <c r="BO25" s="3835"/>
      <c r="BP25" s="3835"/>
      <c r="BQ25" s="3835"/>
      <c r="BR25" s="3835"/>
      <c r="BS25" s="3835"/>
      <c r="BT25" s="3835"/>
      <c r="BU25" s="3835"/>
      <c r="BV25" s="3835"/>
      <c r="BW25" s="3835"/>
      <c r="BX25" s="3835"/>
      <c r="BY25" s="3835"/>
      <c r="BZ25" s="3835"/>
      <c r="CA25" s="3835"/>
      <c r="CB25" s="3835"/>
      <c r="CC25" s="3835"/>
      <c r="CD25" s="3835"/>
      <c r="CE25" s="3835"/>
      <c r="CF25" s="3835"/>
      <c r="CG25" s="3835"/>
      <c r="CH25" s="3835"/>
      <c r="CI25" s="3835"/>
      <c r="CJ25" s="3835"/>
      <c r="CK25" s="3835"/>
      <c r="CL25" s="3835"/>
      <c r="CM25" s="3835"/>
      <c r="CN25" s="3835"/>
      <c r="CO25" s="3835"/>
      <c r="CP25" s="3835"/>
      <c r="CQ25" s="3835"/>
      <c r="CR25" s="3835"/>
      <c r="CS25" s="3835"/>
      <c r="CT25" s="3835"/>
      <c r="CU25" s="3835"/>
      <c r="CV25" s="3835"/>
      <c r="CW25" s="3835"/>
      <c r="CX25" s="3835"/>
      <c r="CY25" s="3835"/>
      <c r="CZ25" s="3835"/>
      <c r="DA25" s="3835"/>
      <c r="DB25" s="3835"/>
      <c r="DC25" s="3835"/>
      <c r="DD25" s="3835"/>
      <c r="DE25" s="3835"/>
      <c r="DF25" s="3835"/>
      <c r="DG25" s="3835"/>
      <c r="DH25" s="3835"/>
      <c r="DI25" s="3835"/>
      <c r="DJ25" s="3835"/>
      <c r="DK25" s="3835"/>
      <c r="DL25" s="3835"/>
      <c r="DM25" s="3835"/>
      <c r="DN25" s="3835"/>
      <c r="DO25" s="3835"/>
      <c r="DP25" s="3835"/>
      <c r="DQ25" s="3835"/>
      <c r="DR25" s="3835"/>
      <c r="DS25" s="3835"/>
      <c r="DT25" s="3835"/>
      <c r="DU25" s="3835"/>
      <c r="DV25" s="3835"/>
      <c r="DW25" s="3835"/>
      <c r="DX25" s="3835"/>
      <c r="DY25" s="3835"/>
      <c r="DZ25" s="3835"/>
      <c r="EA25" s="3835"/>
      <c r="EB25" s="3835"/>
      <c r="EC25" s="3835"/>
      <c r="ED25" s="3835"/>
      <c r="EE25" s="3835"/>
      <c r="EF25" s="3835"/>
      <c r="EG25" s="3835"/>
      <c r="EH25" s="3835"/>
      <c r="EI25" s="3835"/>
      <c r="EJ25" s="3835"/>
      <c r="EK25" s="3835"/>
      <c r="EL25" s="3835"/>
      <c r="EM25" s="3835"/>
      <c r="EN25" s="3835"/>
      <c r="EO25" s="3835"/>
      <c r="EP25" s="3835"/>
      <c r="EQ25" s="3835"/>
      <c r="ER25" s="3835"/>
      <c r="ES25" s="3835"/>
      <c r="ET25" s="3835"/>
      <c r="EU25" s="3835"/>
      <c r="EV25" s="3835"/>
      <c r="EW25" s="3835"/>
      <c r="EX25" s="3835"/>
      <c r="EY25" s="3835"/>
      <c r="EZ25" s="3835"/>
      <c r="FA25" s="3835"/>
      <c r="FI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L26" s="4295"/>
      <c r="AM26" s="4295"/>
      <c r="AN26" s="4295"/>
      <c r="AO26" s="4295"/>
      <c r="AP26" s="4295"/>
      <c r="AQ26" s="4295"/>
      <c r="AR26" s="4295"/>
      <c r="AS26" s="4295"/>
      <c r="AT26" s="4295"/>
      <c r="AU26" s="4295"/>
      <c r="AV26" s="4295"/>
      <c r="AW26" s="4295"/>
      <c r="AX26" s="4295"/>
      <c r="AY26" s="4295"/>
      <c r="AZ26" s="4295"/>
      <c r="BA26" s="4295"/>
      <c r="BB26" s="4295"/>
      <c r="BC26" s="4295"/>
      <c r="BD26" s="4295"/>
      <c r="BE26" s="4295"/>
      <c r="BF26" s="4295"/>
      <c r="BG26" s="4295"/>
      <c r="BH26" s="4295"/>
      <c r="BI26" s="4295"/>
      <c r="BJ26" s="4295"/>
      <c r="BK26" s="4295"/>
      <c r="BL26" s="4295"/>
      <c r="BM26" s="4295"/>
      <c r="BN26" s="4295"/>
      <c r="BO26" s="4295"/>
      <c r="BP26" s="4295"/>
      <c r="BQ26" s="4295"/>
      <c r="BR26" s="4295"/>
      <c r="BS26" s="4295"/>
      <c r="BT26" s="4295"/>
      <c r="BU26" s="4295"/>
      <c r="BV26" s="4295"/>
      <c r="BW26" s="4295"/>
      <c r="BX26" s="4295"/>
      <c r="BY26" s="4295"/>
      <c r="BZ26" s="4295"/>
      <c r="CA26" s="4295"/>
      <c r="CB26" s="4295"/>
      <c r="CC26" s="4295"/>
      <c r="CD26" s="4295"/>
      <c r="CE26" s="4295"/>
      <c r="CF26" s="4295"/>
      <c r="CG26" s="4295"/>
      <c r="CH26" s="4295"/>
      <c r="CI26" s="4295"/>
      <c r="CJ26" s="4295"/>
      <c r="CK26" s="4295"/>
      <c r="CL26" s="4295"/>
      <c r="CM26" s="4295"/>
      <c r="CN26" s="4295"/>
      <c r="CO26" s="4295"/>
      <c r="CP26" s="4295"/>
      <c r="CQ26" s="4295"/>
      <c r="CR26" s="4295"/>
      <c r="CS26" s="4295"/>
      <c r="CT26" s="4295"/>
      <c r="CU26" s="4295"/>
      <c r="CV26" s="4295"/>
      <c r="CW26" s="4295"/>
      <c r="CX26" s="4295"/>
      <c r="CY26" s="4295"/>
      <c r="CZ26" s="4295"/>
      <c r="DA26" s="4295"/>
      <c r="DB26" s="4295"/>
      <c r="DC26" s="4295"/>
      <c r="DD26" s="4295"/>
      <c r="DE26" s="4295"/>
      <c r="DF26" s="4295"/>
      <c r="DG26" s="4295"/>
      <c r="DH26" s="4295"/>
      <c r="DI26" s="4295"/>
      <c r="DJ26" s="4295"/>
      <c r="DK26" s="4295"/>
      <c r="DL26" s="4295"/>
      <c r="DM26" s="4295"/>
      <c r="DN26" s="4295"/>
      <c r="DO26" s="4295"/>
      <c r="DP26" s="4295"/>
      <c r="DQ26" s="4295"/>
      <c r="DR26" s="4295"/>
      <c r="DS26" s="4295"/>
      <c r="DT26" s="4295"/>
      <c r="DU26" s="4295"/>
      <c r="DV26" s="4295"/>
      <c r="DW26" s="4295"/>
      <c r="DX26" s="4295"/>
      <c r="DY26" s="4295"/>
      <c r="DZ26" s="4295"/>
      <c r="EA26" s="4295"/>
      <c r="EB26" s="4295"/>
      <c r="EC26" s="4295"/>
      <c r="ED26" s="4295"/>
      <c r="EE26" s="4295"/>
      <c r="EF26" s="4295"/>
      <c r="EG26" s="4295"/>
      <c r="EH26" s="4295"/>
      <c r="EI26" s="4295"/>
      <c r="EJ26" s="4295"/>
      <c r="EK26" s="4295"/>
      <c r="EL26" s="4295"/>
      <c r="EM26" s="4295"/>
      <c r="EN26" s="4295"/>
      <c r="EO26" s="4295"/>
      <c r="EP26" s="4295"/>
      <c r="EQ26" s="4295"/>
      <c r="ER26" s="4295"/>
      <c r="ES26" s="4295"/>
      <c r="ET26" s="4295"/>
      <c r="EU26" s="4295"/>
      <c r="EV26" s="4295"/>
      <c r="EW26" s="4295"/>
      <c r="EX26" s="4295"/>
      <c r="EY26" s="4295"/>
      <c r="EZ26" s="4295"/>
      <c r="FA26" s="4295"/>
      <c r="FI26" s="1553">
        <v>14</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L27" s="4297"/>
      <c r="AM27" s="4297"/>
      <c r="AN27" s="4297"/>
      <c r="AO27" s="4297"/>
      <c r="AP27" s="4297"/>
      <c r="AQ27" s="4297"/>
      <c r="AR27" s="4297"/>
      <c r="AS27" s="4297"/>
      <c r="AT27" s="4297"/>
      <c r="AU27" s="4297"/>
      <c r="AV27" s="4297"/>
      <c r="AW27" s="4297"/>
      <c r="AX27" s="4297"/>
      <c r="AY27" s="4297"/>
      <c r="AZ27" s="4297"/>
      <c r="BA27" s="4297"/>
      <c r="BB27" s="4297"/>
      <c r="BC27" s="4297"/>
      <c r="BD27" s="4297"/>
      <c r="BE27" s="4297"/>
      <c r="BF27" s="4297"/>
      <c r="BG27" s="4297"/>
      <c r="BH27" s="4297"/>
      <c r="BI27" s="4297"/>
      <c r="BJ27" s="4297"/>
      <c r="BK27" s="4297"/>
      <c r="BL27" s="4297"/>
      <c r="BM27" s="4297"/>
      <c r="BN27" s="4297"/>
      <c r="BO27" s="4297"/>
      <c r="BP27" s="4297"/>
      <c r="BQ27" s="4297"/>
      <c r="BR27" s="4297"/>
      <c r="BS27" s="4297"/>
      <c r="BT27" s="4297"/>
      <c r="BU27" s="4297"/>
      <c r="BV27" s="4297"/>
      <c r="BW27" s="4297"/>
      <c r="BX27" s="4297"/>
      <c r="BY27" s="4297"/>
      <c r="BZ27" s="4297"/>
      <c r="CA27" s="4297"/>
      <c r="CB27" s="4297"/>
      <c r="CC27" s="4297"/>
      <c r="CD27" s="4297"/>
      <c r="CE27" s="4297"/>
      <c r="CF27" s="4297"/>
      <c r="CG27" s="4297"/>
      <c r="CH27" s="4297"/>
      <c r="CI27" s="4297"/>
      <c r="CJ27" s="4297"/>
      <c r="CK27" s="4297"/>
      <c r="CL27" s="4297"/>
      <c r="CM27" s="4297"/>
      <c r="CN27" s="4297"/>
      <c r="CO27" s="4297"/>
      <c r="CP27" s="4297"/>
      <c r="CQ27" s="4297"/>
      <c r="CR27" s="4297"/>
      <c r="CS27" s="4297"/>
      <c r="CT27" s="4297"/>
      <c r="CU27" s="4297"/>
      <c r="CV27" s="4297"/>
      <c r="CW27" s="4297"/>
      <c r="CX27" s="4297"/>
      <c r="CY27" s="4297"/>
      <c r="CZ27" s="4297"/>
      <c r="DA27" s="4297"/>
      <c r="DB27" s="4297"/>
      <c r="DC27" s="4297"/>
      <c r="DD27" s="4297"/>
      <c r="DE27" s="4297"/>
      <c r="DF27" s="4297"/>
      <c r="DG27" s="4297"/>
      <c r="DH27" s="4297"/>
      <c r="DI27" s="4297"/>
      <c r="DJ27" s="4297"/>
      <c r="DK27" s="4297"/>
      <c r="DL27" s="4297"/>
      <c r="DM27" s="4297"/>
      <c r="DN27" s="4297"/>
      <c r="DO27" s="4297"/>
      <c r="DP27" s="4297"/>
      <c r="DQ27" s="4297"/>
      <c r="DR27" s="4297"/>
      <c r="DS27" s="4297"/>
      <c r="DT27" s="4297"/>
      <c r="DU27" s="4297"/>
      <c r="DV27" s="4297"/>
      <c r="DW27" s="4297"/>
      <c r="DX27" s="4297"/>
      <c r="DY27" s="4297"/>
      <c r="DZ27" s="4297"/>
      <c r="EA27" s="4297"/>
      <c r="EB27" s="4297"/>
      <c r="EC27" s="4297"/>
      <c r="ED27" s="4297"/>
      <c r="EE27" s="4297"/>
      <c r="EF27" s="4297"/>
      <c r="EG27" s="4297"/>
      <c r="EH27" s="4297"/>
      <c r="EI27" s="4297"/>
      <c r="EJ27" s="4297"/>
      <c r="EK27" s="4297"/>
      <c r="EL27" s="4297"/>
      <c r="EM27" s="4297"/>
      <c r="EN27" s="4297"/>
      <c r="EO27" s="4297"/>
      <c r="EP27" s="4297"/>
      <c r="EQ27" s="4297"/>
      <c r="ER27" s="4297"/>
      <c r="ES27" s="4297"/>
      <c r="ET27" s="4297"/>
      <c r="EU27" s="4297"/>
      <c r="EV27" s="4297"/>
      <c r="EW27" s="4297"/>
      <c r="EX27" s="4297"/>
      <c r="EY27" s="4297"/>
      <c r="EZ27" s="4297"/>
      <c r="FA27" s="4297"/>
      <c r="FI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4299"/>
      <c r="AM28" s="4299"/>
      <c r="AN28" s="4299"/>
      <c r="AO28" s="4299"/>
      <c r="AP28" s="4299"/>
      <c r="AQ28" s="4299"/>
      <c r="AR28" s="4299"/>
      <c r="AS28" s="4299"/>
      <c r="AT28" s="4299"/>
      <c r="AU28" s="4299"/>
      <c r="AV28" s="4299"/>
      <c r="AW28" s="4299"/>
      <c r="AX28" s="4299"/>
      <c r="AY28" s="4299"/>
      <c r="AZ28" s="4299"/>
      <c r="BA28" s="4299"/>
      <c r="BB28" s="4299"/>
      <c r="BC28" s="4299"/>
      <c r="BD28" s="4299"/>
      <c r="BE28" s="4299"/>
      <c r="BF28" s="4299"/>
      <c r="BG28" s="4299"/>
      <c r="BH28" s="4299"/>
      <c r="BI28" s="4299"/>
      <c r="BJ28" s="4299"/>
      <c r="BK28" s="4299"/>
      <c r="BL28" s="4299"/>
      <c r="BM28" s="4299"/>
      <c r="BN28" s="4299"/>
      <c r="BO28" s="4299"/>
      <c r="BP28" s="4299"/>
      <c r="BQ28" s="4299"/>
      <c r="BR28" s="4299"/>
      <c r="BS28" s="4299"/>
      <c r="BT28" s="4299"/>
      <c r="BU28" s="4299"/>
      <c r="BV28" s="4299"/>
      <c r="BW28" s="4299"/>
      <c r="BX28" s="4299"/>
      <c r="BY28" s="4299"/>
      <c r="BZ28" s="4299"/>
      <c r="CA28" s="4299"/>
      <c r="CB28" s="4299"/>
      <c r="CC28" s="4299"/>
      <c r="CD28" s="4299"/>
      <c r="CE28" s="4299"/>
      <c r="CF28" s="4299"/>
      <c r="CG28" s="4299"/>
      <c r="CH28" s="4299"/>
      <c r="CI28" s="4299"/>
      <c r="CJ28" s="4299"/>
      <c r="CK28" s="4299"/>
      <c r="CL28" s="4299"/>
      <c r="CM28" s="4299"/>
      <c r="CN28" s="4299"/>
      <c r="CO28" s="4299"/>
      <c r="CP28" s="4299"/>
      <c r="CQ28" s="4299"/>
      <c r="CR28" s="4299"/>
      <c r="CS28" s="4299"/>
      <c r="CT28" s="4299"/>
      <c r="CU28" s="4299"/>
      <c r="CV28" s="4299"/>
      <c r="CW28" s="4299"/>
      <c r="CX28" s="4299"/>
      <c r="CY28" s="4299"/>
      <c r="CZ28" s="4299"/>
      <c r="DA28" s="4299"/>
      <c r="DB28" s="4299"/>
      <c r="DC28" s="4299"/>
      <c r="DD28" s="4299"/>
      <c r="DE28" s="4299"/>
      <c r="DF28" s="4299"/>
      <c r="DG28" s="4299"/>
      <c r="DH28" s="4299"/>
      <c r="DI28" s="4299"/>
      <c r="DJ28" s="4299"/>
      <c r="DK28" s="4299"/>
      <c r="DL28" s="4299"/>
      <c r="DM28" s="4299"/>
      <c r="DN28" s="4299"/>
      <c r="DO28" s="4299"/>
      <c r="DP28" s="4299"/>
      <c r="DQ28" s="4299"/>
      <c r="DR28" s="4299"/>
      <c r="DS28" s="4299"/>
      <c r="DT28" s="4299"/>
      <c r="DU28" s="4299"/>
      <c r="DV28" s="4299"/>
      <c r="DW28" s="4299"/>
      <c r="DX28" s="4299"/>
      <c r="DY28" s="4299"/>
      <c r="DZ28" s="4299"/>
      <c r="EA28" s="4299"/>
      <c r="EB28" s="4299"/>
      <c r="EC28" s="4299"/>
      <c r="ED28" s="4299"/>
      <c r="EE28" s="4299"/>
      <c r="EF28" s="4299"/>
      <c r="EG28" s="4299"/>
      <c r="EH28" s="4299"/>
      <c r="EI28" s="4299"/>
      <c r="EJ28" s="4299"/>
      <c r="EK28" s="4299"/>
      <c r="EL28" s="4299"/>
      <c r="EM28" s="4299"/>
      <c r="EN28" s="4299"/>
      <c r="EO28" s="4299"/>
      <c r="EP28" s="4299"/>
      <c r="EQ28" s="4299"/>
      <c r="ER28" s="4299"/>
      <c r="ES28" s="4299"/>
      <c r="ET28" s="4299"/>
      <c r="EU28" s="4299"/>
      <c r="EV28" s="4299"/>
      <c r="EW28" s="4299"/>
      <c r="EX28" s="4299"/>
      <c r="EY28" s="4299"/>
      <c r="EZ28" s="4299"/>
      <c r="FA28" s="4299"/>
      <c r="FB28" s="907"/>
      <c r="FI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4306" t="str">
        <f>IF(TITLE_NAME_OR_PR_CHANGE="",IF(TITLE_NAME_OR_PR="","",TITLE_NAME_OR_PR),TITLE_NAME_OR_PR_CHANGE)</f>
        <v/>
      </c>
      <c r="AM29" s="4306"/>
      <c r="AN29" s="4306"/>
      <c r="AO29" s="4306"/>
      <c r="AP29" s="4306"/>
      <c r="AQ29" s="4306"/>
      <c r="AR29" s="4306"/>
      <c r="AS29" s="3835"/>
      <c r="AT29" s="4306" t="str">
        <f>IF(TITLE_NAME_OR_PR_CHANGE="",IF(TITLE_NAME_OR_PR="","",TITLE_NAME_OR_PR),TITLE_NAME_OR_PR_CHANGE)</f>
        <v/>
      </c>
      <c r="AU29" s="4306"/>
      <c r="AV29" s="4306"/>
      <c r="AW29" s="4306"/>
      <c r="AX29" s="4306"/>
      <c r="AY29" s="4306"/>
      <c r="AZ29" s="4306"/>
      <c r="BA29" s="3835"/>
      <c r="BB29" s="4306" t="str">
        <f>IF(TITLE_NAME_OR_PR_CHANGE="",IF(TITLE_NAME_OR_PR="","",TITLE_NAME_OR_PR),TITLE_NAME_OR_PR_CHANGE)</f>
        <v/>
      </c>
      <c r="BC29" s="4306"/>
      <c r="BD29" s="4306"/>
      <c r="BE29" s="4306"/>
      <c r="BF29" s="4306"/>
      <c r="BG29" s="4306"/>
      <c r="BH29" s="4306"/>
      <c r="BI29" s="3835"/>
      <c r="BJ29" s="4306" t="str">
        <f>IF(TITLE_NAME_OR_PR_CHANGE="",IF(TITLE_NAME_OR_PR="","",TITLE_NAME_OR_PR),TITLE_NAME_OR_PR_CHANGE)</f>
        <v/>
      </c>
      <c r="BK29" s="4306"/>
      <c r="BL29" s="4306"/>
      <c r="BM29" s="4306"/>
      <c r="BN29" s="4306"/>
      <c r="BO29" s="4306"/>
      <c r="BP29" s="4306"/>
      <c r="BQ29" s="3835"/>
      <c r="BR29" s="4306" t="str">
        <f>IF(TITLE_NAME_OR_PR_CHANGE="",IF(TITLE_NAME_OR_PR="","",TITLE_NAME_OR_PR),TITLE_NAME_OR_PR_CHANGE)</f>
        <v/>
      </c>
      <c r="BS29" s="4306"/>
      <c r="BT29" s="4306"/>
      <c r="BU29" s="4306"/>
      <c r="BV29" s="4306"/>
      <c r="BW29" s="4306"/>
      <c r="BX29" s="4306"/>
      <c r="BY29" s="3835"/>
      <c r="BZ29" s="4306" t="str">
        <f>IF(TITLE_NAME_OR_PR_CHANGE="",IF(TITLE_NAME_OR_PR="","",TITLE_NAME_OR_PR),TITLE_NAME_OR_PR_CHANGE)</f>
        <v/>
      </c>
      <c r="CA29" s="4306"/>
      <c r="CB29" s="4306"/>
      <c r="CC29" s="4306"/>
      <c r="CD29" s="4306"/>
      <c r="CE29" s="4306"/>
      <c r="CF29" s="4306"/>
      <c r="CG29" s="3835"/>
      <c r="CH29" s="4306" t="str">
        <f>IF(TITLE_NAME_OR_PR_CHANGE="",IF(TITLE_NAME_OR_PR="","",TITLE_NAME_OR_PR),TITLE_NAME_OR_PR_CHANGE)</f>
        <v/>
      </c>
      <c r="CI29" s="4306"/>
      <c r="CJ29" s="4306"/>
      <c r="CK29" s="4306"/>
      <c r="CL29" s="4306"/>
      <c r="CM29" s="4306"/>
      <c r="CN29" s="4306"/>
      <c r="CO29" s="3835"/>
      <c r="CP29" s="4306" t="str">
        <f>IF(TITLE_NAME_OR_PR_CHANGE="",IF(TITLE_NAME_OR_PR="","",TITLE_NAME_OR_PR),TITLE_NAME_OR_PR_CHANGE)</f>
        <v/>
      </c>
      <c r="CQ29" s="4306"/>
      <c r="CR29" s="4306"/>
      <c r="CS29" s="4306"/>
      <c r="CT29" s="4306"/>
      <c r="CU29" s="4306"/>
      <c r="CV29" s="4306"/>
      <c r="CW29" s="3835"/>
      <c r="CX29" s="4306" t="str">
        <f>IF(TITLE_NAME_OR_PR_CHANGE="",IF(TITLE_NAME_OR_PR="","",TITLE_NAME_OR_PR),TITLE_NAME_OR_PR_CHANGE)</f>
        <v/>
      </c>
      <c r="CY29" s="4306"/>
      <c r="CZ29" s="4306"/>
      <c r="DA29" s="4306"/>
      <c r="DB29" s="4306"/>
      <c r="DC29" s="4306"/>
      <c r="DD29" s="4306"/>
      <c r="DE29" s="3835"/>
      <c r="DF29" s="4306" t="str">
        <f>IF(TITLE_NAME_OR_PR_CHANGE="",IF(TITLE_NAME_OR_PR="","",TITLE_NAME_OR_PR),TITLE_NAME_OR_PR_CHANGE)</f>
        <v/>
      </c>
      <c r="DG29" s="4306"/>
      <c r="DH29" s="4306"/>
      <c r="DI29" s="4306"/>
      <c r="DJ29" s="4306"/>
      <c r="DK29" s="4306"/>
      <c r="DL29" s="4306"/>
      <c r="DM29" s="3835"/>
      <c r="DN29" s="4306" t="str">
        <f>IF(TITLE_NAME_OR_PR_CHANGE="",IF(TITLE_NAME_OR_PR="","",TITLE_NAME_OR_PR),TITLE_NAME_OR_PR_CHANGE)</f>
        <v/>
      </c>
      <c r="DO29" s="4306"/>
      <c r="DP29" s="4306"/>
      <c r="DQ29" s="4306"/>
      <c r="DR29" s="4306"/>
      <c r="DS29" s="4306"/>
      <c r="DT29" s="4306"/>
      <c r="DU29" s="3835"/>
      <c r="DV29" s="4306" t="str">
        <f>IF(TITLE_NAME_OR_PR_CHANGE="",IF(TITLE_NAME_OR_PR="","",TITLE_NAME_OR_PR),TITLE_NAME_OR_PR_CHANGE)</f>
        <v/>
      </c>
      <c r="DW29" s="4306"/>
      <c r="DX29" s="4306"/>
      <c r="DY29" s="4306"/>
      <c r="DZ29" s="4306"/>
      <c r="EA29" s="4306"/>
      <c r="EB29" s="4306"/>
      <c r="EC29" s="3835"/>
      <c r="ED29" s="4306" t="str">
        <f>IF(TITLE_NAME_OR_PR_CHANGE="",IF(TITLE_NAME_OR_PR="","",TITLE_NAME_OR_PR),TITLE_NAME_OR_PR_CHANGE)</f>
        <v/>
      </c>
      <c r="EE29" s="4306"/>
      <c r="EF29" s="4306"/>
      <c r="EG29" s="4306"/>
      <c r="EH29" s="4306"/>
      <c r="EI29" s="4306"/>
      <c r="EJ29" s="4306"/>
      <c r="EK29" s="3835"/>
      <c r="EL29" s="4306" t="str">
        <f>IF(TITLE_NAME_OR_PR_CHANGE="",IF(TITLE_NAME_OR_PR="","",TITLE_NAME_OR_PR),TITLE_NAME_OR_PR_CHANGE)</f>
        <v/>
      </c>
      <c r="EM29" s="4306"/>
      <c r="EN29" s="4306"/>
      <c r="EO29" s="4306"/>
      <c r="EP29" s="4306"/>
      <c r="EQ29" s="4306"/>
      <c r="ER29" s="4306"/>
      <c r="ES29" s="3835"/>
      <c r="ET29" s="4306" t="str">
        <f>IF(TITLE_NAME_OR_PR_CHANGE="",IF(TITLE_NAME_OR_PR="","",TITLE_NAME_OR_PR),TITLE_NAME_OR_PR_CHANGE)</f>
        <v/>
      </c>
      <c r="EU29" s="4306"/>
      <c r="EV29" s="4306"/>
      <c r="EW29" s="4306"/>
      <c r="EX29" s="4306"/>
      <c r="EY29" s="4306"/>
      <c r="EZ29" s="4306"/>
      <c r="FA29" s="3835"/>
      <c r="FB29" s="724"/>
      <c r="FC29" s="678"/>
      <c r="FD29" s="766"/>
      <c r="FE29" s="766"/>
      <c r="FF29" s="766"/>
      <c r="FG29" s="766"/>
      <c r="FH29" s="766"/>
      <c r="FI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4311" t="str">
        <f>IF(TITLE_DATE_PR_CHANGE="",IF(TITLE_DATE_PR="","",TITLE_DATE_PR),TITLE_DATE_PR_CHANGE)</f>
        <v>45649.66804398148</v>
      </c>
      <c r="AM30" s="4311"/>
      <c r="AN30" s="4311"/>
      <c r="AO30" s="4311"/>
      <c r="AP30" s="4311"/>
      <c r="AQ30" s="4311"/>
      <c r="AR30" s="4311"/>
      <c r="AS30" s="3835"/>
      <c r="AT30" s="4311" t="str">
        <f>IF(TITLE_DATE_PR_CHANGE="",IF(TITLE_DATE_PR="","",TITLE_DATE_PR),TITLE_DATE_PR_CHANGE)</f>
        <v>45649.66804398148</v>
      </c>
      <c r="AU30" s="4311"/>
      <c r="AV30" s="4311"/>
      <c r="AW30" s="4311"/>
      <c r="AX30" s="4311"/>
      <c r="AY30" s="4311"/>
      <c r="AZ30" s="4311"/>
      <c r="BA30" s="3835"/>
      <c r="BB30" s="4311" t="str">
        <f>IF(TITLE_DATE_PR_CHANGE="",IF(TITLE_DATE_PR="","",TITLE_DATE_PR),TITLE_DATE_PR_CHANGE)</f>
        <v>45649.66804398148</v>
      </c>
      <c r="BC30" s="4311"/>
      <c r="BD30" s="4311"/>
      <c r="BE30" s="4311"/>
      <c r="BF30" s="4311"/>
      <c r="BG30" s="4311"/>
      <c r="BH30" s="4311"/>
      <c r="BI30" s="3835"/>
      <c r="BJ30" s="4311" t="str">
        <f>IF(TITLE_DATE_PR_CHANGE="",IF(TITLE_DATE_PR="","",TITLE_DATE_PR),TITLE_DATE_PR_CHANGE)</f>
        <v>45649.66804398148</v>
      </c>
      <c r="BK30" s="4311"/>
      <c r="BL30" s="4311"/>
      <c r="BM30" s="4311"/>
      <c r="BN30" s="4311"/>
      <c r="BO30" s="4311"/>
      <c r="BP30" s="4311"/>
      <c r="BQ30" s="3835"/>
      <c r="BR30" s="4311" t="str">
        <f>IF(TITLE_DATE_PR_CHANGE="",IF(TITLE_DATE_PR="","",TITLE_DATE_PR),TITLE_DATE_PR_CHANGE)</f>
        <v>45649.66804398148</v>
      </c>
      <c r="BS30" s="4311"/>
      <c r="BT30" s="4311"/>
      <c r="BU30" s="4311"/>
      <c r="BV30" s="4311"/>
      <c r="BW30" s="4311"/>
      <c r="BX30" s="4311"/>
      <c r="BY30" s="3835"/>
      <c r="BZ30" s="4311" t="str">
        <f>IF(TITLE_DATE_PR_CHANGE="",IF(TITLE_DATE_PR="","",TITLE_DATE_PR),TITLE_DATE_PR_CHANGE)</f>
        <v>45649.66804398148</v>
      </c>
      <c r="CA30" s="4311"/>
      <c r="CB30" s="4311"/>
      <c r="CC30" s="4311"/>
      <c r="CD30" s="4311"/>
      <c r="CE30" s="4311"/>
      <c r="CF30" s="4311"/>
      <c r="CG30" s="3835"/>
      <c r="CH30" s="4311" t="str">
        <f>IF(TITLE_DATE_PR_CHANGE="",IF(TITLE_DATE_PR="","",TITLE_DATE_PR),TITLE_DATE_PR_CHANGE)</f>
        <v>45649.66804398148</v>
      </c>
      <c r="CI30" s="4311"/>
      <c r="CJ30" s="4311"/>
      <c r="CK30" s="4311"/>
      <c r="CL30" s="4311"/>
      <c r="CM30" s="4311"/>
      <c r="CN30" s="4311"/>
      <c r="CO30" s="3835"/>
      <c r="CP30" s="4311" t="str">
        <f>IF(TITLE_DATE_PR_CHANGE="",IF(TITLE_DATE_PR="","",TITLE_DATE_PR),TITLE_DATE_PR_CHANGE)</f>
        <v>45649.66804398148</v>
      </c>
      <c r="CQ30" s="4311"/>
      <c r="CR30" s="4311"/>
      <c r="CS30" s="4311"/>
      <c r="CT30" s="4311"/>
      <c r="CU30" s="4311"/>
      <c r="CV30" s="4311"/>
      <c r="CW30" s="3835"/>
      <c r="CX30" s="4311" t="str">
        <f>IF(TITLE_DATE_PR_CHANGE="",IF(TITLE_DATE_PR="","",TITLE_DATE_PR),TITLE_DATE_PR_CHANGE)</f>
        <v>45649.66804398148</v>
      </c>
      <c r="CY30" s="4311"/>
      <c r="CZ30" s="4311"/>
      <c r="DA30" s="4311"/>
      <c r="DB30" s="4311"/>
      <c r="DC30" s="4311"/>
      <c r="DD30" s="4311"/>
      <c r="DE30" s="3835"/>
      <c r="DF30" s="4311" t="str">
        <f>IF(TITLE_DATE_PR_CHANGE="",IF(TITLE_DATE_PR="","",TITLE_DATE_PR),TITLE_DATE_PR_CHANGE)</f>
        <v>45649.66804398148</v>
      </c>
      <c r="DG30" s="4311"/>
      <c r="DH30" s="4311"/>
      <c r="DI30" s="4311"/>
      <c r="DJ30" s="4311"/>
      <c r="DK30" s="4311"/>
      <c r="DL30" s="4311"/>
      <c r="DM30" s="3835"/>
      <c r="DN30" s="4311" t="str">
        <f>IF(TITLE_DATE_PR_CHANGE="",IF(TITLE_DATE_PR="","",TITLE_DATE_PR),TITLE_DATE_PR_CHANGE)</f>
        <v>45649.66804398148</v>
      </c>
      <c r="DO30" s="4311"/>
      <c r="DP30" s="4311"/>
      <c r="DQ30" s="4311"/>
      <c r="DR30" s="4311"/>
      <c r="DS30" s="4311"/>
      <c r="DT30" s="4311"/>
      <c r="DU30" s="3835"/>
      <c r="DV30" s="4311" t="str">
        <f>IF(TITLE_DATE_PR_CHANGE="",IF(TITLE_DATE_PR="","",TITLE_DATE_PR),TITLE_DATE_PR_CHANGE)</f>
        <v>45649.66804398148</v>
      </c>
      <c r="DW30" s="4311"/>
      <c r="DX30" s="4311"/>
      <c r="DY30" s="4311"/>
      <c r="DZ30" s="4311"/>
      <c r="EA30" s="4311"/>
      <c r="EB30" s="4311"/>
      <c r="EC30" s="3835"/>
      <c r="ED30" s="4311" t="str">
        <f>IF(TITLE_DATE_PR_CHANGE="",IF(TITLE_DATE_PR="","",TITLE_DATE_PR),TITLE_DATE_PR_CHANGE)</f>
        <v>45649.66804398148</v>
      </c>
      <c r="EE30" s="4311"/>
      <c r="EF30" s="4311"/>
      <c r="EG30" s="4311"/>
      <c r="EH30" s="4311"/>
      <c r="EI30" s="4311"/>
      <c r="EJ30" s="4311"/>
      <c r="EK30" s="3835"/>
      <c r="EL30" s="4311" t="str">
        <f>IF(TITLE_DATE_PR_CHANGE="",IF(TITLE_DATE_PR="","",TITLE_DATE_PR),TITLE_DATE_PR_CHANGE)</f>
        <v>45649.66804398148</v>
      </c>
      <c r="EM30" s="4311"/>
      <c r="EN30" s="4311"/>
      <c r="EO30" s="4311"/>
      <c r="EP30" s="4311"/>
      <c r="EQ30" s="4311"/>
      <c r="ER30" s="4311"/>
      <c r="ES30" s="3835"/>
      <c r="ET30" s="4311" t="str">
        <f>IF(TITLE_DATE_PR_CHANGE="",IF(TITLE_DATE_PR="","",TITLE_DATE_PR),TITLE_DATE_PR_CHANGE)</f>
        <v>45649.66804398148</v>
      </c>
      <c r="EU30" s="4311"/>
      <c r="EV30" s="4311"/>
      <c r="EW30" s="4311"/>
      <c r="EX30" s="4311"/>
      <c r="EY30" s="4311"/>
      <c r="EZ30" s="4311"/>
      <c r="FA30" s="3835"/>
      <c r="FB30" s="724"/>
      <c r="FC30" s="678"/>
      <c r="FD30" s="766"/>
      <c r="FE30" s="766"/>
      <c r="FF30" s="766"/>
      <c r="FG30" s="766"/>
      <c r="FH30" s="766"/>
      <c r="FI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4306" t="str">
        <f>IF(TITLE_NUMBER_PR_CHANGE="",IF(TITLE_NUMBER_PR="","",TITLE_NUMBER_PR),TITLE_NUMBER_PR_CHANGE)</f>
        <v>27/6419</v>
      </c>
      <c r="AM31" s="4306"/>
      <c r="AN31" s="4306"/>
      <c r="AO31" s="4306"/>
      <c r="AP31" s="4306"/>
      <c r="AQ31" s="4306"/>
      <c r="AR31" s="4306"/>
      <c r="AS31" s="3835"/>
      <c r="AT31" s="4306" t="str">
        <f>IF(TITLE_NUMBER_PR_CHANGE="",IF(TITLE_NUMBER_PR="","",TITLE_NUMBER_PR),TITLE_NUMBER_PR_CHANGE)</f>
        <v>27/6419</v>
      </c>
      <c r="AU31" s="4306"/>
      <c r="AV31" s="4306"/>
      <c r="AW31" s="4306"/>
      <c r="AX31" s="4306"/>
      <c r="AY31" s="4306"/>
      <c r="AZ31" s="4306"/>
      <c r="BA31" s="3835"/>
      <c r="BB31" s="4306" t="str">
        <f>IF(TITLE_NUMBER_PR_CHANGE="",IF(TITLE_NUMBER_PR="","",TITLE_NUMBER_PR),TITLE_NUMBER_PR_CHANGE)</f>
        <v>27/6419</v>
      </c>
      <c r="BC31" s="4306"/>
      <c r="BD31" s="4306"/>
      <c r="BE31" s="4306"/>
      <c r="BF31" s="4306"/>
      <c r="BG31" s="4306"/>
      <c r="BH31" s="4306"/>
      <c r="BI31" s="3835"/>
      <c r="BJ31" s="4306" t="str">
        <f>IF(TITLE_NUMBER_PR_CHANGE="",IF(TITLE_NUMBER_PR="","",TITLE_NUMBER_PR),TITLE_NUMBER_PR_CHANGE)</f>
        <v>27/6419</v>
      </c>
      <c r="BK31" s="4306"/>
      <c r="BL31" s="4306"/>
      <c r="BM31" s="4306"/>
      <c r="BN31" s="4306"/>
      <c r="BO31" s="4306"/>
      <c r="BP31" s="4306"/>
      <c r="BQ31" s="3835"/>
      <c r="BR31" s="4306" t="str">
        <f>IF(TITLE_NUMBER_PR_CHANGE="",IF(TITLE_NUMBER_PR="","",TITLE_NUMBER_PR),TITLE_NUMBER_PR_CHANGE)</f>
        <v>27/6419</v>
      </c>
      <c r="BS31" s="4306"/>
      <c r="BT31" s="4306"/>
      <c r="BU31" s="4306"/>
      <c r="BV31" s="4306"/>
      <c r="BW31" s="4306"/>
      <c r="BX31" s="4306"/>
      <c r="BY31" s="3835"/>
      <c r="BZ31" s="4306" t="str">
        <f>IF(TITLE_NUMBER_PR_CHANGE="",IF(TITLE_NUMBER_PR="","",TITLE_NUMBER_PR),TITLE_NUMBER_PR_CHANGE)</f>
        <v>27/6419</v>
      </c>
      <c r="CA31" s="4306"/>
      <c r="CB31" s="4306"/>
      <c r="CC31" s="4306"/>
      <c r="CD31" s="4306"/>
      <c r="CE31" s="4306"/>
      <c r="CF31" s="4306"/>
      <c r="CG31" s="3835"/>
      <c r="CH31" s="4306" t="str">
        <f>IF(TITLE_NUMBER_PR_CHANGE="",IF(TITLE_NUMBER_PR="","",TITLE_NUMBER_PR),TITLE_NUMBER_PR_CHANGE)</f>
        <v>27/6419</v>
      </c>
      <c r="CI31" s="4306"/>
      <c r="CJ31" s="4306"/>
      <c r="CK31" s="4306"/>
      <c r="CL31" s="4306"/>
      <c r="CM31" s="4306"/>
      <c r="CN31" s="4306"/>
      <c r="CO31" s="3835"/>
      <c r="CP31" s="4306" t="str">
        <f>IF(TITLE_NUMBER_PR_CHANGE="",IF(TITLE_NUMBER_PR="","",TITLE_NUMBER_PR),TITLE_NUMBER_PR_CHANGE)</f>
        <v>27/6419</v>
      </c>
      <c r="CQ31" s="4306"/>
      <c r="CR31" s="4306"/>
      <c r="CS31" s="4306"/>
      <c r="CT31" s="4306"/>
      <c r="CU31" s="4306"/>
      <c r="CV31" s="4306"/>
      <c r="CW31" s="3835"/>
      <c r="CX31" s="4306" t="str">
        <f>IF(TITLE_NUMBER_PR_CHANGE="",IF(TITLE_NUMBER_PR="","",TITLE_NUMBER_PR),TITLE_NUMBER_PR_CHANGE)</f>
        <v>27/6419</v>
      </c>
      <c r="CY31" s="4306"/>
      <c r="CZ31" s="4306"/>
      <c r="DA31" s="4306"/>
      <c r="DB31" s="4306"/>
      <c r="DC31" s="4306"/>
      <c r="DD31" s="4306"/>
      <c r="DE31" s="3835"/>
      <c r="DF31" s="4306" t="str">
        <f>IF(TITLE_NUMBER_PR_CHANGE="",IF(TITLE_NUMBER_PR="","",TITLE_NUMBER_PR),TITLE_NUMBER_PR_CHANGE)</f>
        <v>27/6419</v>
      </c>
      <c r="DG31" s="4306"/>
      <c r="DH31" s="4306"/>
      <c r="DI31" s="4306"/>
      <c r="DJ31" s="4306"/>
      <c r="DK31" s="4306"/>
      <c r="DL31" s="4306"/>
      <c r="DM31" s="3835"/>
      <c r="DN31" s="4306" t="str">
        <f>IF(TITLE_NUMBER_PR_CHANGE="",IF(TITLE_NUMBER_PR="","",TITLE_NUMBER_PR),TITLE_NUMBER_PR_CHANGE)</f>
        <v>27/6419</v>
      </c>
      <c r="DO31" s="4306"/>
      <c r="DP31" s="4306"/>
      <c r="DQ31" s="4306"/>
      <c r="DR31" s="4306"/>
      <c r="DS31" s="4306"/>
      <c r="DT31" s="4306"/>
      <c r="DU31" s="3835"/>
      <c r="DV31" s="4306" t="str">
        <f>IF(TITLE_NUMBER_PR_CHANGE="",IF(TITLE_NUMBER_PR="","",TITLE_NUMBER_PR),TITLE_NUMBER_PR_CHANGE)</f>
        <v>27/6419</v>
      </c>
      <c r="DW31" s="4306"/>
      <c r="DX31" s="4306"/>
      <c r="DY31" s="4306"/>
      <c r="DZ31" s="4306"/>
      <c r="EA31" s="4306"/>
      <c r="EB31" s="4306"/>
      <c r="EC31" s="3835"/>
      <c r="ED31" s="4306" t="str">
        <f>IF(TITLE_NUMBER_PR_CHANGE="",IF(TITLE_NUMBER_PR="","",TITLE_NUMBER_PR),TITLE_NUMBER_PR_CHANGE)</f>
        <v>27/6419</v>
      </c>
      <c r="EE31" s="4306"/>
      <c r="EF31" s="4306"/>
      <c r="EG31" s="4306"/>
      <c r="EH31" s="4306"/>
      <c r="EI31" s="4306"/>
      <c r="EJ31" s="4306"/>
      <c r="EK31" s="3835"/>
      <c r="EL31" s="4306" t="str">
        <f>IF(TITLE_NUMBER_PR_CHANGE="",IF(TITLE_NUMBER_PR="","",TITLE_NUMBER_PR),TITLE_NUMBER_PR_CHANGE)</f>
        <v>27/6419</v>
      </c>
      <c r="EM31" s="4306"/>
      <c r="EN31" s="4306"/>
      <c r="EO31" s="4306"/>
      <c r="EP31" s="4306"/>
      <c r="EQ31" s="4306"/>
      <c r="ER31" s="4306"/>
      <c r="ES31" s="3835"/>
      <c r="ET31" s="4306" t="str">
        <f>IF(TITLE_NUMBER_PR_CHANGE="",IF(TITLE_NUMBER_PR="","",TITLE_NUMBER_PR),TITLE_NUMBER_PR_CHANGE)</f>
        <v>27/6419</v>
      </c>
      <c r="EU31" s="4306"/>
      <c r="EV31" s="4306"/>
      <c r="EW31" s="4306"/>
      <c r="EX31" s="4306"/>
      <c r="EY31" s="4306"/>
      <c r="EZ31" s="4306"/>
      <c r="FA31" s="3835"/>
      <c r="FB31" s="724"/>
      <c r="FC31" s="678"/>
      <c r="FD31" s="766"/>
      <c r="FE31" s="766"/>
      <c r="FF31" s="766"/>
      <c r="FG31" s="766"/>
      <c r="FH31" s="766"/>
      <c r="FI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4306" t="str">
        <f>IF(TITLE_IST_PUB_CHANGE="",IF(TITLE_IST_PUB="","",TITLE_IST_PUB),TITLE_IST_PUB_CHANGE)</f>
        <v/>
      </c>
      <c r="AM32" s="4306"/>
      <c r="AN32" s="4306"/>
      <c r="AO32" s="4306"/>
      <c r="AP32" s="4306"/>
      <c r="AQ32" s="4306"/>
      <c r="AR32" s="4306"/>
      <c r="AS32" s="3835"/>
      <c r="AT32" s="4306" t="str">
        <f>IF(TITLE_IST_PUB_CHANGE="",IF(TITLE_IST_PUB="","",TITLE_IST_PUB),TITLE_IST_PUB_CHANGE)</f>
        <v/>
      </c>
      <c r="AU32" s="4306"/>
      <c r="AV32" s="4306"/>
      <c r="AW32" s="4306"/>
      <c r="AX32" s="4306"/>
      <c r="AY32" s="4306"/>
      <c r="AZ32" s="4306"/>
      <c r="BA32" s="3835"/>
      <c r="BB32" s="4306" t="str">
        <f>IF(TITLE_IST_PUB_CHANGE="",IF(TITLE_IST_PUB="","",TITLE_IST_PUB),TITLE_IST_PUB_CHANGE)</f>
        <v/>
      </c>
      <c r="BC32" s="4306"/>
      <c r="BD32" s="4306"/>
      <c r="BE32" s="4306"/>
      <c r="BF32" s="4306"/>
      <c r="BG32" s="4306"/>
      <c r="BH32" s="4306"/>
      <c r="BI32" s="3835"/>
      <c r="BJ32" s="4306" t="str">
        <f>IF(TITLE_IST_PUB_CHANGE="",IF(TITLE_IST_PUB="","",TITLE_IST_PUB),TITLE_IST_PUB_CHANGE)</f>
        <v/>
      </c>
      <c r="BK32" s="4306"/>
      <c r="BL32" s="4306"/>
      <c r="BM32" s="4306"/>
      <c r="BN32" s="4306"/>
      <c r="BO32" s="4306"/>
      <c r="BP32" s="4306"/>
      <c r="BQ32" s="3835"/>
      <c r="BR32" s="4306" t="str">
        <f>IF(TITLE_IST_PUB_CHANGE="",IF(TITLE_IST_PUB="","",TITLE_IST_PUB),TITLE_IST_PUB_CHANGE)</f>
        <v/>
      </c>
      <c r="BS32" s="4306"/>
      <c r="BT32" s="4306"/>
      <c r="BU32" s="4306"/>
      <c r="BV32" s="4306"/>
      <c r="BW32" s="4306"/>
      <c r="BX32" s="4306"/>
      <c r="BY32" s="3835"/>
      <c r="BZ32" s="4306" t="str">
        <f>IF(TITLE_IST_PUB_CHANGE="",IF(TITLE_IST_PUB="","",TITLE_IST_PUB),TITLE_IST_PUB_CHANGE)</f>
        <v/>
      </c>
      <c r="CA32" s="4306"/>
      <c r="CB32" s="4306"/>
      <c r="CC32" s="4306"/>
      <c r="CD32" s="4306"/>
      <c r="CE32" s="4306"/>
      <c r="CF32" s="4306"/>
      <c r="CG32" s="3835"/>
      <c r="CH32" s="4306" t="str">
        <f>IF(TITLE_IST_PUB_CHANGE="",IF(TITLE_IST_PUB="","",TITLE_IST_PUB),TITLE_IST_PUB_CHANGE)</f>
        <v/>
      </c>
      <c r="CI32" s="4306"/>
      <c r="CJ32" s="4306"/>
      <c r="CK32" s="4306"/>
      <c r="CL32" s="4306"/>
      <c r="CM32" s="4306"/>
      <c r="CN32" s="4306"/>
      <c r="CO32" s="3835"/>
      <c r="CP32" s="4306" t="str">
        <f>IF(TITLE_IST_PUB_CHANGE="",IF(TITLE_IST_PUB="","",TITLE_IST_PUB),TITLE_IST_PUB_CHANGE)</f>
        <v/>
      </c>
      <c r="CQ32" s="4306"/>
      <c r="CR32" s="4306"/>
      <c r="CS32" s="4306"/>
      <c r="CT32" s="4306"/>
      <c r="CU32" s="4306"/>
      <c r="CV32" s="4306"/>
      <c r="CW32" s="3835"/>
      <c r="CX32" s="4306" t="str">
        <f>IF(TITLE_IST_PUB_CHANGE="",IF(TITLE_IST_PUB="","",TITLE_IST_PUB),TITLE_IST_PUB_CHANGE)</f>
        <v/>
      </c>
      <c r="CY32" s="4306"/>
      <c r="CZ32" s="4306"/>
      <c r="DA32" s="4306"/>
      <c r="DB32" s="4306"/>
      <c r="DC32" s="4306"/>
      <c r="DD32" s="4306"/>
      <c r="DE32" s="3835"/>
      <c r="DF32" s="4306" t="str">
        <f>IF(TITLE_IST_PUB_CHANGE="",IF(TITLE_IST_PUB="","",TITLE_IST_PUB),TITLE_IST_PUB_CHANGE)</f>
        <v/>
      </c>
      <c r="DG32" s="4306"/>
      <c r="DH32" s="4306"/>
      <c r="DI32" s="4306"/>
      <c r="DJ32" s="4306"/>
      <c r="DK32" s="4306"/>
      <c r="DL32" s="4306"/>
      <c r="DM32" s="3835"/>
      <c r="DN32" s="4306" t="str">
        <f>IF(TITLE_IST_PUB_CHANGE="",IF(TITLE_IST_PUB="","",TITLE_IST_PUB),TITLE_IST_PUB_CHANGE)</f>
        <v/>
      </c>
      <c r="DO32" s="4306"/>
      <c r="DP32" s="4306"/>
      <c r="DQ32" s="4306"/>
      <c r="DR32" s="4306"/>
      <c r="DS32" s="4306"/>
      <c r="DT32" s="4306"/>
      <c r="DU32" s="3835"/>
      <c r="DV32" s="4306" t="str">
        <f>IF(TITLE_IST_PUB_CHANGE="",IF(TITLE_IST_PUB="","",TITLE_IST_PUB),TITLE_IST_PUB_CHANGE)</f>
        <v/>
      </c>
      <c r="DW32" s="4306"/>
      <c r="DX32" s="4306"/>
      <c r="DY32" s="4306"/>
      <c r="DZ32" s="4306"/>
      <c r="EA32" s="4306"/>
      <c r="EB32" s="4306"/>
      <c r="EC32" s="3835"/>
      <c r="ED32" s="4306" t="str">
        <f>IF(TITLE_IST_PUB_CHANGE="",IF(TITLE_IST_PUB="","",TITLE_IST_PUB),TITLE_IST_PUB_CHANGE)</f>
        <v/>
      </c>
      <c r="EE32" s="4306"/>
      <c r="EF32" s="4306"/>
      <c r="EG32" s="4306"/>
      <c r="EH32" s="4306"/>
      <c r="EI32" s="4306"/>
      <c r="EJ32" s="4306"/>
      <c r="EK32" s="3835"/>
      <c r="EL32" s="4306" t="str">
        <f>IF(TITLE_IST_PUB_CHANGE="",IF(TITLE_IST_PUB="","",TITLE_IST_PUB),TITLE_IST_PUB_CHANGE)</f>
        <v/>
      </c>
      <c r="EM32" s="4306"/>
      <c r="EN32" s="4306"/>
      <c r="EO32" s="4306"/>
      <c r="EP32" s="4306"/>
      <c r="EQ32" s="4306"/>
      <c r="ER32" s="4306"/>
      <c r="ES32" s="3835"/>
      <c r="ET32" s="4306" t="str">
        <f>IF(TITLE_IST_PUB_CHANGE="",IF(TITLE_IST_PUB="","",TITLE_IST_PUB),TITLE_IST_PUB_CHANGE)</f>
        <v/>
      </c>
      <c r="EU32" s="4306"/>
      <c r="EV32" s="4306"/>
      <c r="EW32" s="4306"/>
      <c r="EX32" s="4306"/>
      <c r="EY32" s="4306"/>
      <c r="EZ32" s="4306"/>
      <c r="FA32" s="3835"/>
      <c r="FB32" s="724"/>
      <c r="FC32" s="678"/>
      <c r="FD32" s="766"/>
      <c r="FE32" s="766"/>
      <c r="FF32" s="766"/>
      <c r="FG32" s="766"/>
      <c r="FH32" s="766"/>
      <c r="FI32" s="816">
        <v>0</v>
      </c>
    </row>
    <row customHeight="1" ht="14.25">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4299"/>
      <c r="AM33" s="4299"/>
      <c r="AN33" s="4299"/>
      <c r="AO33" s="4299"/>
      <c r="AP33" s="4299"/>
      <c r="AQ33" s="4299"/>
      <c r="AR33" s="4299"/>
      <c r="AS33" s="4299"/>
      <c r="AT33" s="4299"/>
      <c r="AU33" s="4299"/>
      <c r="AV33" s="4299"/>
      <c r="AW33" s="4299"/>
      <c r="AX33" s="4299"/>
      <c r="AY33" s="4299"/>
      <c r="AZ33" s="4299"/>
      <c r="BA33" s="4299"/>
      <c r="BB33" s="4299"/>
      <c r="BC33" s="4299"/>
      <c r="BD33" s="4299"/>
      <c r="BE33" s="4299"/>
      <c r="BF33" s="4299"/>
      <c r="BG33" s="4299"/>
      <c r="BH33" s="4299"/>
      <c r="BI33" s="4299"/>
      <c r="BJ33" s="4299"/>
      <c r="BK33" s="4299"/>
      <c r="BL33" s="4299"/>
      <c r="BM33" s="4299"/>
      <c r="BN33" s="4299"/>
      <c r="BO33" s="4299"/>
      <c r="BP33" s="4299"/>
      <c r="BQ33" s="4299"/>
      <c r="BR33" s="4299"/>
      <c r="BS33" s="4299"/>
      <c r="BT33" s="4299"/>
      <c r="BU33" s="4299"/>
      <c r="BV33" s="4299"/>
      <c r="BW33" s="4299"/>
      <c r="BX33" s="4299"/>
      <c r="BY33" s="4299"/>
      <c r="BZ33" s="4299"/>
      <c r="CA33" s="4299"/>
      <c r="CB33" s="4299"/>
      <c r="CC33" s="4299"/>
      <c r="CD33" s="4299"/>
      <c r="CE33" s="4299"/>
      <c r="CF33" s="4299"/>
      <c r="CG33" s="4299"/>
      <c r="CH33" s="4299"/>
      <c r="CI33" s="4299"/>
      <c r="CJ33" s="4299"/>
      <c r="CK33" s="4299"/>
      <c r="CL33" s="4299"/>
      <c r="CM33" s="4299"/>
      <c r="CN33" s="4299"/>
      <c r="CO33" s="4299"/>
      <c r="CP33" s="4299"/>
      <c r="CQ33" s="4299"/>
      <c r="CR33" s="4299"/>
      <c r="CS33" s="4299"/>
      <c r="CT33" s="4299"/>
      <c r="CU33" s="4299"/>
      <c r="CV33" s="4299"/>
      <c r="CW33" s="4299"/>
      <c r="CX33" s="4299"/>
      <c r="CY33" s="4299"/>
      <c r="CZ33" s="4299"/>
      <c r="DA33" s="4299"/>
      <c r="DB33" s="4299"/>
      <c r="DC33" s="4299"/>
      <c r="DD33" s="4299"/>
      <c r="DE33" s="4299"/>
      <c r="DF33" s="4299"/>
      <c r="DG33" s="4299"/>
      <c r="DH33" s="4299"/>
      <c r="DI33" s="4299"/>
      <c r="DJ33" s="4299"/>
      <c r="DK33" s="4299"/>
      <c r="DL33" s="4299"/>
      <c r="DM33" s="4299"/>
      <c r="DN33" s="4299"/>
      <c r="DO33" s="4299"/>
      <c r="DP33" s="4299"/>
      <c r="DQ33" s="4299"/>
      <c r="DR33" s="4299"/>
      <c r="DS33" s="4299"/>
      <c r="DT33" s="4299"/>
      <c r="DU33" s="4299"/>
      <c r="DV33" s="4299"/>
      <c r="DW33" s="4299"/>
      <c r="DX33" s="4299"/>
      <c r="DY33" s="4299"/>
      <c r="DZ33" s="4299"/>
      <c r="EA33" s="4299"/>
      <c r="EB33" s="4299"/>
      <c r="EC33" s="4299"/>
      <c r="ED33" s="4299"/>
      <c r="EE33" s="4299"/>
      <c r="EF33" s="4299"/>
      <c r="EG33" s="4299"/>
      <c r="EH33" s="4299"/>
      <c r="EI33" s="4299"/>
      <c r="EJ33" s="4299"/>
      <c r="EK33" s="4299"/>
      <c r="EL33" s="4299"/>
      <c r="EM33" s="4299"/>
      <c r="EN33" s="4299"/>
      <c r="EO33" s="4299"/>
      <c r="EP33" s="4299"/>
      <c r="EQ33" s="4299"/>
      <c r="ER33" s="4299"/>
      <c r="ES33" s="4299"/>
      <c r="ET33" s="4299"/>
      <c r="EU33" s="4299"/>
      <c r="EV33" s="4299"/>
      <c r="EW33" s="4299"/>
      <c r="EX33" s="4299"/>
      <c r="EY33" s="4299"/>
      <c r="EZ33" s="4299"/>
      <c r="FA33" s="4299"/>
      <c r="FB33" s="907"/>
      <c r="FI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4311" t="str">
        <f>IF(TITLE_DATE_PR_CHANGE="",IF(TITLE_DATE_PR="","",TITLE_DATE_PR),TITLE_DATE_PR_CHANGE)</f>
        <v>45649.66804398148</v>
      </c>
      <c r="AM34" s="4311"/>
      <c r="AN34" s="4311"/>
      <c r="AO34" s="4311"/>
      <c r="AP34" s="4311"/>
      <c r="AQ34" s="4311"/>
      <c r="AR34" s="4311"/>
      <c r="AS34" s="3835"/>
      <c r="AT34" s="4311" t="str">
        <f>IF(TITLE_DATE_PR_CHANGE="",IF(TITLE_DATE_PR="","",TITLE_DATE_PR),TITLE_DATE_PR_CHANGE)</f>
        <v>45649.66804398148</v>
      </c>
      <c r="AU34" s="4311"/>
      <c r="AV34" s="4311"/>
      <c r="AW34" s="4311"/>
      <c r="AX34" s="4311"/>
      <c r="AY34" s="4311"/>
      <c r="AZ34" s="4311"/>
      <c r="BA34" s="3835"/>
      <c r="BB34" s="4311" t="str">
        <f>IF(TITLE_DATE_PR_CHANGE="",IF(TITLE_DATE_PR="","",TITLE_DATE_PR),TITLE_DATE_PR_CHANGE)</f>
        <v>45649.66804398148</v>
      </c>
      <c r="BC34" s="4311"/>
      <c r="BD34" s="4311"/>
      <c r="BE34" s="4311"/>
      <c r="BF34" s="4311"/>
      <c r="BG34" s="4311"/>
      <c r="BH34" s="4311"/>
      <c r="BI34" s="3835"/>
      <c r="BJ34" s="4311" t="str">
        <f>IF(TITLE_DATE_PR_CHANGE="",IF(TITLE_DATE_PR="","",TITLE_DATE_PR),TITLE_DATE_PR_CHANGE)</f>
        <v>45649.66804398148</v>
      </c>
      <c r="BK34" s="4311"/>
      <c r="BL34" s="4311"/>
      <c r="BM34" s="4311"/>
      <c r="BN34" s="4311"/>
      <c r="BO34" s="4311"/>
      <c r="BP34" s="4311"/>
      <c r="BQ34" s="3835"/>
      <c r="BR34" s="4311" t="str">
        <f>IF(TITLE_DATE_PR_CHANGE="",IF(TITLE_DATE_PR="","",TITLE_DATE_PR),TITLE_DATE_PR_CHANGE)</f>
        <v>45649.66804398148</v>
      </c>
      <c r="BS34" s="4311"/>
      <c r="BT34" s="4311"/>
      <c r="BU34" s="4311"/>
      <c r="BV34" s="4311"/>
      <c r="BW34" s="4311"/>
      <c r="BX34" s="4311"/>
      <c r="BY34" s="3835"/>
      <c r="BZ34" s="4311" t="str">
        <f>IF(TITLE_DATE_PR_CHANGE="",IF(TITLE_DATE_PR="","",TITLE_DATE_PR),TITLE_DATE_PR_CHANGE)</f>
        <v>45649.66804398148</v>
      </c>
      <c r="CA34" s="4311"/>
      <c r="CB34" s="4311"/>
      <c r="CC34" s="4311"/>
      <c r="CD34" s="4311"/>
      <c r="CE34" s="4311"/>
      <c r="CF34" s="4311"/>
      <c r="CG34" s="3835"/>
      <c r="CH34" s="4311" t="str">
        <f>IF(TITLE_DATE_PR_CHANGE="",IF(TITLE_DATE_PR="","",TITLE_DATE_PR),TITLE_DATE_PR_CHANGE)</f>
        <v>45649.66804398148</v>
      </c>
      <c r="CI34" s="4311"/>
      <c r="CJ34" s="4311"/>
      <c r="CK34" s="4311"/>
      <c r="CL34" s="4311"/>
      <c r="CM34" s="4311"/>
      <c r="CN34" s="4311"/>
      <c r="CO34" s="3835"/>
      <c r="CP34" s="4311" t="str">
        <f>IF(TITLE_DATE_PR_CHANGE="",IF(TITLE_DATE_PR="","",TITLE_DATE_PR),TITLE_DATE_PR_CHANGE)</f>
        <v>45649.66804398148</v>
      </c>
      <c r="CQ34" s="4311"/>
      <c r="CR34" s="4311"/>
      <c r="CS34" s="4311"/>
      <c r="CT34" s="4311"/>
      <c r="CU34" s="4311"/>
      <c r="CV34" s="4311"/>
      <c r="CW34" s="3835"/>
      <c r="CX34" s="4311" t="str">
        <f>IF(TITLE_DATE_PR_CHANGE="",IF(TITLE_DATE_PR="","",TITLE_DATE_PR),TITLE_DATE_PR_CHANGE)</f>
        <v>45649.66804398148</v>
      </c>
      <c r="CY34" s="4311"/>
      <c r="CZ34" s="4311"/>
      <c r="DA34" s="4311"/>
      <c r="DB34" s="4311"/>
      <c r="DC34" s="4311"/>
      <c r="DD34" s="4311"/>
      <c r="DE34" s="3835"/>
      <c r="DF34" s="4311" t="str">
        <f>IF(TITLE_DATE_PR_CHANGE="",IF(TITLE_DATE_PR="","",TITLE_DATE_PR),TITLE_DATE_PR_CHANGE)</f>
        <v>45649.66804398148</v>
      </c>
      <c r="DG34" s="4311"/>
      <c r="DH34" s="4311"/>
      <c r="DI34" s="4311"/>
      <c r="DJ34" s="4311"/>
      <c r="DK34" s="4311"/>
      <c r="DL34" s="4311"/>
      <c r="DM34" s="3835"/>
      <c r="DN34" s="4311" t="str">
        <f>IF(TITLE_DATE_PR_CHANGE="",IF(TITLE_DATE_PR="","",TITLE_DATE_PR),TITLE_DATE_PR_CHANGE)</f>
        <v>45649.66804398148</v>
      </c>
      <c r="DO34" s="4311"/>
      <c r="DP34" s="4311"/>
      <c r="DQ34" s="4311"/>
      <c r="DR34" s="4311"/>
      <c r="DS34" s="4311"/>
      <c r="DT34" s="4311"/>
      <c r="DU34" s="3835"/>
      <c r="DV34" s="4311" t="str">
        <f>IF(TITLE_DATE_PR_CHANGE="",IF(TITLE_DATE_PR="","",TITLE_DATE_PR),TITLE_DATE_PR_CHANGE)</f>
        <v>45649.66804398148</v>
      </c>
      <c r="DW34" s="4311"/>
      <c r="DX34" s="4311"/>
      <c r="DY34" s="4311"/>
      <c r="DZ34" s="4311"/>
      <c r="EA34" s="4311"/>
      <c r="EB34" s="4311"/>
      <c r="EC34" s="3835"/>
      <c r="ED34" s="4311" t="str">
        <f>IF(TITLE_DATE_PR_CHANGE="",IF(TITLE_DATE_PR="","",TITLE_DATE_PR),TITLE_DATE_PR_CHANGE)</f>
        <v>45649.66804398148</v>
      </c>
      <c r="EE34" s="4311"/>
      <c r="EF34" s="4311"/>
      <c r="EG34" s="4311"/>
      <c r="EH34" s="4311"/>
      <c r="EI34" s="4311"/>
      <c r="EJ34" s="4311"/>
      <c r="EK34" s="3835"/>
      <c r="EL34" s="4311" t="str">
        <f>IF(TITLE_DATE_PR_CHANGE="",IF(TITLE_DATE_PR="","",TITLE_DATE_PR),TITLE_DATE_PR_CHANGE)</f>
        <v>45649.66804398148</v>
      </c>
      <c r="EM34" s="4311"/>
      <c r="EN34" s="4311"/>
      <c r="EO34" s="4311"/>
      <c r="EP34" s="4311"/>
      <c r="EQ34" s="4311"/>
      <c r="ER34" s="4311"/>
      <c r="ES34" s="3835"/>
      <c r="ET34" s="4311" t="str">
        <f>IF(TITLE_DATE_PR_CHANGE="",IF(TITLE_DATE_PR="","",TITLE_DATE_PR),TITLE_DATE_PR_CHANGE)</f>
        <v>45649.66804398148</v>
      </c>
      <c r="EU34" s="4311"/>
      <c r="EV34" s="4311"/>
      <c r="EW34" s="4311"/>
      <c r="EX34" s="4311"/>
      <c r="EY34" s="4311"/>
      <c r="EZ34" s="4311"/>
      <c r="FA34" s="3835"/>
      <c r="FB34" s="724"/>
      <c r="FC34" s="678"/>
      <c r="FD34" s="766"/>
      <c r="FE34" s="766"/>
      <c r="FF34" s="766"/>
      <c r="FG34" s="766"/>
      <c r="FH34" s="766"/>
      <c r="FI34" s="816">
        <v>0</v>
      </c>
    </row>
    <row s="245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4306" t="str">
        <f>IF(TITLE_NUMBER_PR_CHANGE="",IF(TITLE_NUMBER_PR="","",TITLE_NUMBER_PR),TITLE_NUMBER_PR_CHANGE)</f>
        <v>27/6419</v>
      </c>
      <c r="AM35" s="4306"/>
      <c r="AN35" s="4306"/>
      <c r="AO35" s="4306"/>
      <c r="AP35" s="4306"/>
      <c r="AQ35" s="4306"/>
      <c r="AR35" s="4306"/>
      <c r="AS35" s="3835"/>
      <c r="AT35" s="4306" t="str">
        <f>IF(TITLE_NUMBER_PR_CHANGE="",IF(TITLE_NUMBER_PR="","",TITLE_NUMBER_PR),TITLE_NUMBER_PR_CHANGE)</f>
        <v>27/6419</v>
      </c>
      <c r="AU35" s="4306"/>
      <c r="AV35" s="4306"/>
      <c r="AW35" s="4306"/>
      <c r="AX35" s="4306"/>
      <c r="AY35" s="4306"/>
      <c r="AZ35" s="4306"/>
      <c r="BA35" s="3835"/>
      <c r="BB35" s="4306" t="str">
        <f>IF(TITLE_NUMBER_PR_CHANGE="",IF(TITLE_NUMBER_PR="","",TITLE_NUMBER_PR),TITLE_NUMBER_PR_CHANGE)</f>
        <v>27/6419</v>
      </c>
      <c r="BC35" s="4306"/>
      <c r="BD35" s="4306"/>
      <c r="BE35" s="4306"/>
      <c r="BF35" s="4306"/>
      <c r="BG35" s="4306"/>
      <c r="BH35" s="4306"/>
      <c r="BI35" s="3835"/>
      <c r="BJ35" s="4306" t="str">
        <f>IF(TITLE_NUMBER_PR_CHANGE="",IF(TITLE_NUMBER_PR="","",TITLE_NUMBER_PR),TITLE_NUMBER_PR_CHANGE)</f>
        <v>27/6419</v>
      </c>
      <c r="BK35" s="4306"/>
      <c r="BL35" s="4306"/>
      <c r="BM35" s="4306"/>
      <c r="BN35" s="4306"/>
      <c r="BO35" s="4306"/>
      <c r="BP35" s="4306"/>
      <c r="BQ35" s="3835"/>
      <c r="BR35" s="4306" t="str">
        <f>IF(TITLE_NUMBER_PR_CHANGE="",IF(TITLE_NUMBER_PR="","",TITLE_NUMBER_PR),TITLE_NUMBER_PR_CHANGE)</f>
        <v>27/6419</v>
      </c>
      <c r="BS35" s="4306"/>
      <c r="BT35" s="4306"/>
      <c r="BU35" s="4306"/>
      <c r="BV35" s="4306"/>
      <c r="BW35" s="4306"/>
      <c r="BX35" s="4306"/>
      <c r="BY35" s="3835"/>
      <c r="BZ35" s="4306" t="str">
        <f>IF(TITLE_NUMBER_PR_CHANGE="",IF(TITLE_NUMBER_PR="","",TITLE_NUMBER_PR),TITLE_NUMBER_PR_CHANGE)</f>
        <v>27/6419</v>
      </c>
      <c r="CA35" s="4306"/>
      <c r="CB35" s="4306"/>
      <c r="CC35" s="4306"/>
      <c r="CD35" s="4306"/>
      <c r="CE35" s="4306"/>
      <c r="CF35" s="4306"/>
      <c r="CG35" s="3835"/>
      <c r="CH35" s="4306" t="str">
        <f>IF(TITLE_NUMBER_PR_CHANGE="",IF(TITLE_NUMBER_PR="","",TITLE_NUMBER_PR),TITLE_NUMBER_PR_CHANGE)</f>
        <v>27/6419</v>
      </c>
      <c r="CI35" s="4306"/>
      <c r="CJ35" s="4306"/>
      <c r="CK35" s="4306"/>
      <c r="CL35" s="4306"/>
      <c r="CM35" s="4306"/>
      <c r="CN35" s="4306"/>
      <c r="CO35" s="3835"/>
      <c r="CP35" s="4306" t="str">
        <f>IF(TITLE_NUMBER_PR_CHANGE="",IF(TITLE_NUMBER_PR="","",TITLE_NUMBER_PR),TITLE_NUMBER_PR_CHANGE)</f>
        <v>27/6419</v>
      </c>
      <c r="CQ35" s="4306"/>
      <c r="CR35" s="4306"/>
      <c r="CS35" s="4306"/>
      <c r="CT35" s="4306"/>
      <c r="CU35" s="4306"/>
      <c r="CV35" s="4306"/>
      <c r="CW35" s="3835"/>
      <c r="CX35" s="4306" t="str">
        <f>IF(TITLE_NUMBER_PR_CHANGE="",IF(TITLE_NUMBER_PR="","",TITLE_NUMBER_PR),TITLE_NUMBER_PR_CHANGE)</f>
        <v>27/6419</v>
      </c>
      <c r="CY35" s="4306"/>
      <c r="CZ35" s="4306"/>
      <c r="DA35" s="4306"/>
      <c r="DB35" s="4306"/>
      <c r="DC35" s="4306"/>
      <c r="DD35" s="4306"/>
      <c r="DE35" s="3835"/>
      <c r="DF35" s="4306" t="str">
        <f>IF(TITLE_NUMBER_PR_CHANGE="",IF(TITLE_NUMBER_PR="","",TITLE_NUMBER_PR),TITLE_NUMBER_PR_CHANGE)</f>
        <v>27/6419</v>
      </c>
      <c r="DG35" s="4306"/>
      <c r="DH35" s="4306"/>
      <c r="DI35" s="4306"/>
      <c r="DJ35" s="4306"/>
      <c r="DK35" s="4306"/>
      <c r="DL35" s="4306"/>
      <c r="DM35" s="3835"/>
      <c r="DN35" s="4306" t="str">
        <f>IF(TITLE_NUMBER_PR_CHANGE="",IF(TITLE_NUMBER_PR="","",TITLE_NUMBER_PR),TITLE_NUMBER_PR_CHANGE)</f>
        <v>27/6419</v>
      </c>
      <c r="DO35" s="4306"/>
      <c r="DP35" s="4306"/>
      <c r="DQ35" s="4306"/>
      <c r="DR35" s="4306"/>
      <c r="DS35" s="4306"/>
      <c r="DT35" s="4306"/>
      <c r="DU35" s="3835"/>
      <c r="DV35" s="4306" t="str">
        <f>IF(TITLE_NUMBER_PR_CHANGE="",IF(TITLE_NUMBER_PR="","",TITLE_NUMBER_PR),TITLE_NUMBER_PR_CHANGE)</f>
        <v>27/6419</v>
      </c>
      <c r="DW35" s="4306"/>
      <c r="DX35" s="4306"/>
      <c r="DY35" s="4306"/>
      <c r="DZ35" s="4306"/>
      <c r="EA35" s="4306"/>
      <c r="EB35" s="4306"/>
      <c r="EC35" s="3835"/>
      <c r="ED35" s="4306" t="str">
        <f>IF(TITLE_NUMBER_PR_CHANGE="",IF(TITLE_NUMBER_PR="","",TITLE_NUMBER_PR),TITLE_NUMBER_PR_CHANGE)</f>
        <v>27/6419</v>
      </c>
      <c r="EE35" s="4306"/>
      <c r="EF35" s="4306"/>
      <c r="EG35" s="4306"/>
      <c r="EH35" s="4306"/>
      <c r="EI35" s="4306"/>
      <c r="EJ35" s="4306"/>
      <c r="EK35" s="3835"/>
      <c r="EL35" s="4306" t="str">
        <f>IF(TITLE_NUMBER_PR_CHANGE="",IF(TITLE_NUMBER_PR="","",TITLE_NUMBER_PR),TITLE_NUMBER_PR_CHANGE)</f>
        <v>27/6419</v>
      </c>
      <c r="EM35" s="4306"/>
      <c r="EN35" s="4306"/>
      <c r="EO35" s="4306"/>
      <c r="EP35" s="4306"/>
      <c r="EQ35" s="4306"/>
      <c r="ER35" s="4306"/>
      <c r="ES35" s="3835"/>
      <c r="ET35" s="4306" t="str">
        <f>IF(TITLE_NUMBER_PR_CHANGE="",IF(TITLE_NUMBER_PR="","",TITLE_NUMBER_PR),TITLE_NUMBER_PR_CHANGE)</f>
        <v>27/6419</v>
      </c>
      <c r="EU35" s="4306"/>
      <c r="EV35" s="4306"/>
      <c r="EW35" s="4306"/>
      <c r="EX35" s="4306"/>
      <c r="EY35" s="4306"/>
      <c r="EZ35" s="4306"/>
      <c r="FA35" s="3835"/>
      <c r="FB35" s="724"/>
      <c r="FC35" s="678"/>
      <c r="FD35" s="766"/>
      <c r="FE35" s="766"/>
      <c r="FF35" s="766"/>
      <c r="FG35" s="766"/>
      <c r="FH35" s="766"/>
      <c r="FI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429</v>
      </c>
      <c r="AD36" s="724"/>
      <c r="AE36" s="724"/>
      <c r="AF36" s="724"/>
      <c r="AG36" s="724"/>
      <c r="AH36" s="724"/>
      <c r="AI36" s="724"/>
      <c r="AJ36" s="724"/>
      <c r="AK36" s="676" t="s">
        <v>429</v>
      </c>
      <c r="AL36" s="3835"/>
      <c r="AM36" s="3835"/>
      <c r="AN36" s="3835"/>
      <c r="AO36" s="3835"/>
      <c r="AP36" s="3835"/>
      <c r="AQ36" s="3835"/>
      <c r="AR36" s="3835"/>
      <c r="AS36" s="4315" t="s">
        <v>429</v>
      </c>
      <c r="AT36" s="3835"/>
      <c r="AU36" s="3835"/>
      <c r="AV36" s="3835"/>
      <c r="AW36" s="3835"/>
      <c r="AX36" s="3835"/>
      <c r="AY36" s="3835"/>
      <c r="AZ36" s="3835"/>
      <c r="BA36" s="4315" t="s">
        <v>429</v>
      </c>
      <c r="BB36" s="3835"/>
      <c r="BC36" s="3835"/>
      <c r="BD36" s="3835"/>
      <c r="BE36" s="3835"/>
      <c r="BF36" s="3835"/>
      <c r="BG36" s="3835"/>
      <c r="BH36" s="3835"/>
      <c r="BI36" s="4315" t="s">
        <v>429</v>
      </c>
      <c r="BJ36" s="3835"/>
      <c r="BK36" s="3835"/>
      <c r="BL36" s="3835"/>
      <c r="BM36" s="3835"/>
      <c r="BN36" s="3835"/>
      <c r="BO36" s="3835"/>
      <c r="BP36" s="3835"/>
      <c r="BQ36" s="4315" t="s">
        <v>429</v>
      </c>
      <c r="BR36" s="3835"/>
      <c r="BS36" s="3835"/>
      <c r="BT36" s="3835"/>
      <c r="BU36" s="3835"/>
      <c r="BV36" s="3835"/>
      <c r="BW36" s="3835"/>
      <c r="BX36" s="3835"/>
      <c r="BY36" s="4315" t="s">
        <v>429</v>
      </c>
      <c r="BZ36" s="3835"/>
      <c r="CA36" s="3835"/>
      <c r="CB36" s="3835"/>
      <c r="CC36" s="3835"/>
      <c r="CD36" s="3835"/>
      <c r="CE36" s="3835"/>
      <c r="CF36" s="3835"/>
      <c r="CG36" s="4315" t="s">
        <v>429</v>
      </c>
      <c r="CH36" s="3835"/>
      <c r="CI36" s="3835"/>
      <c r="CJ36" s="3835"/>
      <c r="CK36" s="3835"/>
      <c r="CL36" s="3835"/>
      <c r="CM36" s="3835"/>
      <c r="CN36" s="3835"/>
      <c r="CO36" s="4315" t="s">
        <v>429</v>
      </c>
      <c r="CP36" s="3835"/>
      <c r="CQ36" s="3835"/>
      <c r="CR36" s="3835"/>
      <c r="CS36" s="3835"/>
      <c r="CT36" s="3835"/>
      <c r="CU36" s="3835"/>
      <c r="CV36" s="3835"/>
      <c r="CW36" s="4315" t="s">
        <v>429</v>
      </c>
      <c r="CX36" s="3835"/>
      <c r="CY36" s="3835"/>
      <c r="CZ36" s="3835"/>
      <c r="DA36" s="3835"/>
      <c r="DB36" s="3835"/>
      <c r="DC36" s="3835"/>
      <c r="DD36" s="3835"/>
      <c r="DE36" s="4315" t="s">
        <v>429</v>
      </c>
      <c r="DF36" s="3835"/>
      <c r="DG36" s="3835"/>
      <c r="DH36" s="3835"/>
      <c r="DI36" s="3835"/>
      <c r="DJ36" s="3835"/>
      <c r="DK36" s="3835"/>
      <c r="DL36" s="3835"/>
      <c r="DM36" s="4315" t="s">
        <v>429</v>
      </c>
      <c r="DN36" s="3835"/>
      <c r="DO36" s="3835"/>
      <c r="DP36" s="3835"/>
      <c r="DQ36" s="3835"/>
      <c r="DR36" s="3835"/>
      <c r="DS36" s="3835"/>
      <c r="DT36" s="3835"/>
      <c r="DU36" s="4315" t="s">
        <v>429</v>
      </c>
      <c r="DV36" s="3835"/>
      <c r="DW36" s="3835"/>
      <c r="DX36" s="3835"/>
      <c r="DY36" s="3835"/>
      <c r="DZ36" s="3835"/>
      <c r="EA36" s="3835"/>
      <c r="EB36" s="3835"/>
      <c r="EC36" s="4315" t="s">
        <v>429</v>
      </c>
      <c r="ED36" s="3835"/>
      <c r="EE36" s="3835"/>
      <c r="EF36" s="3835"/>
      <c r="EG36" s="3835"/>
      <c r="EH36" s="3835"/>
      <c r="EI36" s="3835"/>
      <c r="EJ36" s="3835"/>
      <c r="EK36" s="4315" t="s">
        <v>429</v>
      </c>
      <c r="EL36" s="3835"/>
      <c r="EM36" s="3835"/>
      <c r="EN36" s="3835"/>
      <c r="EO36" s="3835"/>
      <c r="EP36" s="3835"/>
      <c r="EQ36" s="3835"/>
      <c r="ER36" s="3835"/>
      <c r="ES36" s="4315" t="s">
        <v>429</v>
      </c>
      <c r="ET36" s="3835"/>
      <c r="EU36" s="3835"/>
      <c r="EV36" s="3835"/>
      <c r="EW36" s="3835"/>
      <c r="EX36" s="3835"/>
      <c r="EY36" s="3835"/>
      <c r="EZ36" s="3835"/>
      <c r="FA36" s="4315" t="s">
        <v>429</v>
      </c>
      <c r="FD36" s="766"/>
      <c r="FE36" s="766"/>
      <c r="FF36" s="766"/>
      <c r="FG36" s="766"/>
      <c r="FH36" s="766"/>
      <c r="FI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L37" s="4318" t="s">
        <v>430</v>
      </c>
      <c r="AM37" s="4318"/>
      <c r="AN37" s="4318"/>
      <c r="AO37" s="4318"/>
      <c r="AP37" s="4318"/>
      <c r="AQ37" s="4318"/>
      <c r="AR37" s="4318"/>
      <c r="AS37" s="4318"/>
      <c r="AT37" s="4318" t="s">
        <v>430</v>
      </c>
      <c r="AU37" s="4318"/>
      <c r="AV37" s="4318"/>
      <c r="AW37" s="4318"/>
      <c r="AX37" s="4318"/>
      <c r="AY37" s="4318"/>
      <c r="AZ37" s="4318"/>
      <c r="BA37" s="4318"/>
      <c r="BB37" s="4318" t="s">
        <v>430</v>
      </c>
      <c r="BC37" s="4318"/>
      <c r="BD37" s="4318"/>
      <c r="BE37" s="4318"/>
      <c r="BF37" s="4318"/>
      <c r="BG37" s="4318"/>
      <c r="BH37" s="4318"/>
      <c r="BI37" s="4318"/>
      <c r="BJ37" s="4318" t="s">
        <v>430</v>
      </c>
      <c r="BK37" s="4318"/>
      <c r="BL37" s="4318"/>
      <c r="BM37" s="4318"/>
      <c r="BN37" s="4318"/>
      <c r="BO37" s="4318"/>
      <c r="BP37" s="4318"/>
      <c r="BQ37" s="4318"/>
      <c r="BR37" s="4318" t="s">
        <v>430</v>
      </c>
      <c r="BS37" s="4318"/>
      <c r="BT37" s="4318"/>
      <c r="BU37" s="4318"/>
      <c r="BV37" s="4318"/>
      <c r="BW37" s="4318"/>
      <c r="BX37" s="4318"/>
      <c r="BY37" s="4318"/>
      <c r="BZ37" s="4318" t="s">
        <v>430</v>
      </c>
      <c r="CA37" s="4318"/>
      <c r="CB37" s="4318"/>
      <c r="CC37" s="4318"/>
      <c r="CD37" s="4318"/>
      <c r="CE37" s="4318"/>
      <c r="CF37" s="4318"/>
      <c r="CG37" s="4318"/>
      <c r="CH37" s="4318" t="s">
        <v>430</v>
      </c>
      <c r="CI37" s="4318"/>
      <c r="CJ37" s="4318"/>
      <c r="CK37" s="4318"/>
      <c r="CL37" s="4318"/>
      <c r="CM37" s="4318"/>
      <c r="CN37" s="4318"/>
      <c r="CO37" s="4318"/>
      <c r="CP37" s="4318" t="s">
        <v>430</v>
      </c>
      <c r="CQ37" s="4318"/>
      <c r="CR37" s="4318"/>
      <c r="CS37" s="4318"/>
      <c r="CT37" s="4318"/>
      <c r="CU37" s="4318"/>
      <c r="CV37" s="4318"/>
      <c r="CW37" s="4318"/>
      <c r="CX37" s="4318" t="s">
        <v>430</v>
      </c>
      <c r="CY37" s="4318"/>
      <c r="CZ37" s="4318"/>
      <c r="DA37" s="4318"/>
      <c r="DB37" s="4318"/>
      <c r="DC37" s="4318"/>
      <c r="DD37" s="4318"/>
      <c r="DE37" s="4318"/>
      <c r="DF37" s="4318" t="s">
        <v>430</v>
      </c>
      <c r="DG37" s="4318"/>
      <c r="DH37" s="4318"/>
      <c r="DI37" s="4318"/>
      <c r="DJ37" s="4318"/>
      <c r="DK37" s="4318"/>
      <c r="DL37" s="4318"/>
      <c r="DM37" s="4318"/>
      <c r="DN37" s="4318" t="s">
        <v>430</v>
      </c>
      <c r="DO37" s="4318"/>
      <c r="DP37" s="4318"/>
      <c r="DQ37" s="4318"/>
      <c r="DR37" s="4318"/>
      <c r="DS37" s="4318"/>
      <c r="DT37" s="4318"/>
      <c r="DU37" s="4318"/>
      <c r="DV37" s="4318" t="s">
        <v>430</v>
      </c>
      <c r="DW37" s="4318"/>
      <c r="DX37" s="4318"/>
      <c r="DY37" s="4318"/>
      <c r="DZ37" s="4318"/>
      <c r="EA37" s="4318"/>
      <c r="EB37" s="4318"/>
      <c r="EC37" s="4318"/>
      <c r="ED37" s="4318" t="s">
        <v>430</v>
      </c>
      <c r="EE37" s="4318"/>
      <c r="EF37" s="4318"/>
      <c r="EG37" s="4318"/>
      <c r="EH37" s="4318"/>
      <c r="EI37" s="4318"/>
      <c r="EJ37" s="4318"/>
      <c r="EK37" s="4318"/>
      <c r="EL37" s="4318" t="s">
        <v>430</v>
      </c>
      <c r="EM37" s="4318"/>
      <c r="EN37" s="4318"/>
      <c r="EO37" s="4318"/>
      <c r="EP37" s="4318"/>
      <c r="EQ37" s="4318"/>
      <c r="ER37" s="4318"/>
      <c r="ES37" s="4318"/>
      <c r="ET37" s="4318" t="s">
        <v>430</v>
      </c>
      <c r="EU37" s="4318"/>
      <c r="EV37" s="4318"/>
      <c r="EW37" s="4318"/>
      <c r="EX37" s="4318"/>
      <c r="EY37" s="4318"/>
      <c r="EZ37" s="4318"/>
      <c r="FA37" s="4318"/>
      <c r="FI37" s="1553">
        <v>14</v>
      </c>
    </row>
    <row customHeight="1" ht="15">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4319" t="s">
        <v>305</v>
      </c>
      <c r="AM38" s="4319"/>
      <c r="AN38" s="4319"/>
      <c r="AO38" s="4319"/>
      <c r="AP38" s="4319"/>
      <c r="AQ38" s="4319"/>
      <c r="AR38" s="4319"/>
      <c r="AS38" s="4319"/>
      <c r="AT38" s="4319" t="s">
        <v>305</v>
      </c>
      <c r="AU38" s="4319"/>
      <c r="AV38" s="4319"/>
      <c r="AW38" s="4319"/>
      <c r="AX38" s="4319"/>
      <c r="AY38" s="4319"/>
      <c r="AZ38" s="4319"/>
      <c r="BA38" s="4319"/>
      <c r="BB38" s="4319" t="s">
        <v>305</v>
      </c>
      <c r="BC38" s="4319"/>
      <c r="BD38" s="4319"/>
      <c r="BE38" s="4319"/>
      <c r="BF38" s="4319"/>
      <c r="BG38" s="4319"/>
      <c r="BH38" s="4319"/>
      <c r="BI38" s="4319"/>
      <c r="BJ38" s="4319" t="s">
        <v>305</v>
      </c>
      <c r="BK38" s="4319"/>
      <c r="BL38" s="4319"/>
      <c r="BM38" s="4319"/>
      <c r="BN38" s="4319"/>
      <c r="BO38" s="4319"/>
      <c r="BP38" s="4319"/>
      <c r="BQ38" s="4319"/>
      <c r="BR38" s="4319" t="s">
        <v>305</v>
      </c>
      <c r="BS38" s="4319"/>
      <c r="BT38" s="4319"/>
      <c r="BU38" s="4319"/>
      <c r="BV38" s="4319"/>
      <c r="BW38" s="4319"/>
      <c r="BX38" s="4319"/>
      <c r="BY38" s="4319"/>
      <c r="BZ38" s="4319" t="s">
        <v>305</v>
      </c>
      <c r="CA38" s="4319"/>
      <c r="CB38" s="4319"/>
      <c r="CC38" s="4319"/>
      <c r="CD38" s="4319"/>
      <c r="CE38" s="4319"/>
      <c r="CF38" s="4319"/>
      <c r="CG38" s="4319"/>
      <c r="CH38" s="4319" t="s">
        <v>305</v>
      </c>
      <c r="CI38" s="4319"/>
      <c r="CJ38" s="4319"/>
      <c r="CK38" s="4319"/>
      <c r="CL38" s="4319"/>
      <c r="CM38" s="4319"/>
      <c r="CN38" s="4319"/>
      <c r="CO38" s="4319"/>
      <c r="CP38" s="4319" t="s">
        <v>305</v>
      </c>
      <c r="CQ38" s="4319"/>
      <c r="CR38" s="4319"/>
      <c r="CS38" s="4319"/>
      <c r="CT38" s="4319"/>
      <c r="CU38" s="4319"/>
      <c r="CV38" s="4319"/>
      <c r="CW38" s="4319"/>
      <c r="CX38" s="4319" t="s">
        <v>305</v>
      </c>
      <c r="CY38" s="4319"/>
      <c r="CZ38" s="4319"/>
      <c r="DA38" s="4319"/>
      <c r="DB38" s="4319"/>
      <c r="DC38" s="4319"/>
      <c r="DD38" s="4319"/>
      <c r="DE38" s="4319"/>
      <c r="DF38" s="4319" t="s">
        <v>305</v>
      </c>
      <c r="DG38" s="4319"/>
      <c r="DH38" s="4319"/>
      <c r="DI38" s="4319"/>
      <c r="DJ38" s="4319"/>
      <c r="DK38" s="4319"/>
      <c r="DL38" s="4319"/>
      <c r="DM38" s="4319"/>
      <c r="DN38" s="4319" t="s">
        <v>305</v>
      </c>
      <c r="DO38" s="4319"/>
      <c r="DP38" s="4319"/>
      <c r="DQ38" s="4319"/>
      <c r="DR38" s="4319"/>
      <c r="DS38" s="4319"/>
      <c r="DT38" s="4319"/>
      <c r="DU38" s="4319"/>
      <c r="DV38" s="4319" t="s">
        <v>305</v>
      </c>
      <c r="DW38" s="4319"/>
      <c r="DX38" s="4319"/>
      <c r="DY38" s="4319"/>
      <c r="DZ38" s="4319"/>
      <c r="EA38" s="4319"/>
      <c r="EB38" s="4319"/>
      <c r="EC38" s="4319"/>
      <c r="ED38" s="4319" t="s">
        <v>305</v>
      </c>
      <c r="EE38" s="4319"/>
      <c r="EF38" s="4319"/>
      <c r="EG38" s="4319"/>
      <c r="EH38" s="4319"/>
      <c r="EI38" s="4319"/>
      <c r="EJ38" s="4319"/>
      <c r="EK38" s="4319"/>
      <c r="EL38" s="4319" t="s">
        <v>305</v>
      </c>
      <c r="EM38" s="4319"/>
      <c r="EN38" s="4319"/>
      <c r="EO38" s="4319"/>
      <c r="EP38" s="4319"/>
      <c r="EQ38" s="4319"/>
      <c r="ER38" s="4319"/>
      <c r="ES38" s="4319"/>
      <c r="ET38" s="4319" t="s">
        <v>305</v>
      </c>
      <c r="EU38" s="4319"/>
      <c r="EV38" s="4319"/>
      <c r="EW38" s="4319"/>
      <c r="EX38" s="4319"/>
      <c r="EY38" s="4319"/>
      <c r="EZ38" s="4319"/>
      <c r="FA38" s="4319"/>
      <c r="FB38" s="2525"/>
      <c r="FC38" s="2525"/>
      <c r="FI38" s="1553"/>
    </row>
    <row customHeight="1" ht="14.699999999999998">
      <c r="Q39" s="774"/>
      <c r="R39" s="774"/>
      <c r="S39" s="2671" t="s">
        <v>89</v>
      </c>
      <c r="T39" s="2607" t="s">
        <v>431</v>
      </c>
      <c r="U39" s="699"/>
      <c r="V39" s="2672" t="s">
        <v>432</v>
      </c>
      <c r="W39" s="2673"/>
      <c r="X39" s="2673"/>
      <c r="Y39" s="2673"/>
      <c r="Z39" s="2673"/>
      <c r="AA39" s="2673"/>
      <c r="AB39" s="2674"/>
      <c r="AC39" s="2675" t="s">
        <v>433</v>
      </c>
      <c r="AD39" s="2672" t="s">
        <v>432</v>
      </c>
      <c r="AE39" s="2673"/>
      <c r="AF39" s="2673"/>
      <c r="AG39" s="2673"/>
      <c r="AH39" s="2673"/>
      <c r="AI39" s="2673"/>
      <c r="AJ39" s="2674"/>
      <c r="AK39" s="2675" t="s">
        <v>434</v>
      </c>
      <c r="AL39" s="4326" t="s">
        <v>432</v>
      </c>
      <c r="AM39" s="4327"/>
      <c r="AN39" s="4327"/>
      <c r="AO39" s="4327"/>
      <c r="AP39" s="4327"/>
      <c r="AQ39" s="4327"/>
      <c r="AR39" s="4328"/>
      <c r="AS39" s="4329" t="s">
        <v>433</v>
      </c>
      <c r="AT39" s="4326" t="s">
        <v>432</v>
      </c>
      <c r="AU39" s="4327"/>
      <c r="AV39" s="4327"/>
      <c r="AW39" s="4327"/>
      <c r="AX39" s="4327"/>
      <c r="AY39" s="4327"/>
      <c r="AZ39" s="4328"/>
      <c r="BA39" s="4329" t="s">
        <v>433</v>
      </c>
      <c r="BB39" s="4326" t="s">
        <v>432</v>
      </c>
      <c r="BC39" s="4327"/>
      <c r="BD39" s="4327"/>
      <c r="BE39" s="4327"/>
      <c r="BF39" s="4327"/>
      <c r="BG39" s="4327"/>
      <c r="BH39" s="4328"/>
      <c r="BI39" s="4329" t="s">
        <v>433</v>
      </c>
      <c r="BJ39" s="4326" t="s">
        <v>432</v>
      </c>
      <c r="BK39" s="4327"/>
      <c r="BL39" s="4327"/>
      <c r="BM39" s="4327"/>
      <c r="BN39" s="4327"/>
      <c r="BO39" s="4327"/>
      <c r="BP39" s="4328"/>
      <c r="BQ39" s="4329" t="s">
        <v>433</v>
      </c>
      <c r="BR39" s="4326" t="s">
        <v>432</v>
      </c>
      <c r="BS39" s="4327"/>
      <c r="BT39" s="4327"/>
      <c r="BU39" s="4327"/>
      <c r="BV39" s="4327"/>
      <c r="BW39" s="4327"/>
      <c r="BX39" s="4328"/>
      <c r="BY39" s="4329" t="s">
        <v>433</v>
      </c>
      <c r="BZ39" s="4326" t="s">
        <v>432</v>
      </c>
      <c r="CA39" s="4327"/>
      <c r="CB39" s="4327"/>
      <c r="CC39" s="4327"/>
      <c r="CD39" s="4327"/>
      <c r="CE39" s="4327"/>
      <c r="CF39" s="4328"/>
      <c r="CG39" s="4329" t="s">
        <v>433</v>
      </c>
      <c r="CH39" s="4326" t="s">
        <v>432</v>
      </c>
      <c r="CI39" s="4327"/>
      <c r="CJ39" s="4327"/>
      <c r="CK39" s="4327"/>
      <c r="CL39" s="4327"/>
      <c r="CM39" s="4327"/>
      <c r="CN39" s="4328"/>
      <c r="CO39" s="4329" t="s">
        <v>433</v>
      </c>
      <c r="CP39" s="4326" t="s">
        <v>432</v>
      </c>
      <c r="CQ39" s="4327"/>
      <c r="CR39" s="4327"/>
      <c r="CS39" s="4327"/>
      <c r="CT39" s="4327"/>
      <c r="CU39" s="4327"/>
      <c r="CV39" s="4328"/>
      <c r="CW39" s="4329" t="s">
        <v>433</v>
      </c>
      <c r="CX39" s="4326" t="s">
        <v>432</v>
      </c>
      <c r="CY39" s="4327"/>
      <c r="CZ39" s="4327"/>
      <c r="DA39" s="4327"/>
      <c r="DB39" s="4327"/>
      <c r="DC39" s="4327"/>
      <c r="DD39" s="4328"/>
      <c r="DE39" s="4329" t="s">
        <v>433</v>
      </c>
      <c r="DF39" s="4326" t="s">
        <v>432</v>
      </c>
      <c r="DG39" s="4327"/>
      <c r="DH39" s="4327"/>
      <c r="DI39" s="4327"/>
      <c r="DJ39" s="4327"/>
      <c r="DK39" s="4327"/>
      <c r="DL39" s="4328"/>
      <c r="DM39" s="4329" t="s">
        <v>433</v>
      </c>
      <c r="DN39" s="4326" t="s">
        <v>432</v>
      </c>
      <c r="DO39" s="4327"/>
      <c r="DP39" s="4327"/>
      <c r="DQ39" s="4327"/>
      <c r="DR39" s="4327"/>
      <c r="DS39" s="4327"/>
      <c r="DT39" s="4328"/>
      <c r="DU39" s="4329" t="s">
        <v>433</v>
      </c>
      <c r="DV39" s="4326" t="s">
        <v>432</v>
      </c>
      <c r="DW39" s="4327"/>
      <c r="DX39" s="4327"/>
      <c r="DY39" s="4327"/>
      <c r="DZ39" s="4327"/>
      <c r="EA39" s="4327"/>
      <c r="EB39" s="4328"/>
      <c r="EC39" s="4329" t="s">
        <v>433</v>
      </c>
      <c r="ED39" s="4326" t="s">
        <v>432</v>
      </c>
      <c r="EE39" s="4327"/>
      <c r="EF39" s="4327"/>
      <c r="EG39" s="4327"/>
      <c r="EH39" s="4327"/>
      <c r="EI39" s="4327"/>
      <c r="EJ39" s="4328"/>
      <c r="EK39" s="4329" t="s">
        <v>433</v>
      </c>
      <c r="EL39" s="4326" t="s">
        <v>432</v>
      </c>
      <c r="EM39" s="4327"/>
      <c r="EN39" s="4327"/>
      <c r="EO39" s="4327"/>
      <c r="EP39" s="4327"/>
      <c r="EQ39" s="4327"/>
      <c r="ER39" s="4328"/>
      <c r="ES39" s="4329" t="s">
        <v>433</v>
      </c>
      <c r="ET39" s="4326" t="s">
        <v>432</v>
      </c>
      <c r="EU39" s="4327"/>
      <c r="EV39" s="4327"/>
      <c r="EW39" s="4327"/>
      <c r="EX39" s="4327"/>
      <c r="EY39" s="4327"/>
      <c r="EZ39" s="4328"/>
      <c r="FA39" s="4329" t="s">
        <v>433</v>
      </c>
      <c r="FB39" s="2678" t="s">
        <v>435</v>
      </c>
      <c r="FC39" s="2525"/>
      <c r="FI39" s="1553">
        <v>14</v>
      </c>
    </row>
    <row customHeight="1" ht="35.699999999999996">
      <c r="Q40" s="774"/>
      <c r="R40" s="774"/>
      <c r="S40" s="2671"/>
      <c r="T40" s="2607"/>
      <c r="U40" s="1429"/>
      <c r="V40" s="2658" t="s">
        <v>436</v>
      </c>
      <c r="W40" s="3008" t="s">
        <v>437</v>
      </c>
      <c r="X40" s="2660" t="s">
        <v>438</v>
      </c>
      <c r="Y40" s="2661"/>
      <c r="Z40" s="2660" t="s">
        <v>439</v>
      </c>
      <c r="AA40" s="2667"/>
      <c r="AB40" s="2661"/>
      <c r="AC40" s="2676"/>
      <c r="AD40" s="2658" t="s">
        <v>436</v>
      </c>
      <c r="AE40" s="2681" t="s">
        <v>437</v>
      </c>
      <c r="AF40" s="2660" t="s">
        <v>438</v>
      </c>
      <c r="AG40" s="2661"/>
      <c r="AH40" s="2660" t="s">
        <v>439</v>
      </c>
      <c r="AI40" s="2667"/>
      <c r="AJ40" s="2661"/>
      <c r="AK40" s="2676"/>
      <c r="AL40" s="4339" t="s">
        <v>436</v>
      </c>
      <c r="AM40" s="4340" t="s">
        <v>437</v>
      </c>
      <c r="AN40" s="4341" t="s">
        <v>438</v>
      </c>
      <c r="AO40" s="4342"/>
      <c r="AP40" s="4341" t="s">
        <v>439</v>
      </c>
      <c r="AQ40" s="4343"/>
      <c r="AR40" s="4342"/>
      <c r="AS40" s="4344"/>
      <c r="AT40" s="4339" t="s">
        <v>436</v>
      </c>
      <c r="AU40" s="4340" t="s">
        <v>437</v>
      </c>
      <c r="AV40" s="4341" t="s">
        <v>438</v>
      </c>
      <c r="AW40" s="4342"/>
      <c r="AX40" s="4341" t="s">
        <v>439</v>
      </c>
      <c r="AY40" s="4343"/>
      <c r="AZ40" s="4342"/>
      <c r="BA40" s="4344"/>
      <c r="BB40" s="4339" t="s">
        <v>436</v>
      </c>
      <c r="BC40" s="4340" t="s">
        <v>437</v>
      </c>
      <c r="BD40" s="4341" t="s">
        <v>438</v>
      </c>
      <c r="BE40" s="4342"/>
      <c r="BF40" s="4341" t="s">
        <v>439</v>
      </c>
      <c r="BG40" s="4343"/>
      <c r="BH40" s="4342"/>
      <c r="BI40" s="4344"/>
      <c r="BJ40" s="4339" t="s">
        <v>436</v>
      </c>
      <c r="BK40" s="4340" t="s">
        <v>437</v>
      </c>
      <c r="BL40" s="4341" t="s">
        <v>438</v>
      </c>
      <c r="BM40" s="4342"/>
      <c r="BN40" s="4341" t="s">
        <v>439</v>
      </c>
      <c r="BO40" s="4343"/>
      <c r="BP40" s="4342"/>
      <c r="BQ40" s="4344"/>
      <c r="BR40" s="4339" t="s">
        <v>436</v>
      </c>
      <c r="BS40" s="4340" t="s">
        <v>437</v>
      </c>
      <c r="BT40" s="4341" t="s">
        <v>438</v>
      </c>
      <c r="BU40" s="4342"/>
      <c r="BV40" s="4341" t="s">
        <v>439</v>
      </c>
      <c r="BW40" s="4343"/>
      <c r="BX40" s="4342"/>
      <c r="BY40" s="4344"/>
      <c r="BZ40" s="4339" t="s">
        <v>436</v>
      </c>
      <c r="CA40" s="4340" t="s">
        <v>437</v>
      </c>
      <c r="CB40" s="4341" t="s">
        <v>438</v>
      </c>
      <c r="CC40" s="4342"/>
      <c r="CD40" s="4341" t="s">
        <v>439</v>
      </c>
      <c r="CE40" s="4343"/>
      <c r="CF40" s="4342"/>
      <c r="CG40" s="4344"/>
      <c r="CH40" s="4339" t="s">
        <v>436</v>
      </c>
      <c r="CI40" s="4340" t="s">
        <v>437</v>
      </c>
      <c r="CJ40" s="4341" t="s">
        <v>438</v>
      </c>
      <c r="CK40" s="4342"/>
      <c r="CL40" s="4341" t="s">
        <v>439</v>
      </c>
      <c r="CM40" s="4343"/>
      <c r="CN40" s="4342"/>
      <c r="CO40" s="4344"/>
      <c r="CP40" s="4339" t="s">
        <v>436</v>
      </c>
      <c r="CQ40" s="4340" t="s">
        <v>437</v>
      </c>
      <c r="CR40" s="4341" t="s">
        <v>438</v>
      </c>
      <c r="CS40" s="4342"/>
      <c r="CT40" s="4341" t="s">
        <v>439</v>
      </c>
      <c r="CU40" s="4343"/>
      <c r="CV40" s="4342"/>
      <c r="CW40" s="4344"/>
      <c r="CX40" s="4339" t="s">
        <v>436</v>
      </c>
      <c r="CY40" s="4340" t="s">
        <v>437</v>
      </c>
      <c r="CZ40" s="4341" t="s">
        <v>438</v>
      </c>
      <c r="DA40" s="4342"/>
      <c r="DB40" s="4341" t="s">
        <v>439</v>
      </c>
      <c r="DC40" s="4343"/>
      <c r="DD40" s="4342"/>
      <c r="DE40" s="4344"/>
      <c r="DF40" s="4339" t="s">
        <v>436</v>
      </c>
      <c r="DG40" s="4340" t="s">
        <v>437</v>
      </c>
      <c r="DH40" s="4341" t="s">
        <v>438</v>
      </c>
      <c r="DI40" s="4342"/>
      <c r="DJ40" s="4341" t="s">
        <v>439</v>
      </c>
      <c r="DK40" s="4343"/>
      <c r="DL40" s="4342"/>
      <c r="DM40" s="4344"/>
      <c r="DN40" s="4339" t="s">
        <v>436</v>
      </c>
      <c r="DO40" s="4340" t="s">
        <v>437</v>
      </c>
      <c r="DP40" s="4341" t="s">
        <v>438</v>
      </c>
      <c r="DQ40" s="4342"/>
      <c r="DR40" s="4341" t="s">
        <v>439</v>
      </c>
      <c r="DS40" s="4343"/>
      <c r="DT40" s="4342"/>
      <c r="DU40" s="4344"/>
      <c r="DV40" s="4339" t="s">
        <v>436</v>
      </c>
      <c r="DW40" s="4340" t="s">
        <v>437</v>
      </c>
      <c r="DX40" s="4341" t="s">
        <v>438</v>
      </c>
      <c r="DY40" s="4342"/>
      <c r="DZ40" s="4341" t="s">
        <v>439</v>
      </c>
      <c r="EA40" s="4343"/>
      <c r="EB40" s="4342"/>
      <c r="EC40" s="4344"/>
      <c r="ED40" s="4339" t="s">
        <v>436</v>
      </c>
      <c r="EE40" s="4340" t="s">
        <v>437</v>
      </c>
      <c r="EF40" s="4341" t="s">
        <v>438</v>
      </c>
      <c r="EG40" s="4342"/>
      <c r="EH40" s="4341" t="s">
        <v>439</v>
      </c>
      <c r="EI40" s="4343"/>
      <c r="EJ40" s="4342"/>
      <c r="EK40" s="4344"/>
      <c r="EL40" s="4339" t="s">
        <v>436</v>
      </c>
      <c r="EM40" s="4340" t="s">
        <v>437</v>
      </c>
      <c r="EN40" s="4341" t="s">
        <v>438</v>
      </c>
      <c r="EO40" s="4342"/>
      <c r="EP40" s="4341" t="s">
        <v>439</v>
      </c>
      <c r="EQ40" s="4343"/>
      <c r="ER40" s="4342"/>
      <c r="ES40" s="4344"/>
      <c r="ET40" s="4339" t="s">
        <v>436</v>
      </c>
      <c r="EU40" s="4340" t="s">
        <v>437</v>
      </c>
      <c r="EV40" s="4341" t="s">
        <v>438</v>
      </c>
      <c r="EW40" s="4342"/>
      <c r="EX40" s="4341" t="s">
        <v>439</v>
      </c>
      <c r="EY40" s="4343"/>
      <c r="EZ40" s="4342"/>
      <c r="FA40" s="4344"/>
      <c r="FB40" s="2679"/>
      <c r="FC40" s="2525"/>
      <c r="FI40" s="1553">
        <v>34</v>
      </c>
    </row>
    <row customHeight="1" ht="35.699999999999996">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Q41" s="774"/>
      <c r="R41" s="774"/>
      <c r="S41" s="2671"/>
      <c r="T41" s="2607"/>
      <c r="U41" s="700"/>
      <c r="V41" s="2659"/>
      <c r="W41" s="2682"/>
      <c r="X41" s="1620" t="s">
        <v>447</v>
      </c>
      <c r="Y41" s="1620" t="s">
        <v>448</v>
      </c>
      <c r="Z41" s="1619" t="s">
        <v>449</v>
      </c>
      <c r="AA41" s="2668" t="s">
        <v>450</v>
      </c>
      <c r="AB41" s="2669"/>
      <c r="AC41" s="2677"/>
      <c r="AD41" s="2659"/>
      <c r="AE41" s="2682"/>
      <c r="AF41" s="1620" t="s">
        <v>447</v>
      </c>
      <c r="AG41" s="1620" t="s">
        <v>448</v>
      </c>
      <c r="AH41" s="1711" t="s">
        <v>449</v>
      </c>
      <c r="AI41" s="2668" t="s">
        <v>450</v>
      </c>
      <c r="AJ41" s="2669"/>
      <c r="AK41" s="2677"/>
      <c r="AL41" s="4355"/>
      <c r="AM41" s="4356"/>
      <c r="AN41" s="4357" t="s">
        <v>447</v>
      </c>
      <c r="AO41" s="4357" t="s">
        <v>448</v>
      </c>
      <c r="AP41" s="4357" t="s">
        <v>449</v>
      </c>
      <c r="AQ41" s="4358" t="s">
        <v>450</v>
      </c>
      <c r="AR41" s="4359"/>
      <c r="AS41" s="4360"/>
      <c r="AT41" s="4355"/>
      <c r="AU41" s="4356"/>
      <c r="AV41" s="4357" t="s">
        <v>447</v>
      </c>
      <c r="AW41" s="4357" t="s">
        <v>448</v>
      </c>
      <c r="AX41" s="4357" t="s">
        <v>449</v>
      </c>
      <c r="AY41" s="4358" t="s">
        <v>450</v>
      </c>
      <c r="AZ41" s="4359"/>
      <c r="BA41" s="4360"/>
      <c r="BB41" s="4355"/>
      <c r="BC41" s="4356"/>
      <c r="BD41" s="4357" t="s">
        <v>447</v>
      </c>
      <c r="BE41" s="4357" t="s">
        <v>448</v>
      </c>
      <c r="BF41" s="4357" t="s">
        <v>449</v>
      </c>
      <c r="BG41" s="4358" t="s">
        <v>450</v>
      </c>
      <c r="BH41" s="4359"/>
      <c r="BI41" s="4360"/>
      <c r="BJ41" s="4355"/>
      <c r="BK41" s="4356"/>
      <c r="BL41" s="4357" t="s">
        <v>447</v>
      </c>
      <c r="BM41" s="4357" t="s">
        <v>448</v>
      </c>
      <c r="BN41" s="4357" t="s">
        <v>449</v>
      </c>
      <c r="BO41" s="4358" t="s">
        <v>450</v>
      </c>
      <c r="BP41" s="4359"/>
      <c r="BQ41" s="4360"/>
      <c r="BR41" s="4355"/>
      <c r="BS41" s="4356"/>
      <c r="BT41" s="4357" t="s">
        <v>447</v>
      </c>
      <c r="BU41" s="4357" t="s">
        <v>448</v>
      </c>
      <c r="BV41" s="4357" t="s">
        <v>449</v>
      </c>
      <c r="BW41" s="4358" t="s">
        <v>450</v>
      </c>
      <c r="BX41" s="4359"/>
      <c r="BY41" s="4360"/>
      <c r="BZ41" s="4355"/>
      <c r="CA41" s="4356"/>
      <c r="CB41" s="4357" t="s">
        <v>447</v>
      </c>
      <c r="CC41" s="4357" t="s">
        <v>448</v>
      </c>
      <c r="CD41" s="4357" t="s">
        <v>449</v>
      </c>
      <c r="CE41" s="4358" t="s">
        <v>450</v>
      </c>
      <c r="CF41" s="4359"/>
      <c r="CG41" s="4360"/>
      <c r="CH41" s="4355"/>
      <c r="CI41" s="4356"/>
      <c r="CJ41" s="4357" t="s">
        <v>447</v>
      </c>
      <c r="CK41" s="4357" t="s">
        <v>448</v>
      </c>
      <c r="CL41" s="4357" t="s">
        <v>449</v>
      </c>
      <c r="CM41" s="4358" t="s">
        <v>450</v>
      </c>
      <c r="CN41" s="4359"/>
      <c r="CO41" s="4360"/>
      <c r="CP41" s="4355"/>
      <c r="CQ41" s="4356"/>
      <c r="CR41" s="4357" t="s">
        <v>447</v>
      </c>
      <c r="CS41" s="4357" t="s">
        <v>448</v>
      </c>
      <c r="CT41" s="4357" t="s">
        <v>449</v>
      </c>
      <c r="CU41" s="4358" t="s">
        <v>450</v>
      </c>
      <c r="CV41" s="4359"/>
      <c r="CW41" s="4360"/>
      <c r="CX41" s="4355"/>
      <c r="CY41" s="4356"/>
      <c r="CZ41" s="4357" t="s">
        <v>447</v>
      </c>
      <c r="DA41" s="4357" t="s">
        <v>448</v>
      </c>
      <c r="DB41" s="4357" t="s">
        <v>449</v>
      </c>
      <c r="DC41" s="4358" t="s">
        <v>450</v>
      </c>
      <c r="DD41" s="4359"/>
      <c r="DE41" s="4360"/>
      <c r="DF41" s="4355"/>
      <c r="DG41" s="4356"/>
      <c r="DH41" s="4357" t="s">
        <v>447</v>
      </c>
      <c r="DI41" s="4357" t="s">
        <v>448</v>
      </c>
      <c r="DJ41" s="4357" t="s">
        <v>449</v>
      </c>
      <c r="DK41" s="4358" t="s">
        <v>450</v>
      </c>
      <c r="DL41" s="4359"/>
      <c r="DM41" s="4360"/>
      <c r="DN41" s="4355"/>
      <c r="DO41" s="4356"/>
      <c r="DP41" s="4357" t="s">
        <v>447</v>
      </c>
      <c r="DQ41" s="4357" t="s">
        <v>448</v>
      </c>
      <c r="DR41" s="4357" t="s">
        <v>449</v>
      </c>
      <c r="DS41" s="4358" t="s">
        <v>450</v>
      </c>
      <c r="DT41" s="4359"/>
      <c r="DU41" s="4360"/>
      <c r="DV41" s="4355"/>
      <c r="DW41" s="4356"/>
      <c r="DX41" s="4357" t="s">
        <v>447</v>
      </c>
      <c r="DY41" s="4357" t="s">
        <v>448</v>
      </c>
      <c r="DZ41" s="4357" t="s">
        <v>449</v>
      </c>
      <c r="EA41" s="4358" t="s">
        <v>450</v>
      </c>
      <c r="EB41" s="4359"/>
      <c r="EC41" s="4360"/>
      <c r="ED41" s="4355"/>
      <c r="EE41" s="4356"/>
      <c r="EF41" s="4357" t="s">
        <v>447</v>
      </c>
      <c r="EG41" s="4357" t="s">
        <v>448</v>
      </c>
      <c r="EH41" s="4357" t="s">
        <v>449</v>
      </c>
      <c r="EI41" s="4358" t="s">
        <v>450</v>
      </c>
      <c r="EJ41" s="4359"/>
      <c r="EK41" s="4360"/>
      <c r="EL41" s="4355"/>
      <c r="EM41" s="4356"/>
      <c r="EN41" s="4357" t="s">
        <v>447</v>
      </c>
      <c r="EO41" s="4357" t="s">
        <v>448</v>
      </c>
      <c r="EP41" s="4357" t="s">
        <v>449</v>
      </c>
      <c r="EQ41" s="4358" t="s">
        <v>450</v>
      </c>
      <c r="ER41" s="4359"/>
      <c r="ES41" s="4360"/>
      <c r="ET41" s="4355"/>
      <c r="EU41" s="4356"/>
      <c r="EV41" s="4357" t="s">
        <v>447</v>
      </c>
      <c r="EW41" s="4357" t="s">
        <v>448</v>
      </c>
      <c r="EX41" s="4357" t="s">
        <v>449</v>
      </c>
      <c r="EY41" s="4358" t="s">
        <v>450</v>
      </c>
      <c r="EZ41" s="4359"/>
      <c r="FA41" s="4360"/>
      <c r="FB41" s="2680"/>
      <c r="FC41" s="2525"/>
      <c r="FI41" s="1553">
        <v>34</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4371">
        <f>OFFSET(AL42,0,-1)+1</f>
        <v>6</v>
      </c>
      <c r="AM42" s="4371"/>
      <c r="AN42" s="4371">
        <f>OFFSET(AN42,0,-1)+1</f>
        <v>1</v>
      </c>
      <c r="AO42" s="4371">
        <f>OFFSET(AO42,0,-1)+1</f>
        <v>2</v>
      </c>
      <c r="AP42" s="4371">
        <f>OFFSET(AP42,0,-1)+1</f>
        <v>3</v>
      </c>
      <c r="AQ42" s="4371">
        <f>OFFSET(AQ42,0,-1)+1</f>
        <v>4</v>
      </c>
      <c r="AR42" s="4371"/>
      <c r="AS42" s="4371">
        <f>OFFSET(AS42,0,-2)+1</f>
        <v>5</v>
      </c>
      <c r="AT42" s="4371">
        <f>OFFSET(AT42,0,-1)+1</f>
        <v>6</v>
      </c>
      <c r="AU42" s="4371"/>
      <c r="AV42" s="4371">
        <f>OFFSET(AV42,0,-1)+1</f>
        <v>1</v>
      </c>
      <c r="AW42" s="4371">
        <f>OFFSET(AW42,0,-1)+1</f>
        <v>2</v>
      </c>
      <c r="AX42" s="4371">
        <f>OFFSET(AX42,0,-1)+1</f>
        <v>3</v>
      </c>
      <c r="AY42" s="4371">
        <f>OFFSET(AY42,0,-1)+1</f>
        <v>4</v>
      </c>
      <c r="AZ42" s="4371"/>
      <c r="BA42" s="4371">
        <f>OFFSET(BA42,0,-2)+1</f>
        <v>5</v>
      </c>
      <c r="BB42" s="4371">
        <f>OFFSET(BB42,0,-1)+1</f>
        <v>6</v>
      </c>
      <c r="BC42" s="4371"/>
      <c r="BD42" s="4371">
        <f>OFFSET(BD42,0,-1)+1</f>
        <v>1</v>
      </c>
      <c r="BE42" s="4371">
        <f>OFFSET(BE42,0,-1)+1</f>
        <v>2</v>
      </c>
      <c r="BF42" s="4371">
        <f>OFFSET(BF42,0,-1)+1</f>
        <v>3</v>
      </c>
      <c r="BG42" s="4371">
        <f>OFFSET(BG42,0,-1)+1</f>
        <v>4</v>
      </c>
      <c r="BH42" s="4371"/>
      <c r="BI42" s="4371">
        <f>OFFSET(BI42,0,-2)+1</f>
        <v>5</v>
      </c>
      <c r="BJ42" s="4371">
        <f>OFFSET(BJ42,0,-1)+1</f>
        <v>6</v>
      </c>
      <c r="BK42" s="4371"/>
      <c r="BL42" s="4371">
        <f>OFFSET(BL42,0,-1)+1</f>
        <v>1</v>
      </c>
      <c r="BM42" s="4371">
        <f>OFFSET(BM42,0,-1)+1</f>
        <v>2</v>
      </c>
      <c r="BN42" s="4371">
        <f>OFFSET(BN42,0,-1)+1</f>
        <v>3</v>
      </c>
      <c r="BO42" s="4371">
        <f>OFFSET(BO42,0,-1)+1</f>
        <v>4</v>
      </c>
      <c r="BP42" s="4371"/>
      <c r="BQ42" s="4371">
        <f>OFFSET(BQ42,0,-2)+1</f>
        <v>5</v>
      </c>
      <c r="BR42" s="4371">
        <f>OFFSET(BR42,0,-1)+1</f>
        <v>6</v>
      </c>
      <c r="BS42" s="4371"/>
      <c r="BT42" s="4371">
        <f>OFFSET(BT42,0,-1)+1</f>
        <v>1</v>
      </c>
      <c r="BU42" s="4371">
        <f>OFFSET(BU42,0,-1)+1</f>
        <v>2</v>
      </c>
      <c r="BV42" s="4371">
        <f>OFFSET(BV42,0,-1)+1</f>
        <v>3</v>
      </c>
      <c r="BW42" s="4371">
        <f>OFFSET(BW42,0,-1)+1</f>
        <v>4</v>
      </c>
      <c r="BX42" s="4371"/>
      <c r="BY42" s="4371">
        <f>OFFSET(BY42,0,-2)+1</f>
        <v>5</v>
      </c>
      <c r="BZ42" s="4371">
        <f>OFFSET(BZ42,0,-1)+1</f>
        <v>6</v>
      </c>
      <c r="CA42" s="4371"/>
      <c r="CB42" s="4371">
        <f>OFFSET(CB42,0,-1)+1</f>
        <v>1</v>
      </c>
      <c r="CC42" s="4371">
        <f>OFFSET(CC42,0,-1)+1</f>
        <v>2</v>
      </c>
      <c r="CD42" s="4371">
        <f>OFFSET(CD42,0,-1)+1</f>
        <v>3</v>
      </c>
      <c r="CE42" s="4371">
        <f>OFFSET(CE42,0,-1)+1</f>
        <v>4</v>
      </c>
      <c r="CF42" s="4371"/>
      <c r="CG42" s="4371">
        <f>OFFSET(CG42,0,-2)+1</f>
        <v>5</v>
      </c>
      <c r="CH42" s="4371">
        <f>OFFSET(CH42,0,-1)+1</f>
        <v>6</v>
      </c>
      <c r="CI42" s="4371"/>
      <c r="CJ42" s="4371">
        <f>OFFSET(CJ42,0,-1)+1</f>
        <v>1</v>
      </c>
      <c r="CK42" s="4371">
        <f>OFFSET(CK42,0,-1)+1</f>
        <v>2</v>
      </c>
      <c r="CL42" s="4371">
        <f>OFFSET(CL42,0,-1)+1</f>
        <v>3</v>
      </c>
      <c r="CM42" s="4371">
        <f>OFFSET(CM42,0,-1)+1</f>
        <v>4</v>
      </c>
      <c r="CN42" s="4371"/>
      <c r="CO42" s="4371">
        <f>OFFSET(CO42,0,-2)+1</f>
        <v>5</v>
      </c>
      <c r="CP42" s="4371">
        <f>OFFSET(CP42,0,-1)+1</f>
        <v>6</v>
      </c>
      <c r="CQ42" s="4371"/>
      <c r="CR42" s="4371">
        <f>OFFSET(CR42,0,-1)+1</f>
        <v>1</v>
      </c>
      <c r="CS42" s="4371">
        <f>OFFSET(CS42,0,-1)+1</f>
        <v>2</v>
      </c>
      <c r="CT42" s="4371">
        <f>OFFSET(CT42,0,-1)+1</f>
        <v>3</v>
      </c>
      <c r="CU42" s="4371">
        <f>OFFSET(CU42,0,-1)+1</f>
        <v>4</v>
      </c>
      <c r="CV42" s="4371"/>
      <c r="CW42" s="4371">
        <f>OFFSET(CW42,0,-2)+1</f>
        <v>5</v>
      </c>
      <c r="CX42" s="4371">
        <f>OFFSET(CX42,0,-1)+1</f>
        <v>6</v>
      </c>
      <c r="CY42" s="4371"/>
      <c r="CZ42" s="4371">
        <f>OFFSET(CZ42,0,-1)+1</f>
        <v>1</v>
      </c>
      <c r="DA42" s="4371">
        <f>OFFSET(DA42,0,-1)+1</f>
        <v>2</v>
      </c>
      <c r="DB42" s="4371">
        <f>OFFSET(DB42,0,-1)+1</f>
        <v>3</v>
      </c>
      <c r="DC42" s="4371">
        <f>OFFSET(DC42,0,-1)+1</f>
        <v>4</v>
      </c>
      <c r="DD42" s="4371"/>
      <c r="DE42" s="4371">
        <f>OFFSET(DE42,0,-2)+1</f>
        <v>5</v>
      </c>
      <c r="DF42" s="4371">
        <f>OFFSET(DF42,0,-1)+1</f>
        <v>6</v>
      </c>
      <c r="DG42" s="4371"/>
      <c r="DH42" s="4371">
        <f>OFFSET(DH42,0,-1)+1</f>
        <v>1</v>
      </c>
      <c r="DI42" s="4371">
        <f>OFFSET(DI42,0,-1)+1</f>
        <v>2</v>
      </c>
      <c r="DJ42" s="4371">
        <f>OFFSET(DJ42,0,-1)+1</f>
        <v>3</v>
      </c>
      <c r="DK42" s="4371">
        <f>OFFSET(DK42,0,-1)+1</f>
        <v>4</v>
      </c>
      <c r="DL42" s="4371"/>
      <c r="DM42" s="4371">
        <f>OFFSET(DM42,0,-2)+1</f>
        <v>5</v>
      </c>
      <c r="DN42" s="4371">
        <f>OFFSET(DN42,0,-1)+1</f>
        <v>6</v>
      </c>
      <c r="DO42" s="4371"/>
      <c r="DP42" s="4371">
        <f>OFFSET(DP42,0,-1)+1</f>
        <v>1</v>
      </c>
      <c r="DQ42" s="4371">
        <f>OFFSET(DQ42,0,-1)+1</f>
        <v>2</v>
      </c>
      <c r="DR42" s="4371">
        <f>OFFSET(DR42,0,-1)+1</f>
        <v>3</v>
      </c>
      <c r="DS42" s="4371">
        <f>OFFSET(DS42,0,-1)+1</f>
        <v>4</v>
      </c>
      <c r="DT42" s="4371"/>
      <c r="DU42" s="4371">
        <f>OFFSET(DU42,0,-2)+1</f>
        <v>5</v>
      </c>
      <c r="DV42" s="4371">
        <f>OFFSET(DV42,0,-1)+1</f>
        <v>6</v>
      </c>
      <c r="DW42" s="4371"/>
      <c r="DX42" s="4371">
        <f>OFFSET(DX42,0,-1)+1</f>
        <v>1</v>
      </c>
      <c r="DY42" s="4371">
        <f>OFFSET(DY42,0,-1)+1</f>
        <v>2</v>
      </c>
      <c r="DZ42" s="4371">
        <f>OFFSET(DZ42,0,-1)+1</f>
        <v>3</v>
      </c>
      <c r="EA42" s="4371">
        <f>OFFSET(EA42,0,-1)+1</f>
        <v>4</v>
      </c>
      <c r="EB42" s="4371"/>
      <c r="EC42" s="4371">
        <f>OFFSET(EC42,0,-2)+1</f>
        <v>5</v>
      </c>
      <c r="ED42" s="4371">
        <f>OFFSET(ED42,0,-1)+1</f>
        <v>6</v>
      </c>
      <c r="EE42" s="4371"/>
      <c r="EF42" s="4371">
        <f>OFFSET(EF42,0,-1)+1</f>
        <v>1</v>
      </c>
      <c r="EG42" s="4371">
        <f>OFFSET(EG42,0,-1)+1</f>
        <v>2</v>
      </c>
      <c r="EH42" s="4371">
        <f>OFFSET(EH42,0,-1)+1</f>
        <v>3</v>
      </c>
      <c r="EI42" s="4371">
        <f>OFFSET(EI42,0,-1)+1</f>
        <v>4</v>
      </c>
      <c r="EJ42" s="4371"/>
      <c r="EK42" s="4371">
        <f>OFFSET(EK42,0,-2)+1</f>
        <v>5</v>
      </c>
      <c r="EL42" s="4371">
        <f>OFFSET(EL42,0,-1)+1</f>
        <v>6</v>
      </c>
      <c r="EM42" s="4371"/>
      <c r="EN42" s="4371">
        <f>OFFSET(EN42,0,-1)+1</f>
        <v>1</v>
      </c>
      <c r="EO42" s="4371">
        <f>OFFSET(EO42,0,-1)+1</f>
        <v>2</v>
      </c>
      <c r="EP42" s="4371">
        <f>OFFSET(EP42,0,-1)+1</f>
        <v>3</v>
      </c>
      <c r="EQ42" s="4371">
        <f>OFFSET(EQ42,0,-1)+1</f>
        <v>4</v>
      </c>
      <c r="ER42" s="4371"/>
      <c r="ES42" s="4371">
        <f>OFFSET(ES42,0,-2)+1</f>
        <v>5</v>
      </c>
      <c r="ET42" s="4371">
        <f>OFFSET(ET42,0,-1)+1</f>
        <v>6</v>
      </c>
      <c r="EU42" s="4371"/>
      <c r="EV42" s="4371">
        <f>OFFSET(EV42,0,-1)+1</f>
        <v>1</v>
      </c>
      <c r="EW42" s="4371">
        <f>OFFSET(EW42,0,-1)+1</f>
        <v>2</v>
      </c>
      <c r="EX42" s="4371">
        <f>OFFSET(EX42,0,-1)+1</f>
        <v>3</v>
      </c>
      <c r="EY42" s="4371">
        <f>OFFSET(EY42,0,-1)+1</f>
        <v>4</v>
      </c>
      <c r="EZ42" s="4371"/>
      <c r="FA42" s="4371">
        <f>OFFSET(FA42,0,-2)+1</f>
        <v>5</v>
      </c>
      <c r="FB42" s="1643">
        <f>OFFSET(FB42,0,-1)</f>
        <v>5</v>
      </c>
      <c r="FC42" s="1654">
        <f>OFFSET(FC42,0,-1)+1</f>
        <v>6</v>
      </c>
      <c r="FD42" s="909"/>
      <c r="FE42" s="909"/>
      <c r="FF42" s="909"/>
      <c r="FG42" s="909"/>
      <c r="FH42" s="909"/>
      <c r="FI42" s="894">
        <v>0</v>
      </c>
    </row>
    <row customHeight="1" ht="24">
      <c r="A43" s="1761" t="s">
        <v>159</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1</v>
      </c>
      <c r="T43" s="696" t="s">
        <v>124</v>
      </c>
      <c r="U43" s="698"/>
      <c r="V43" s="2640"/>
      <c r="W43" s="2641"/>
      <c r="X43" s="2641"/>
      <c r="Y43" s="2641"/>
      <c r="Z43" s="2641"/>
      <c r="AA43" s="2641"/>
      <c r="AB43" s="2641"/>
      <c r="AC43" s="2642"/>
      <c r="AD43" s="2640" t="str">
        <f>INDEX(PT_DIFFERENTIATION_NTAR,MATCH(A43,PT_DIFFERENTIATION_NTAR_ID,0))</f>
        <v>Тариф на производство и передачу тепловой энергии</v>
      </c>
      <c r="AE43" s="2641"/>
      <c r="AF43" s="2641"/>
      <c r="AG43" s="2641"/>
      <c r="AH43" s="2641"/>
      <c r="AI43" s="2641"/>
      <c r="AJ43" s="2641"/>
      <c r="AK43" s="2641"/>
      <c r="AL43" s="3849"/>
      <c r="AM43" s="3850"/>
      <c r="AN43" s="3850"/>
      <c r="AO43" s="3850"/>
      <c r="AP43" s="3850"/>
      <c r="AQ43" s="3850"/>
      <c r="AR43" s="3850"/>
      <c r="AS43" s="3851"/>
      <c r="AT43" s="3849"/>
      <c r="AU43" s="3850"/>
      <c r="AV43" s="3850"/>
      <c r="AW43" s="3850"/>
      <c r="AX43" s="3850"/>
      <c r="AY43" s="3850"/>
      <c r="AZ43" s="3850"/>
      <c r="BA43" s="3851"/>
      <c r="BB43" s="3849"/>
      <c r="BC43" s="3850"/>
      <c r="BD43" s="3850"/>
      <c r="BE43" s="3850"/>
      <c r="BF43" s="3850"/>
      <c r="BG43" s="3850"/>
      <c r="BH43" s="3850"/>
      <c r="BI43" s="3851"/>
      <c r="BJ43" s="3849"/>
      <c r="BK43" s="3850"/>
      <c r="BL43" s="3850"/>
      <c r="BM43" s="3850"/>
      <c r="BN43" s="3850"/>
      <c r="BO43" s="3850"/>
      <c r="BP43" s="3850"/>
      <c r="BQ43" s="3851"/>
      <c r="BR43" s="3849"/>
      <c r="BS43" s="3850"/>
      <c r="BT43" s="3850"/>
      <c r="BU43" s="3850"/>
      <c r="BV43" s="3850"/>
      <c r="BW43" s="3850"/>
      <c r="BX43" s="3850"/>
      <c r="BY43" s="3851"/>
      <c r="BZ43" s="3849"/>
      <c r="CA43" s="3850"/>
      <c r="CB43" s="3850"/>
      <c r="CC43" s="3850"/>
      <c r="CD43" s="3850"/>
      <c r="CE43" s="3850"/>
      <c r="CF43" s="3850"/>
      <c r="CG43" s="3851"/>
      <c r="CH43" s="3849"/>
      <c r="CI43" s="3850"/>
      <c r="CJ43" s="3850"/>
      <c r="CK43" s="3850"/>
      <c r="CL43" s="3850"/>
      <c r="CM43" s="3850"/>
      <c r="CN43" s="3850"/>
      <c r="CO43" s="3851"/>
      <c r="CP43" s="3849"/>
      <c r="CQ43" s="3850"/>
      <c r="CR43" s="3850"/>
      <c r="CS43" s="3850"/>
      <c r="CT43" s="3850"/>
      <c r="CU43" s="3850"/>
      <c r="CV43" s="3850"/>
      <c r="CW43" s="3851"/>
      <c r="CX43" s="3849"/>
      <c r="CY43" s="3850"/>
      <c r="CZ43" s="3850"/>
      <c r="DA43" s="3850"/>
      <c r="DB43" s="3850"/>
      <c r="DC43" s="3850"/>
      <c r="DD43" s="3850"/>
      <c r="DE43" s="3851"/>
      <c r="DF43" s="3849"/>
      <c r="DG43" s="3850"/>
      <c r="DH43" s="3850"/>
      <c r="DI43" s="3850"/>
      <c r="DJ43" s="3850"/>
      <c r="DK43" s="3850"/>
      <c r="DL43" s="3850"/>
      <c r="DM43" s="3851"/>
      <c r="DN43" s="3849"/>
      <c r="DO43" s="3850"/>
      <c r="DP43" s="3850"/>
      <c r="DQ43" s="3850"/>
      <c r="DR43" s="3850"/>
      <c r="DS43" s="3850"/>
      <c r="DT43" s="3850"/>
      <c r="DU43" s="3851"/>
      <c r="DV43" s="3849"/>
      <c r="DW43" s="3850"/>
      <c r="DX43" s="3850"/>
      <c r="DY43" s="3850"/>
      <c r="DZ43" s="3850"/>
      <c r="EA43" s="3850"/>
      <c r="EB43" s="3850"/>
      <c r="EC43" s="3851"/>
      <c r="ED43" s="3849"/>
      <c r="EE43" s="3850"/>
      <c r="EF43" s="3850"/>
      <c r="EG43" s="3850"/>
      <c r="EH43" s="3850"/>
      <c r="EI43" s="3850"/>
      <c r="EJ43" s="3850"/>
      <c r="EK43" s="3851"/>
      <c r="EL43" s="3849"/>
      <c r="EM43" s="3850"/>
      <c r="EN43" s="3850"/>
      <c r="EO43" s="3850"/>
      <c r="EP43" s="3850"/>
      <c r="EQ43" s="3850"/>
      <c r="ER43" s="3850"/>
      <c r="ES43" s="3851"/>
      <c r="ET43" s="3849"/>
      <c r="EU43" s="3850"/>
      <c r="EV43" s="3850"/>
      <c r="EW43" s="3850"/>
      <c r="EX43" s="3850"/>
      <c r="EY43" s="3850"/>
      <c r="EZ43" s="3850"/>
      <c r="FA43" s="3851"/>
      <c r="FB43" s="2642"/>
      <c r="FC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FE43" s="898"/>
      <c r="FF43" s="898" t="str">
        <f>IF(T43="","",T43)</f>
        <v>Наименование тарифа</v>
      </c>
      <c r="FG43" s="898"/>
      <c r="FH43" s="898"/>
      <c r="FI43" s="1553">
        <v>23</v>
      </c>
    </row>
    <row customHeight="1" ht="24">
      <c r="A44" s="1761" t="s">
        <v>159</v>
      </c>
      <c r="B44" s="1761" t="s">
        <v>160</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1.1</v>
      </c>
      <c r="T44" s="706" t="s">
        <v>402</v>
      </c>
      <c r="U44" s="698"/>
      <c r="V44" s="2640"/>
      <c r="W44" s="2641"/>
      <c r="X44" s="2641"/>
      <c r="Y44" s="2641"/>
      <c r="Z44" s="2641"/>
      <c r="AA44" s="2641"/>
      <c r="AB44" s="2641"/>
      <c r="AC44" s="2642"/>
      <c r="AD44" s="2640" t="str">
        <f>INDEX(PT_DIFFERENTIATION_TER,MATCH(B44,PT_DIFFERENTIATION_TER_ID,0))</f>
        <v>без дифференциации</v>
      </c>
      <c r="AE44" s="2641"/>
      <c r="AF44" s="2641"/>
      <c r="AG44" s="2641"/>
      <c r="AH44" s="2641"/>
      <c r="AI44" s="2641"/>
      <c r="AJ44" s="2641"/>
      <c r="AK44" s="2641"/>
      <c r="AL44" s="3849"/>
      <c r="AM44" s="3850"/>
      <c r="AN44" s="3850"/>
      <c r="AO44" s="3850"/>
      <c r="AP44" s="3850"/>
      <c r="AQ44" s="3850"/>
      <c r="AR44" s="3850"/>
      <c r="AS44" s="3851"/>
      <c r="AT44" s="3849"/>
      <c r="AU44" s="3850"/>
      <c r="AV44" s="3850"/>
      <c r="AW44" s="3850"/>
      <c r="AX44" s="3850"/>
      <c r="AY44" s="3850"/>
      <c r="AZ44" s="3850"/>
      <c r="BA44" s="3851"/>
      <c r="BB44" s="3849"/>
      <c r="BC44" s="3850"/>
      <c r="BD44" s="3850"/>
      <c r="BE44" s="3850"/>
      <c r="BF44" s="3850"/>
      <c r="BG44" s="3850"/>
      <c r="BH44" s="3850"/>
      <c r="BI44" s="3851"/>
      <c r="BJ44" s="3849"/>
      <c r="BK44" s="3850"/>
      <c r="BL44" s="3850"/>
      <c r="BM44" s="3850"/>
      <c r="BN44" s="3850"/>
      <c r="BO44" s="3850"/>
      <c r="BP44" s="3850"/>
      <c r="BQ44" s="3851"/>
      <c r="BR44" s="3849"/>
      <c r="BS44" s="3850"/>
      <c r="BT44" s="3850"/>
      <c r="BU44" s="3850"/>
      <c r="BV44" s="3850"/>
      <c r="BW44" s="3850"/>
      <c r="BX44" s="3850"/>
      <c r="BY44" s="3851"/>
      <c r="BZ44" s="3849"/>
      <c r="CA44" s="3850"/>
      <c r="CB44" s="3850"/>
      <c r="CC44" s="3850"/>
      <c r="CD44" s="3850"/>
      <c r="CE44" s="3850"/>
      <c r="CF44" s="3850"/>
      <c r="CG44" s="3851"/>
      <c r="CH44" s="3849"/>
      <c r="CI44" s="3850"/>
      <c r="CJ44" s="3850"/>
      <c r="CK44" s="3850"/>
      <c r="CL44" s="3850"/>
      <c r="CM44" s="3850"/>
      <c r="CN44" s="3850"/>
      <c r="CO44" s="3851"/>
      <c r="CP44" s="3849"/>
      <c r="CQ44" s="3850"/>
      <c r="CR44" s="3850"/>
      <c r="CS44" s="3850"/>
      <c r="CT44" s="3850"/>
      <c r="CU44" s="3850"/>
      <c r="CV44" s="3850"/>
      <c r="CW44" s="3851"/>
      <c r="CX44" s="3849"/>
      <c r="CY44" s="3850"/>
      <c r="CZ44" s="3850"/>
      <c r="DA44" s="3850"/>
      <c r="DB44" s="3850"/>
      <c r="DC44" s="3850"/>
      <c r="DD44" s="3850"/>
      <c r="DE44" s="3851"/>
      <c r="DF44" s="3849"/>
      <c r="DG44" s="3850"/>
      <c r="DH44" s="3850"/>
      <c r="DI44" s="3850"/>
      <c r="DJ44" s="3850"/>
      <c r="DK44" s="3850"/>
      <c r="DL44" s="3850"/>
      <c r="DM44" s="3851"/>
      <c r="DN44" s="3849"/>
      <c r="DO44" s="3850"/>
      <c r="DP44" s="3850"/>
      <c r="DQ44" s="3850"/>
      <c r="DR44" s="3850"/>
      <c r="DS44" s="3850"/>
      <c r="DT44" s="3850"/>
      <c r="DU44" s="3851"/>
      <c r="DV44" s="3849"/>
      <c r="DW44" s="3850"/>
      <c r="DX44" s="3850"/>
      <c r="DY44" s="3850"/>
      <c r="DZ44" s="3850"/>
      <c r="EA44" s="3850"/>
      <c r="EB44" s="3850"/>
      <c r="EC44" s="3851"/>
      <c r="ED44" s="3849"/>
      <c r="EE44" s="3850"/>
      <c r="EF44" s="3850"/>
      <c r="EG44" s="3850"/>
      <c r="EH44" s="3850"/>
      <c r="EI44" s="3850"/>
      <c r="EJ44" s="3850"/>
      <c r="EK44" s="3851"/>
      <c r="EL44" s="3849"/>
      <c r="EM44" s="3850"/>
      <c r="EN44" s="3850"/>
      <c r="EO44" s="3850"/>
      <c r="EP44" s="3850"/>
      <c r="EQ44" s="3850"/>
      <c r="ER44" s="3850"/>
      <c r="ES44" s="3851"/>
      <c r="ET44" s="3849"/>
      <c r="EU44" s="3850"/>
      <c r="EV44" s="3850"/>
      <c r="EW44" s="3850"/>
      <c r="EX44" s="3850"/>
      <c r="EY44" s="3850"/>
      <c r="EZ44" s="3850"/>
      <c r="FA44" s="3851"/>
      <c r="FB44" s="2642"/>
      <c r="FC44" s="1656" t="s">
        <v>403</v>
      </c>
      <c r="FE44" s="898"/>
      <c r="FF44" s="898" t="str">
        <f>IF(T44="","",T44)</f>
        <v>Территория действия тарифа</v>
      </c>
      <c r="FG44" s="898"/>
      <c r="FH44" s="898"/>
      <c r="FI44" s="1553">
        <v>23</v>
      </c>
    </row>
    <row customHeight="1" ht="24">
      <c r="A45" s="1761" t="s">
        <v>159</v>
      </c>
      <c r="B45" s="1761" t="s">
        <v>160</v>
      </c>
      <c r="C45" s="1761" t="s">
        <v>161</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1.1.1</v>
      </c>
      <c r="T45" s="707" t="s">
        <v>404</v>
      </c>
      <c r="U45" s="698"/>
      <c r="V45" s="2640"/>
      <c r="W45" s="2641"/>
      <c r="X45" s="2641"/>
      <c r="Y45" s="2641"/>
      <c r="Z45" s="2641"/>
      <c r="AA45" s="2641"/>
      <c r="AB45" s="2641"/>
      <c r="AC45" s="2642"/>
      <c r="AD45" s="2640" t="str">
        <f>INDEX(PT_DIFFERENTIATION_CS,MATCH(C45,PT_DIFFERENTIATION_CS_ID,0))</f>
        <v>без дифференциации</v>
      </c>
      <c r="AE45" s="2641"/>
      <c r="AF45" s="2641"/>
      <c r="AG45" s="2641"/>
      <c r="AH45" s="2641"/>
      <c r="AI45" s="2641"/>
      <c r="AJ45" s="2641"/>
      <c r="AK45" s="2641"/>
      <c r="AL45" s="3849"/>
      <c r="AM45" s="3850"/>
      <c r="AN45" s="3850"/>
      <c r="AO45" s="3850"/>
      <c r="AP45" s="3850"/>
      <c r="AQ45" s="3850"/>
      <c r="AR45" s="3850"/>
      <c r="AS45" s="3851"/>
      <c r="AT45" s="3849"/>
      <c r="AU45" s="3850"/>
      <c r="AV45" s="3850"/>
      <c r="AW45" s="3850"/>
      <c r="AX45" s="3850"/>
      <c r="AY45" s="3850"/>
      <c r="AZ45" s="3850"/>
      <c r="BA45" s="3851"/>
      <c r="BB45" s="3849"/>
      <c r="BC45" s="3850"/>
      <c r="BD45" s="3850"/>
      <c r="BE45" s="3850"/>
      <c r="BF45" s="3850"/>
      <c r="BG45" s="3850"/>
      <c r="BH45" s="3850"/>
      <c r="BI45" s="3851"/>
      <c r="BJ45" s="3849"/>
      <c r="BK45" s="3850"/>
      <c r="BL45" s="3850"/>
      <c r="BM45" s="3850"/>
      <c r="BN45" s="3850"/>
      <c r="BO45" s="3850"/>
      <c r="BP45" s="3850"/>
      <c r="BQ45" s="3851"/>
      <c r="BR45" s="3849"/>
      <c r="BS45" s="3850"/>
      <c r="BT45" s="3850"/>
      <c r="BU45" s="3850"/>
      <c r="BV45" s="3850"/>
      <c r="BW45" s="3850"/>
      <c r="BX45" s="3850"/>
      <c r="BY45" s="3851"/>
      <c r="BZ45" s="3849"/>
      <c r="CA45" s="3850"/>
      <c r="CB45" s="3850"/>
      <c r="CC45" s="3850"/>
      <c r="CD45" s="3850"/>
      <c r="CE45" s="3850"/>
      <c r="CF45" s="3850"/>
      <c r="CG45" s="3851"/>
      <c r="CH45" s="3849"/>
      <c r="CI45" s="3850"/>
      <c r="CJ45" s="3850"/>
      <c r="CK45" s="3850"/>
      <c r="CL45" s="3850"/>
      <c r="CM45" s="3850"/>
      <c r="CN45" s="3850"/>
      <c r="CO45" s="3851"/>
      <c r="CP45" s="3849"/>
      <c r="CQ45" s="3850"/>
      <c r="CR45" s="3850"/>
      <c r="CS45" s="3850"/>
      <c r="CT45" s="3850"/>
      <c r="CU45" s="3850"/>
      <c r="CV45" s="3850"/>
      <c r="CW45" s="3851"/>
      <c r="CX45" s="3849"/>
      <c r="CY45" s="3850"/>
      <c r="CZ45" s="3850"/>
      <c r="DA45" s="3850"/>
      <c r="DB45" s="3850"/>
      <c r="DC45" s="3850"/>
      <c r="DD45" s="3850"/>
      <c r="DE45" s="3851"/>
      <c r="DF45" s="3849"/>
      <c r="DG45" s="3850"/>
      <c r="DH45" s="3850"/>
      <c r="DI45" s="3850"/>
      <c r="DJ45" s="3850"/>
      <c r="DK45" s="3850"/>
      <c r="DL45" s="3850"/>
      <c r="DM45" s="3851"/>
      <c r="DN45" s="3849"/>
      <c r="DO45" s="3850"/>
      <c r="DP45" s="3850"/>
      <c r="DQ45" s="3850"/>
      <c r="DR45" s="3850"/>
      <c r="DS45" s="3850"/>
      <c r="DT45" s="3850"/>
      <c r="DU45" s="3851"/>
      <c r="DV45" s="3849"/>
      <c r="DW45" s="3850"/>
      <c r="DX45" s="3850"/>
      <c r="DY45" s="3850"/>
      <c r="DZ45" s="3850"/>
      <c r="EA45" s="3850"/>
      <c r="EB45" s="3850"/>
      <c r="EC45" s="3851"/>
      <c r="ED45" s="3849"/>
      <c r="EE45" s="3850"/>
      <c r="EF45" s="3850"/>
      <c r="EG45" s="3850"/>
      <c r="EH45" s="3850"/>
      <c r="EI45" s="3850"/>
      <c r="EJ45" s="3850"/>
      <c r="EK45" s="3851"/>
      <c r="EL45" s="3849"/>
      <c r="EM45" s="3850"/>
      <c r="EN45" s="3850"/>
      <c r="EO45" s="3850"/>
      <c r="EP45" s="3850"/>
      <c r="EQ45" s="3850"/>
      <c r="ER45" s="3850"/>
      <c r="ES45" s="3851"/>
      <c r="ET45" s="3849"/>
      <c r="EU45" s="3850"/>
      <c r="EV45" s="3850"/>
      <c r="EW45" s="3850"/>
      <c r="EX45" s="3850"/>
      <c r="EY45" s="3850"/>
      <c r="EZ45" s="3850"/>
      <c r="FA45" s="3851"/>
      <c r="FB45" s="2642"/>
      <c r="FC45" s="1656" t="s">
        <v>405</v>
      </c>
      <c r="FE45" s="898"/>
      <c r="FF45" s="898" t="str">
        <f>IF(T45="","",T45)</f>
        <v>Наименование системы теплоснабжения </v>
      </c>
      <c r="FG45" s="898"/>
      <c r="FH45" s="898"/>
      <c r="FI45" s="1553">
        <v>23</v>
      </c>
    </row>
    <row customHeight="1" ht="24">
      <c r="A46" s="1761" t="s">
        <v>159</v>
      </c>
      <c r="B46" s="1761" t="s">
        <v>160</v>
      </c>
      <c r="C46" s="1761" t="s">
        <v>161</v>
      </c>
      <c r="D46" s="1761" t="s">
        <v>162</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1.1.1.1</v>
      </c>
      <c r="T46" s="708" t="s">
        <v>406</v>
      </c>
      <c r="U46" s="698"/>
      <c r="V46" s="2640"/>
      <c r="W46" s="2641"/>
      <c r="X46" s="2641"/>
      <c r="Y46" s="2641"/>
      <c r="Z46" s="2641"/>
      <c r="AA46" s="2641"/>
      <c r="AB46" s="2641"/>
      <c r="AC46" s="2642"/>
      <c r="AD46" s="2640" t="str">
        <f>INDEX(PT_DIFFERENTIATION_IST_TE,MATCH(D46,PT_DIFFERENTIATION_IST_TE_ID,0))</f>
        <v>без дифференциации</v>
      </c>
      <c r="AE46" s="2641"/>
      <c r="AF46" s="2641"/>
      <c r="AG46" s="2641"/>
      <c r="AH46" s="2641"/>
      <c r="AI46" s="2641"/>
      <c r="AJ46" s="2641"/>
      <c r="AK46" s="2641"/>
      <c r="AL46" s="3849"/>
      <c r="AM46" s="3850"/>
      <c r="AN46" s="3850"/>
      <c r="AO46" s="3850"/>
      <c r="AP46" s="3850"/>
      <c r="AQ46" s="3850"/>
      <c r="AR46" s="3850"/>
      <c r="AS46" s="3851"/>
      <c r="AT46" s="3849"/>
      <c r="AU46" s="3850"/>
      <c r="AV46" s="3850"/>
      <c r="AW46" s="3850"/>
      <c r="AX46" s="3850"/>
      <c r="AY46" s="3850"/>
      <c r="AZ46" s="3850"/>
      <c r="BA46" s="3851"/>
      <c r="BB46" s="3849"/>
      <c r="BC46" s="3850"/>
      <c r="BD46" s="3850"/>
      <c r="BE46" s="3850"/>
      <c r="BF46" s="3850"/>
      <c r="BG46" s="3850"/>
      <c r="BH46" s="3850"/>
      <c r="BI46" s="3851"/>
      <c r="BJ46" s="3849"/>
      <c r="BK46" s="3850"/>
      <c r="BL46" s="3850"/>
      <c r="BM46" s="3850"/>
      <c r="BN46" s="3850"/>
      <c r="BO46" s="3850"/>
      <c r="BP46" s="3850"/>
      <c r="BQ46" s="3851"/>
      <c r="BR46" s="3849"/>
      <c r="BS46" s="3850"/>
      <c r="BT46" s="3850"/>
      <c r="BU46" s="3850"/>
      <c r="BV46" s="3850"/>
      <c r="BW46" s="3850"/>
      <c r="BX46" s="3850"/>
      <c r="BY46" s="3851"/>
      <c r="BZ46" s="3849"/>
      <c r="CA46" s="3850"/>
      <c r="CB46" s="3850"/>
      <c r="CC46" s="3850"/>
      <c r="CD46" s="3850"/>
      <c r="CE46" s="3850"/>
      <c r="CF46" s="3850"/>
      <c r="CG46" s="3851"/>
      <c r="CH46" s="3849"/>
      <c r="CI46" s="3850"/>
      <c r="CJ46" s="3850"/>
      <c r="CK46" s="3850"/>
      <c r="CL46" s="3850"/>
      <c r="CM46" s="3850"/>
      <c r="CN46" s="3850"/>
      <c r="CO46" s="3851"/>
      <c r="CP46" s="3849"/>
      <c r="CQ46" s="3850"/>
      <c r="CR46" s="3850"/>
      <c r="CS46" s="3850"/>
      <c r="CT46" s="3850"/>
      <c r="CU46" s="3850"/>
      <c r="CV46" s="3850"/>
      <c r="CW46" s="3851"/>
      <c r="CX46" s="3849"/>
      <c r="CY46" s="3850"/>
      <c r="CZ46" s="3850"/>
      <c r="DA46" s="3850"/>
      <c r="DB46" s="3850"/>
      <c r="DC46" s="3850"/>
      <c r="DD46" s="3850"/>
      <c r="DE46" s="3851"/>
      <c r="DF46" s="3849"/>
      <c r="DG46" s="3850"/>
      <c r="DH46" s="3850"/>
      <c r="DI46" s="3850"/>
      <c r="DJ46" s="3850"/>
      <c r="DK46" s="3850"/>
      <c r="DL46" s="3850"/>
      <c r="DM46" s="3851"/>
      <c r="DN46" s="3849"/>
      <c r="DO46" s="3850"/>
      <c r="DP46" s="3850"/>
      <c r="DQ46" s="3850"/>
      <c r="DR46" s="3850"/>
      <c r="DS46" s="3850"/>
      <c r="DT46" s="3850"/>
      <c r="DU46" s="3851"/>
      <c r="DV46" s="3849"/>
      <c r="DW46" s="3850"/>
      <c r="DX46" s="3850"/>
      <c r="DY46" s="3850"/>
      <c r="DZ46" s="3850"/>
      <c r="EA46" s="3850"/>
      <c r="EB46" s="3850"/>
      <c r="EC46" s="3851"/>
      <c r="ED46" s="3849"/>
      <c r="EE46" s="3850"/>
      <c r="EF46" s="3850"/>
      <c r="EG46" s="3850"/>
      <c r="EH46" s="3850"/>
      <c r="EI46" s="3850"/>
      <c r="EJ46" s="3850"/>
      <c r="EK46" s="3851"/>
      <c r="EL46" s="3849"/>
      <c r="EM46" s="3850"/>
      <c r="EN46" s="3850"/>
      <c r="EO46" s="3850"/>
      <c r="EP46" s="3850"/>
      <c r="EQ46" s="3850"/>
      <c r="ER46" s="3850"/>
      <c r="ES46" s="3851"/>
      <c r="ET46" s="3849"/>
      <c r="EU46" s="3850"/>
      <c r="EV46" s="3850"/>
      <c r="EW46" s="3850"/>
      <c r="EX46" s="3850"/>
      <c r="EY46" s="3850"/>
      <c r="EZ46" s="3850"/>
      <c r="FA46" s="3851"/>
      <c r="FB46" s="2642"/>
      <c r="FC46" s="1656" t="s">
        <v>407</v>
      </c>
      <c r="FE46" s="898"/>
      <c r="FF46" s="898" t="str">
        <f>IF(T46="","",T46)</f>
        <v>Источник тепловой энергии  </v>
      </c>
      <c r="FG46" s="898"/>
      <c r="FH46" s="898"/>
      <c r="FI46" s="1553">
        <v>23</v>
      </c>
    </row>
    <row customHeight="1" ht="49.5">
      <c r="A47" s="1761" t="s">
        <v>159</v>
      </c>
      <c r="B47" s="1761" t="s">
        <v>160</v>
      </c>
      <c r="C47" s="1761" t="s">
        <v>161</v>
      </c>
      <c r="D47" s="1761" t="s">
        <v>162</v>
      </c>
      <c r="E47" s="2657"/>
      <c r="F47" s="2657"/>
      <c r="G47" s="2657"/>
      <c r="H47" s="2657"/>
      <c r="I47" s="2654" t="str">
        <f>S46&amp;".1"</f>
        <v>1.1.1.1.1</v>
      </c>
      <c r="J47" s="1761"/>
      <c r="K47" s="1761"/>
      <c r="L47" s="1762" t="s">
        <v>408</v>
      </c>
      <c r="P47" s="2655">
        <v>1</v>
      </c>
      <c r="Q47" s="1618"/>
      <c r="R47" s="754"/>
      <c r="S47" s="1622" t="str">
        <f>$I47</f>
        <v>1.1.1.1.1</v>
      </c>
      <c r="T47" s="683" t="s">
        <v>409</v>
      </c>
      <c r="U47" s="698"/>
      <c r="V47" s="2643"/>
      <c r="W47" s="2644"/>
      <c r="X47" s="2644"/>
      <c r="Y47" s="2644"/>
      <c r="Z47" s="2644"/>
      <c r="AA47" s="2644"/>
      <c r="AB47" s="2644"/>
      <c r="AC47" s="2645"/>
      <c r="AD47" s="2643" t="s">
        <v>451</v>
      </c>
      <c r="AE47" s="2644"/>
      <c r="AF47" s="2644"/>
      <c r="AG47" s="2644"/>
      <c r="AH47" s="2644"/>
      <c r="AI47" s="2644"/>
      <c r="AJ47" s="2644"/>
      <c r="AK47" s="2644"/>
      <c r="AL47" s="3870"/>
      <c r="AM47" s="3871"/>
      <c r="AN47" s="3871"/>
      <c r="AO47" s="3871"/>
      <c r="AP47" s="3871"/>
      <c r="AQ47" s="3871"/>
      <c r="AR47" s="3871"/>
      <c r="AS47" s="3872"/>
      <c r="AT47" s="3870"/>
      <c r="AU47" s="3871"/>
      <c r="AV47" s="3871"/>
      <c r="AW47" s="3871"/>
      <c r="AX47" s="3871"/>
      <c r="AY47" s="3871"/>
      <c r="AZ47" s="3871"/>
      <c r="BA47" s="3872"/>
      <c r="BB47" s="3870"/>
      <c r="BC47" s="3871"/>
      <c r="BD47" s="3871"/>
      <c r="BE47" s="3871"/>
      <c r="BF47" s="3871"/>
      <c r="BG47" s="3871"/>
      <c r="BH47" s="3871"/>
      <c r="BI47" s="3872"/>
      <c r="BJ47" s="3870"/>
      <c r="BK47" s="3871"/>
      <c r="BL47" s="3871"/>
      <c r="BM47" s="3871"/>
      <c r="BN47" s="3871"/>
      <c r="BO47" s="3871"/>
      <c r="BP47" s="3871"/>
      <c r="BQ47" s="3872"/>
      <c r="BR47" s="3870"/>
      <c r="BS47" s="3871"/>
      <c r="BT47" s="3871"/>
      <c r="BU47" s="3871"/>
      <c r="BV47" s="3871"/>
      <c r="BW47" s="3871"/>
      <c r="BX47" s="3871"/>
      <c r="BY47" s="3872"/>
      <c r="BZ47" s="3870"/>
      <c r="CA47" s="3871"/>
      <c r="CB47" s="3871"/>
      <c r="CC47" s="3871"/>
      <c r="CD47" s="3871"/>
      <c r="CE47" s="3871"/>
      <c r="CF47" s="3871"/>
      <c r="CG47" s="3872"/>
      <c r="CH47" s="3870"/>
      <c r="CI47" s="3871"/>
      <c r="CJ47" s="3871"/>
      <c r="CK47" s="3871"/>
      <c r="CL47" s="3871"/>
      <c r="CM47" s="3871"/>
      <c r="CN47" s="3871"/>
      <c r="CO47" s="3872"/>
      <c r="CP47" s="3870"/>
      <c r="CQ47" s="3871"/>
      <c r="CR47" s="3871"/>
      <c r="CS47" s="3871"/>
      <c r="CT47" s="3871"/>
      <c r="CU47" s="3871"/>
      <c r="CV47" s="3871"/>
      <c r="CW47" s="3872"/>
      <c r="CX47" s="3870"/>
      <c r="CY47" s="3871"/>
      <c r="CZ47" s="3871"/>
      <c r="DA47" s="3871"/>
      <c r="DB47" s="3871"/>
      <c r="DC47" s="3871"/>
      <c r="DD47" s="3871"/>
      <c r="DE47" s="3872"/>
      <c r="DF47" s="3870"/>
      <c r="DG47" s="3871"/>
      <c r="DH47" s="3871"/>
      <c r="DI47" s="3871"/>
      <c r="DJ47" s="3871"/>
      <c r="DK47" s="3871"/>
      <c r="DL47" s="3871"/>
      <c r="DM47" s="3872"/>
      <c r="DN47" s="3870"/>
      <c r="DO47" s="3871"/>
      <c r="DP47" s="3871"/>
      <c r="DQ47" s="3871"/>
      <c r="DR47" s="3871"/>
      <c r="DS47" s="3871"/>
      <c r="DT47" s="3871"/>
      <c r="DU47" s="3872"/>
      <c r="DV47" s="3870"/>
      <c r="DW47" s="3871"/>
      <c r="DX47" s="3871"/>
      <c r="DY47" s="3871"/>
      <c r="DZ47" s="3871"/>
      <c r="EA47" s="3871"/>
      <c r="EB47" s="3871"/>
      <c r="EC47" s="3872"/>
      <c r="ED47" s="3870"/>
      <c r="EE47" s="3871"/>
      <c r="EF47" s="3871"/>
      <c r="EG47" s="3871"/>
      <c r="EH47" s="3871"/>
      <c r="EI47" s="3871"/>
      <c r="EJ47" s="3871"/>
      <c r="EK47" s="3872"/>
      <c r="EL47" s="3870"/>
      <c r="EM47" s="3871"/>
      <c r="EN47" s="3871"/>
      <c r="EO47" s="3871"/>
      <c r="EP47" s="3871"/>
      <c r="EQ47" s="3871"/>
      <c r="ER47" s="3871"/>
      <c r="ES47" s="3872"/>
      <c r="ET47" s="3870"/>
      <c r="EU47" s="3871"/>
      <c r="EV47" s="3871"/>
      <c r="EW47" s="3871"/>
      <c r="EX47" s="3871"/>
      <c r="EY47" s="3871"/>
      <c r="EZ47" s="3871"/>
      <c r="FA47" s="3872"/>
      <c r="FB47" s="2645"/>
      <c r="FC47" s="1656" t="s">
        <v>410</v>
      </c>
      <c r="FE47" s="898"/>
      <c r="FF47" s="898" t="str">
        <f>IF(T47="","",T47)</f>
        <v>Схема подключения теплопотребляющей установки к коллектору источника тепловой энергии</v>
      </c>
      <c r="FG47" s="898"/>
      <c r="FH47" s="898"/>
      <c r="FI47" s="1553">
        <v>47</v>
      </c>
    </row>
    <row customHeight="1" ht="24">
      <c r="A48" s="1761" t="s">
        <v>159</v>
      </c>
      <c r="B48" s="1761" t="s">
        <v>160</v>
      </c>
      <c r="C48" s="1761" t="s">
        <v>161</v>
      </c>
      <c r="D48" s="1761" t="s">
        <v>162</v>
      </c>
      <c r="E48" s="2657"/>
      <c r="F48" s="2657"/>
      <c r="G48" s="2657"/>
      <c r="H48" s="2657"/>
      <c r="I48" s="2684"/>
      <c r="J48" s="2654" t="str">
        <f>I47&amp;".1"</f>
        <v>1.1.1.1.1.1</v>
      </c>
      <c r="K48" s="1761"/>
      <c r="L48" s="1762" t="s">
        <v>411</v>
      </c>
      <c r="P48" s="2655"/>
      <c r="Q48" s="2655">
        <v>1</v>
      </c>
      <c r="R48" s="755"/>
      <c r="S48" s="1622" t="str">
        <f>$J48</f>
        <v>1.1.1.1.1.1</v>
      </c>
      <c r="T48" s="684" t="s">
        <v>412</v>
      </c>
      <c r="U48" s="698"/>
      <c r="V48" s="2643"/>
      <c r="W48" s="2644"/>
      <c r="X48" s="2644"/>
      <c r="Y48" s="2644"/>
      <c r="Z48" s="2644"/>
      <c r="AA48" s="2644"/>
      <c r="AB48" s="2644"/>
      <c r="AC48" s="2645"/>
      <c r="AD48" s="2643" t="s">
        <v>452</v>
      </c>
      <c r="AE48" s="2644"/>
      <c r="AF48" s="2644"/>
      <c r="AG48" s="2644"/>
      <c r="AH48" s="2644"/>
      <c r="AI48" s="2644"/>
      <c r="AJ48" s="2644"/>
      <c r="AK48" s="2644"/>
      <c r="AL48" s="3870"/>
      <c r="AM48" s="3871"/>
      <c r="AN48" s="3871"/>
      <c r="AO48" s="3871"/>
      <c r="AP48" s="3871"/>
      <c r="AQ48" s="3871"/>
      <c r="AR48" s="3871"/>
      <c r="AS48" s="3872"/>
      <c r="AT48" s="3870"/>
      <c r="AU48" s="3871"/>
      <c r="AV48" s="3871"/>
      <c r="AW48" s="3871"/>
      <c r="AX48" s="3871"/>
      <c r="AY48" s="3871"/>
      <c r="AZ48" s="3871"/>
      <c r="BA48" s="3872"/>
      <c r="BB48" s="3870"/>
      <c r="BC48" s="3871"/>
      <c r="BD48" s="3871"/>
      <c r="BE48" s="3871"/>
      <c r="BF48" s="3871"/>
      <c r="BG48" s="3871"/>
      <c r="BH48" s="3871"/>
      <c r="BI48" s="3872"/>
      <c r="BJ48" s="3870"/>
      <c r="BK48" s="3871"/>
      <c r="BL48" s="3871"/>
      <c r="BM48" s="3871"/>
      <c r="BN48" s="3871"/>
      <c r="BO48" s="3871"/>
      <c r="BP48" s="3871"/>
      <c r="BQ48" s="3872"/>
      <c r="BR48" s="3870"/>
      <c r="BS48" s="3871"/>
      <c r="BT48" s="3871"/>
      <c r="BU48" s="3871"/>
      <c r="BV48" s="3871"/>
      <c r="BW48" s="3871"/>
      <c r="BX48" s="3871"/>
      <c r="BY48" s="3872"/>
      <c r="BZ48" s="3870"/>
      <c r="CA48" s="3871"/>
      <c r="CB48" s="3871"/>
      <c r="CC48" s="3871"/>
      <c r="CD48" s="3871"/>
      <c r="CE48" s="3871"/>
      <c r="CF48" s="3871"/>
      <c r="CG48" s="3872"/>
      <c r="CH48" s="3870"/>
      <c r="CI48" s="3871"/>
      <c r="CJ48" s="3871"/>
      <c r="CK48" s="3871"/>
      <c r="CL48" s="3871"/>
      <c r="CM48" s="3871"/>
      <c r="CN48" s="3871"/>
      <c r="CO48" s="3872"/>
      <c r="CP48" s="3870"/>
      <c r="CQ48" s="3871"/>
      <c r="CR48" s="3871"/>
      <c r="CS48" s="3871"/>
      <c r="CT48" s="3871"/>
      <c r="CU48" s="3871"/>
      <c r="CV48" s="3871"/>
      <c r="CW48" s="3872"/>
      <c r="CX48" s="3870"/>
      <c r="CY48" s="3871"/>
      <c r="CZ48" s="3871"/>
      <c r="DA48" s="3871"/>
      <c r="DB48" s="3871"/>
      <c r="DC48" s="3871"/>
      <c r="DD48" s="3871"/>
      <c r="DE48" s="3872"/>
      <c r="DF48" s="3870"/>
      <c r="DG48" s="3871"/>
      <c r="DH48" s="3871"/>
      <c r="DI48" s="3871"/>
      <c r="DJ48" s="3871"/>
      <c r="DK48" s="3871"/>
      <c r="DL48" s="3871"/>
      <c r="DM48" s="3872"/>
      <c r="DN48" s="3870"/>
      <c r="DO48" s="3871"/>
      <c r="DP48" s="3871"/>
      <c r="DQ48" s="3871"/>
      <c r="DR48" s="3871"/>
      <c r="DS48" s="3871"/>
      <c r="DT48" s="3871"/>
      <c r="DU48" s="3872"/>
      <c r="DV48" s="3870"/>
      <c r="DW48" s="3871"/>
      <c r="DX48" s="3871"/>
      <c r="DY48" s="3871"/>
      <c r="DZ48" s="3871"/>
      <c r="EA48" s="3871"/>
      <c r="EB48" s="3871"/>
      <c r="EC48" s="3872"/>
      <c r="ED48" s="3870"/>
      <c r="EE48" s="3871"/>
      <c r="EF48" s="3871"/>
      <c r="EG48" s="3871"/>
      <c r="EH48" s="3871"/>
      <c r="EI48" s="3871"/>
      <c r="EJ48" s="3871"/>
      <c r="EK48" s="3872"/>
      <c r="EL48" s="3870"/>
      <c r="EM48" s="3871"/>
      <c r="EN48" s="3871"/>
      <c r="EO48" s="3871"/>
      <c r="EP48" s="3871"/>
      <c r="EQ48" s="3871"/>
      <c r="ER48" s="3871"/>
      <c r="ES48" s="3872"/>
      <c r="ET48" s="3870"/>
      <c r="EU48" s="3871"/>
      <c r="EV48" s="3871"/>
      <c r="EW48" s="3871"/>
      <c r="EX48" s="3871"/>
      <c r="EY48" s="3871"/>
      <c r="EZ48" s="3871"/>
      <c r="FA48" s="3872"/>
      <c r="FB48" s="2645"/>
      <c r="FC48" s="1656" t="s">
        <v>413</v>
      </c>
      <c r="FE48" s="898"/>
      <c r="FF48" s="898" t="str">
        <f>IF(T48="","",T48)</f>
        <v>Группа потребителей</v>
      </c>
      <c r="FG48" s="898"/>
      <c r="FH48" s="898"/>
      <c r="FI48" s="1553">
        <v>23</v>
      </c>
    </row>
    <row customHeight="1" ht="24">
      <c r="A49" s="1761" t="s">
        <v>159</v>
      </c>
      <c r="B49" s="1761" t="s">
        <v>160</v>
      </c>
      <c r="C49" s="1761" t="s">
        <v>161</v>
      </c>
      <c r="D49" s="1761" t="s">
        <v>162</v>
      </c>
      <c r="E49" s="2657"/>
      <c r="F49" s="2657"/>
      <c r="G49" s="2657"/>
      <c r="H49" s="2657"/>
      <c r="I49" s="2684"/>
      <c r="J49" s="2684"/>
      <c r="K49" s="2654" t="str">
        <f>J48&amp;".1"</f>
        <v>1.1.1.1.1.1.1</v>
      </c>
      <c r="L49" s="1762" t="s">
        <v>414</v>
      </c>
      <c r="P49" s="2655"/>
      <c r="Q49" s="2655"/>
      <c r="R49" s="755">
        <v>1</v>
      </c>
      <c r="S49" s="1622" t="str">
        <f>$K49</f>
        <v>1.1.1.1.1.1.1</v>
      </c>
      <c r="T49" s="1745" t="s">
        <v>453</v>
      </c>
      <c r="U49" s="698"/>
      <c r="V49" s="3881"/>
      <c r="W49" s="3882"/>
      <c r="X49" s="3881"/>
      <c r="Y49" s="3883"/>
      <c r="Z49" s="3884"/>
      <c r="AA49" s="3419" t="s">
        <v>67</v>
      </c>
      <c r="AB49" s="3884"/>
      <c r="AC49" s="3419" t="s">
        <v>67</v>
      </c>
      <c r="AD49" s="1149">
        <v>4761.5</v>
      </c>
      <c r="AE49" s="723"/>
      <c r="AF49" s="1149"/>
      <c r="AG49" s="1655"/>
      <c r="AH49" s="3884">
        <v>45658.71328703704</v>
      </c>
      <c r="AI49" s="2505" t="s">
        <v>67</v>
      </c>
      <c r="AJ49" s="4375">
        <v>46022.71351851852</v>
      </c>
      <c r="AK49" s="2505" t="s">
        <v>67</v>
      </c>
      <c r="AL49" s="3881">
        <v>5414.03</v>
      </c>
      <c r="AM49" s="3882"/>
      <c r="AN49" s="3881"/>
      <c r="AO49" s="3883"/>
      <c r="AP49" s="3884">
        <v>46023.73347222222</v>
      </c>
      <c r="AQ49" s="3419" t="s">
        <v>67</v>
      </c>
      <c r="AR49" s="3884">
        <v>46387.733611111114</v>
      </c>
      <c r="AS49" s="3419" t="s">
        <v>67</v>
      </c>
      <c r="AT49" s="3881">
        <v>5781.92</v>
      </c>
      <c r="AU49" s="3882"/>
      <c r="AV49" s="3881"/>
      <c r="AW49" s="3883"/>
      <c r="AX49" s="3884">
        <v>46388.73380787037</v>
      </c>
      <c r="AY49" s="3419" t="s">
        <v>67</v>
      </c>
      <c r="AZ49" s="3884">
        <v>46752.73396990741</v>
      </c>
      <c r="BA49" s="3419" t="s">
        <v>67</v>
      </c>
      <c r="BB49" s="3881">
        <v>6461.72</v>
      </c>
      <c r="BC49" s="3882"/>
      <c r="BD49" s="3881"/>
      <c r="BE49" s="3883"/>
      <c r="BF49" s="3884">
        <v>46753.734375</v>
      </c>
      <c r="BG49" s="3419" t="s">
        <v>67</v>
      </c>
      <c r="BH49" s="3884">
        <v>47118.73453703704</v>
      </c>
      <c r="BI49" s="3419" t="s">
        <v>67</v>
      </c>
      <c r="BJ49" s="3881">
        <v>6832.77</v>
      </c>
      <c r="BK49" s="3882"/>
      <c r="BL49" s="3881"/>
      <c r="BM49" s="3883"/>
      <c r="BN49" s="3884">
        <v>47119.73480324074</v>
      </c>
      <c r="BO49" s="3419" t="s">
        <v>67</v>
      </c>
      <c r="BP49" s="3884">
        <v>47483.734988425924</v>
      </c>
      <c r="BQ49" s="3419" t="s">
        <v>67</v>
      </c>
      <c r="BR49" s="3881">
        <v>7123.36</v>
      </c>
      <c r="BS49" s="3882"/>
      <c r="BT49" s="3881"/>
      <c r="BU49" s="3883"/>
      <c r="BV49" s="3884">
        <v>47484.735347222224</v>
      </c>
      <c r="BW49" s="3419" t="s">
        <v>67</v>
      </c>
      <c r="BX49" s="3884">
        <v>47848.73553240741</v>
      </c>
      <c r="BY49" s="3419" t="s">
        <v>67</v>
      </c>
      <c r="BZ49" s="3881">
        <v>7458.49</v>
      </c>
      <c r="CA49" s="3882"/>
      <c r="CB49" s="3881"/>
      <c r="CC49" s="3883"/>
      <c r="CD49" s="3884">
        <v>47849.73572916666</v>
      </c>
      <c r="CE49" s="3419" t="s">
        <v>67</v>
      </c>
      <c r="CF49" s="3884">
        <v>48213.73584490741</v>
      </c>
      <c r="CG49" s="3419" t="s">
        <v>67</v>
      </c>
      <c r="CH49" s="3881">
        <v>7637.55</v>
      </c>
      <c r="CI49" s="3882"/>
      <c r="CJ49" s="3881"/>
      <c r="CK49" s="3883"/>
      <c r="CL49" s="3884">
        <v>48214.73607638889</v>
      </c>
      <c r="CM49" s="3419" t="s">
        <v>67</v>
      </c>
      <c r="CN49" s="3884">
        <v>48579.7362037037</v>
      </c>
      <c r="CO49" s="3419" t="s">
        <v>67</v>
      </c>
      <c r="CP49" s="3881">
        <v>7812.44</v>
      </c>
      <c r="CQ49" s="3882"/>
      <c r="CR49" s="3881"/>
      <c r="CS49" s="3883"/>
      <c r="CT49" s="3884">
        <v>48580.736446759256</v>
      </c>
      <c r="CU49" s="3419" t="s">
        <v>67</v>
      </c>
      <c r="CV49" s="3884">
        <v>48944.73658564815</v>
      </c>
      <c r="CW49" s="3419" t="s">
        <v>67</v>
      </c>
      <c r="CX49" s="3881">
        <v>7978.45</v>
      </c>
      <c r="CY49" s="3882"/>
      <c r="CZ49" s="3881"/>
      <c r="DA49" s="3883"/>
      <c r="DB49" s="3884">
        <v>48945.73681712963</v>
      </c>
      <c r="DC49" s="3419" t="s">
        <v>67</v>
      </c>
      <c r="DD49" s="3884">
        <v>49309.73699074074</v>
      </c>
      <c r="DE49" s="3419" t="s">
        <v>67</v>
      </c>
      <c r="DF49" s="3881">
        <v>8145.95</v>
      </c>
      <c r="DG49" s="3882"/>
      <c r="DH49" s="3881"/>
      <c r="DI49" s="3883"/>
      <c r="DJ49" s="3884">
        <v>49310.737291666665</v>
      </c>
      <c r="DK49" s="3419" t="s">
        <v>67</v>
      </c>
      <c r="DL49" s="3884">
        <v>49674.73743055556</v>
      </c>
      <c r="DM49" s="3419" t="s">
        <v>67</v>
      </c>
      <c r="DN49" s="3881">
        <v>8336.87</v>
      </c>
      <c r="DO49" s="3882"/>
      <c r="DP49" s="3881"/>
      <c r="DQ49" s="3883"/>
      <c r="DR49" s="3884">
        <v>49675.73762731482</v>
      </c>
      <c r="DS49" s="3419" t="s">
        <v>67</v>
      </c>
      <c r="DT49" s="3884">
        <v>50040.7377662037</v>
      </c>
      <c r="DU49" s="3419" t="s">
        <v>67</v>
      </c>
      <c r="DV49" s="3881">
        <v>8508.24</v>
      </c>
      <c r="DW49" s="3882"/>
      <c r="DX49" s="3881"/>
      <c r="DY49" s="3883"/>
      <c r="DZ49" s="3884">
        <v>50041.738032407404</v>
      </c>
      <c r="EA49" s="3419" t="s">
        <v>67</v>
      </c>
      <c r="EB49" s="3884">
        <v>50405.73819444444</v>
      </c>
      <c r="EC49" s="3419" t="s">
        <v>67</v>
      </c>
      <c r="ED49" s="3881">
        <v>8698.52</v>
      </c>
      <c r="EE49" s="3882"/>
      <c r="EF49" s="3881"/>
      <c r="EG49" s="3883"/>
      <c r="EH49" s="3884">
        <v>50406.73849537037</v>
      </c>
      <c r="EI49" s="3419" t="s">
        <v>67</v>
      </c>
      <c r="EJ49" s="3884">
        <v>50770.738657407404</v>
      </c>
      <c r="EK49" s="3419" t="s">
        <v>67</v>
      </c>
      <c r="EL49" s="3881">
        <v>8905.5</v>
      </c>
      <c r="EM49" s="3882"/>
      <c r="EN49" s="3881"/>
      <c r="EO49" s="3883"/>
      <c r="EP49" s="3884">
        <v>50771.739074074074</v>
      </c>
      <c r="EQ49" s="3419" t="s">
        <v>67</v>
      </c>
      <c r="ER49" s="3884">
        <v>51135.73892361111</v>
      </c>
      <c r="ES49" s="3419" t="s">
        <v>67</v>
      </c>
      <c r="ET49" s="3881">
        <v>9125.88</v>
      </c>
      <c r="EU49" s="3882"/>
      <c r="EV49" s="3881"/>
      <c r="EW49" s="3883"/>
      <c r="EX49" s="3884">
        <v>51136.73945601852</v>
      </c>
      <c r="EY49" s="3419" t="s">
        <v>67</v>
      </c>
      <c r="EZ49" s="3884">
        <v>51501.73962962963</v>
      </c>
      <c r="FA49" s="3419" t="s">
        <v>67</v>
      </c>
      <c r="FB49" s="1746"/>
      <c r="FC49" s="2651" t="s">
        <v>415</v>
      </c>
      <c r="FD49" s="909">
        <f>STRCHECKDATE(V50:FB50)</f>
      </c>
      <c r="FE49" s="898"/>
      <c r="FF49" s="898" t="str">
        <f>IF(T49="","",T49)</f>
        <v>вода</v>
      </c>
      <c r="FG49" s="898"/>
      <c r="FH49" s="898"/>
      <c r="FI49" s="1553">
        <v>23</v>
      </c>
    </row>
    <row customHeight="1" ht="1.05">
      <c r="A50" s="1761" t="s">
        <v>159</v>
      </c>
      <c r="B50" s="1761" t="s">
        <v>160</v>
      </c>
      <c r="C50" s="1761" t="s">
        <v>161</v>
      </c>
      <c r="D50" s="1761" t="s">
        <v>162</v>
      </c>
      <c r="E50" s="2657"/>
      <c r="F50" s="2657"/>
      <c r="G50" s="2657"/>
      <c r="H50" s="2657"/>
      <c r="I50" s="2684"/>
      <c r="J50" s="2684"/>
      <c r="K50" s="2654"/>
      <c r="L50" s="1762"/>
      <c r="P50" s="2655"/>
      <c r="Q50" s="2655"/>
      <c r="R50" s="755"/>
      <c r="S50" s="1621"/>
      <c r="T50" s="698"/>
      <c r="U50" s="698"/>
      <c r="V50" s="3882"/>
      <c r="W50" s="3882"/>
      <c r="X50" s="3882"/>
      <c r="Y50" s="3889" t="str">
        <f>Z49&amp;"-"&amp;AB49</f>
        <v>-</v>
      </c>
      <c r="Z50" s="3890"/>
      <c r="AA50" s="3419"/>
      <c r="AB50" s="3890"/>
      <c r="AC50" s="3419"/>
      <c r="AD50" s="723"/>
      <c r="AE50" s="723"/>
      <c r="AF50" s="723"/>
      <c r="AG50" s="726" t="str">
        <f>AH49&amp;"-"&amp;AJ49</f>
        <v>45658.71328703704-46022.71351851852</v>
      </c>
      <c r="AH50" s="2664"/>
      <c r="AI50" s="2505"/>
      <c r="AJ50" s="2686"/>
      <c r="AK50" s="2505"/>
      <c r="AL50" s="3882"/>
      <c r="AM50" s="3882"/>
      <c r="AN50" s="3882"/>
      <c r="AO50" s="3889" t="str">
        <f>AP49&amp;"-"&amp;AR49</f>
        <v>46023.73347222222-46387.733611111114</v>
      </c>
      <c r="AP50" s="3890"/>
      <c r="AQ50" s="3419"/>
      <c r="AR50" s="3890"/>
      <c r="AS50" s="3419"/>
      <c r="AT50" s="3882"/>
      <c r="AU50" s="3882"/>
      <c r="AV50" s="3882"/>
      <c r="AW50" s="3889" t="str">
        <f>AX49&amp;"-"&amp;AZ49</f>
        <v>46388.73380787037-46752.73396990741</v>
      </c>
      <c r="AX50" s="3890"/>
      <c r="AY50" s="3419"/>
      <c r="AZ50" s="3890"/>
      <c r="BA50" s="3419"/>
      <c r="BB50" s="3882"/>
      <c r="BC50" s="3882"/>
      <c r="BD50" s="3882"/>
      <c r="BE50" s="3889" t="str">
        <f>BF49&amp;"-"&amp;BH49</f>
        <v>46753.734375-47118.73453703704</v>
      </c>
      <c r="BF50" s="3890"/>
      <c r="BG50" s="3419"/>
      <c r="BH50" s="3890"/>
      <c r="BI50" s="3419"/>
      <c r="BJ50" s="3882"/>
      <c r="BK50" s="3882"/>
      <c r="BL50" s="3882"/>
      <c r="BM50" s="3889" t="str">
        <f>BN49&amp;"-"&amp;BP49</f>
        <v>47119.73480324074-47483.734988425924</v>
      </c>
      <c r="BN50" s="3890"/>
      <c r="BO50" s="3419"/>
      <c r="BP50" s="3890"/>
      <c r="BQ50" s="3419"/>
      <c r="BR50" s="3882"/>
      <c r="BS50" s="3882"/>
      <c r="BT50" s="3882"/>
      <c r="BU50" s="3889" t="str">
        <f>BV49&amp;"-"&amp;BX49</f>
        <v>47484.735347222224-47848.73553240741</v>
      </c>
      <c r="BV50" s="3890"/>
      <c r="BW50" s="3419"/>
      <c r="BX50" s="3890"/>
      <c r="BY50" s="3419"/>
      <c r="BZ50" s="3882"/>
      <c r="CA50" s="3882"/>
      <c r="CB50" s="3882"/>
      <c r="CC50" s="3889" t="str">
        <f>CD49&amp;"-"&amp;CF49</f>
        <v>47849.73572916666-48213.73584490741</v>
      </c>
      <c r="CD50" s="3890"/>
      <c r="CE50" s="3419"/>
      <c r="CF50" s="3890"/>
      <c r="CG50" s="3419"/>
      <c r="CH50" s="3882"/>
      <c r="CI50" s="3882"/>
      <c r="CJ50" s="3882"/>
      <c r="CK50" s="3889" t="str">
        <f>CL49&amp;"-"&amp;CN49</f>
        <v>48214.73607638889-48579.7362037037</v>
      </c>
      <c r="CL50" s="3890"/>
      <c r="CM50" s="3419"/>
      <c r="CN50" s="3890"/>
      <c r="CO50" s="3419"/>
      <c r="CP50" s="3882"/>
      <c r="CQ50" s="3882"/>
      <c r="CR50" s="3882"/>
      <c r="CS50" s="3889" t="str">
        <f>CT49&amp;"-"&amp;CV49</f>
        <v>48580.736446759256-48944.73658564815</v>
      </c>
      <c r="CT50" s="3890"/>
      <c r="CU50" s="3419"/>
      <c r="CV50" s="3890"/>
      <c r="CW50" s="3419"/>
      <c r="CX50" s="3882"/>
      <c r="CY50" s="3882"/>
      <c r="CZ50" s="3882"/>
      <c r="DA50" s="3889" t="str">
        <f>DB49&amp;"-"&amp;DD49</f>
        <v>48945.73681712963-49309.73699074074</v>
      </c>
      <c r="DB50" s="3890"/>
      <c r="DC50" s="3419"/>
      <c r="DD50" s="3890"/>
      <c r="DE50" s="3419"/>
      <c r="DF50" s="3882"/>
      <c r="DG50" s="3882"/>
      <c r="DH50" s="3882"/>
      <c r="DI50" s="3889" t="str">
        <f>DJ49&amp;"-"&amp;DL49</f>
        <v>49310.737291666665-49674.73743055556</v>
      </c>
      <c r="DJ50" s="3890"/>
      <c r="DK50" s="3419"/>
      <c r="DL50" s="3890"/>
      <c r="DM50" s="3419"/>
      <c r="DN50" s="3882"/>
      <c r="DO50" s="3882"/>
      <c r="DP50" s="3882"/>
      <c r="DQ50" s="3889" t="str">
        <f>DR49&amp;"-"&amp;DT49</f>
        <v>49675.73762731482-50040.7377662037</v>
      </c>
      <c r="DR50" s="3890"/>
      <c r="DS50" s="3419"/>
      <c r="DT50" s="3890"/>
      <c r="DU50" s="3419"/>
      <c r="DV50" s="3882"/>
      <c r="DW50" s="3882"/>
      <c r="DX50" s="3882"/>
      <c r="DY50" s="3889" t="str">
        <f>DZ49&amp;"-"&amp;EB49</f>
        <v>50041.738032407404-50405.73819444444</v>
      </c>
      <c r="DZ50" s="3890"/>
      <c r="EA50" s="3419"/>
      <c r="EB50" s="3890"/>
      <c r="EC50" s="3419"/>
      <c r="ED50" s="3882"/>
      <c r="EE50" s="3882"/>
      <c r="EF50" s="3882"/>
      <c r="EG50" s="3889" t="str">
        <f>EH49&amp;"-"&amp;EJ49</f>
        <v>50406.73849537037-50770.738657407404</v>
      </c>
      <c r="EH50" s="3890"/>
      <c r="EI50" s="3419"/>
      <c r="EJ50" s="3890"/>
      <c r="EK50" s="3419"/>
      <c r="EL50" s="3882"/>
      <c r="EM50" s="3882"/>
      <c r="EN50" s="3882"/>
      <c r="EO50" s="3889" t="str">
        <f>EP49&amp;"-"&amp;ER49</f>
        <v>50771.739074074074-51135.73892361111</v>
      </c>
      <c r="EP50" s="3890"/>
      <c r="EQ50" s="3419"/>
      <c r="ER50" s="3890"/>
      <c r="ES50" s="3419"/>
      <c r="ET50" s="3882"/>
      <c r="EU50" s="3882"/>
      <c r="EV50" s="3882"/>
      <c r="EW50" s="3889" t="str">
        <f>EX49&amp;"-"&amp;EZ49</f>
        <v>51136.73945601852-51501.73962962963</v>
      </c>
      <c r="EX50" s="3890"/>
      <c r="EY50" s="3419"/>
      <c r="EZ50" s="3890"/>
      <c r="FA50" s="3419"/>
      <c r="FB50" s="1747"/>
      <c r="FC50" s="2652"/>
      <c r="FE50" s="898"/>
      <c r="FF50" s="898" t="str">
        <f>IF(T50="","",T50)</f>
        <v/>
      </c>
      <c r="FG50" s="898"/>
      <c r="FH50" s="898"/>
      <c r="FI50" s="1553">
        <v>1</v>
      </c>
    </row>
    <row customHeight="1" ht="11.549999999999999">
      <c r="A51" s="1761" t="s">
        <v>159</v>
      </c>
      <c r="B51" s="1761" t="s">
        <v>160</v>
      </c>
      <c r="C51" s="1761" t="s">
        <v>161</v>
      </c>
      <c r="D51" s="1761" t="s">
        <v>162</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4380"/>
      <c r="AM51" s="4381"/>
      <c r="AN51" s="4382"/>
      <c r="AO51" s="4383"/>
      <c r="AP51" s="4384"/>
      <c r="AQ51" s="4385"/>
      <c r="AR51" s="4386"/>
      <c r="AS51" s="4387"/>
      <c r="AT51" s="4388"/>
      <c r="AU51" s="4389"/>
      <c r="AV51" s="4390"/>
      <c r="AW51" s="4391"/>
      <c r="AX51" s="4392"/>
      <c r="AY51" s="4393"/>
      <c r="AZ51" s="4394"/>
      <c r="BA51" s="4395"/>
      <c r="BB51" s="4396"/>
      <c r="BC51" s="4397"/>
      <c r="BD51" s="4398"/>
      <c r="BE51" s="4399"/>
      <c r="BF51" s="4400"/>
      <c r="BG51" s="4401"/>
      <c r="BH51" s="4402"/>
      <c r="BI51" s="4403"/>
      <c r="BJ51" s="4404"/>
      <c r="BK51" s="4405"/>
      <c r="BL51" s="4406"/>
      <c r="BM51" s="4407"/>
      <c r="BN51" s="4408"/>
      <c r="BO51" s="4409"/>
      <c r="BP51" s="4410"/>
      <c r="BQ51" s="4411"/>
      <c r="BR51" s="4412"/>
      <c r="BS51" s="4413"/>
      <c r="BT51" s="4414"/>
      <c r="BU51" s="4415"/>
      <c r="BV51" s="4416"/>
      <c r="BW51" s="4417"/>
      <c r="BX51" s="4418"/>
      <c r="BY51" s="4419"/>
      <c r="BZ51" s="4420"/>
      <c r="CA51" s="4421"/>
      <c r="CB51" s="4422"/>
      <c r="CC51" s="4423"/>
      <c r="CD51" s="4424"/>
      <c r="CE51" s="4425"/>
      <c r="CF51" s="4426"/>
      <c r="CG51" s="4427"/>
      <c r="CH51" s="4428"/>
      <c r="CI51" s="4429"/>
      <c r="CJ51" s="4430"/>
      <c r="CK51" s="4431"/>
      <c r="CL51" s="4432"/>
      <c r="CM51" s="4433"/>
      <c r="CN51" s="4434"/>
      <c r="CO51" s="4435"/>
      <c r="CP51" s="4436"/>
      <c r="CQ51" s="4437"/>
      <c r="CR51" s="4438"/>
      <c r="CS51" s="4439"/>
      <c r="CT51" s="4440"/>
      <c r="CU51" s="4441"/>
      <c r="CV51" s="4442"/>
      <c r="CW51" s="4443"/>
      <c r="CX51" s="4444"/>
      <c r="CY51" s="4445"/>
      <c r="CZ51" s="4446"/>
      <c r="DA51" s="4447"/>
      <c r="DB51" s="4448"/>
      <c r="DC51" s="4449"/>
      <c r="DD51" s="4450"/>
      <c r="DE51" s="4451"/>
      <c r="DF51" s="4452"/>
      <c r="DG51" s="4453"/>
      <c r="DH51" s="4454"/>
      <c r="DI51" s="4455"/>
      <c r="DJ51" s="4456"/>
      <c r="DK51" s="4457"/>
      <c r="DL51" s="4458"/>
      <c r="DM51" s="4459"/>
      <c r="DN51" s="4460"/>
      <c r="DO51" s="4461"/>
      <c r="DP51" s="4462"/>
      <c r="DQ51" s="4463"/>
      <c r="DR51" s="4464"/>
      <c r="DS51" s="4465"/>
      <c r="DT51" s="4466"/>
      <c r="DU51" s="4467"/>
      <c r="DV51" s="4468"/>
      <c r="DW51" s="4469"/>
      <c r="DX51" s="4470"/>
      <c r="DY51" s="4471"/>
      <c r="DZ51" s="4472"/>
      <c r="EA51" s="4473"/>
      <c r="EB51" s="4474"/>
      <c r="EC51" s="4475"/>
      <c r="ED51" s="4476"/>
      <c r="EE51" s="4477"/>
      <c r="EF51" s="4478"/>
      <c r="EG51" s="4479"/>
      <c r="EH51" s="4480"/>
      <c r="EI51" s="4481"/>
      <c r="EJ51" s="4482"/>
      <c r="EK51" s="4483"/>
      <c r="EL51" s="4484"/>
      <c r="EM51" s="4485"/>
      <c r="EN51" s="4486"/>
      <c r="EO51" s="4487"/>
      <c r="EP51" s="4488"/>
      <c r="EQ51" s="4489"/>
      <c r="ER51" s="4490"/>
      <c r="ES51" s="4491"/>
      <c r="ET51" s="4492"/>
      <c r="EU51" s="4493"/>
      <c r="EV51" s="4494"/>
      <c r="EW51" s="4495"/>
      <c r="EX51" s="4496"/>
      <c r="EY51" s="4497"/>
      <c r="EZ51" s="4498"/>
      <c r="FA51" s="4499"/>
      <c r="FB51" s="722"/>
      <c r="FC51" s="2653"/>
      <c r="FE51" s="898"/>
      <c r="FF51" s="898" t="str">
        <f>IF(T51="","",T51)</f>
        <v>Добавить вид теплоносителя (параметры теплоносителя)</v>
      </c>
      <c r="FG51" s="898"/>
      <c r="FH51" s="898"/>
      <c r="FI51" s="1553">
        <v>11</v>
      </c>
    </row>
    <row s="25763" customFormat="1" customHeight="1" ht="21">
      <c r="A52" s="14813"/>
      <c r="B52" s="14813"/>
      <c r="C52" s="14813"/>
      <c r="D52" s="14813"/>
      <c r="E52" s="14814"/>
      <c r="F52" s="14814"/>
      <c r="G52" s="14814"/>
      <c r="H52" s="14814"/>
      <c r="I52" s="14815"/>
      <c r="J52" s="14816" t="str">
        <f>I47&amp;".2"</f>
        <v>1.1.1.1.1.2</v>
      </c>
      <c r="K52" s="14813"/>
      <c r="L52" s="14817" t="s">
        <v>411</v>
      </c>
      <c r="M52" s="14818"/>
      <c r="N52" s="14818"/>
      <c r="O52" s="14819"/>
      <c r="P52" s="14820"/>
      <c r="Q52" s="14821" t="s">
        <v>430</v>
      </c>
      <c r="R52" s="14822"/>
      <c r="S52" s="14823" t="str">
        <f>$J52</f>
        <v>1.1.1.1.1.2</v>
      </c>
      <c r="T52" s="14824" t="s">
        <v>412</v>
      </c>
      <c r="U52" s="14825"/>
      <c r="V52" s="14826"/>
      <c r="W52" s="14827"/>
      <c r="X52" s="14827"/>
      <c r="Y52" s="14827"/>
      <c r="Z52" s="14827"/>
      <c r="AA52" s="14827"/>
      <c r="AB52" s="14827"/>
      <c r="AC52" s="14828"/>
      <c r="AD52" s="14826" t="s">
        <v>454</v>
      </c>
      <c r="AE52" s="14827"/>
      <c r="AF52" s="14827"/>
      <c r="AG52" s="14827"/>
      <c r="AH52" s="14827"/>
      <c r="AI52" s="14827"/>
      <c r="AJ52" s="14827"/>
      <c r="AK52" s="14827"/>
      <c r="AL52" s="14826"/>
      <c r="AM52" s="14827"/>
      <c r="AN52" s="14827"/>
      <c r="AO52" s="14827"/>
      <c r="AP52" s="14827"/>
      <c r="AQ52" s="14827"/>
      <c r="AR52" s="14827"/>
      <c r="AS52" s="14828"/>
      <c r="AT52" s="14826"/>
      <c r="AU52" s="14827"/>
      <c r="AV52" s="14827"/>
      <c r="AW52" s="14827"/>
      <c r="AX52" s="14827"/>
      <c r="AY52" s="14827"/>
      <c r="AZ52" s="14827"/>
      <c r="BA52" s="14828"/>
      <c r="BB52" s="14826"/>
      <c r="BC52" s="14827"/>
      <c r="BD52" s="14827"/>
      <c r="BE52" s="14827"/>
      <c r="BF52" s="14827"/>
      <c r="BG52" s="14827"/>
      <c r="BH52" s="14827"/>
      <c r="BI52" s="14828"/>
      <c r="BJ52" s="14826"/>
      <c r="BK52" s="14827"/>
      <c r="BL52" s="14827"/>
      <c r="BM52" s="14827"/>
      <c r="BN52" s="14827"/>
      <c r="BO52" s="14827"/>
      <c r="BP52" s="14827"/>
      <c r="BQ52" s="14828"/>
      <c r="BR52" s="14826"/>
      <c r="BS52" s="14827"/>
      <c r="BT52" s="14827"/>
      <c r="BU52" s="14827"/>
      <c r="BV52" s="14827"/>
      <c r="BW52" s="14827"/>
      <c r="BX52" s="14827"/>
      <c r="BY52" s="14828"/>
      <c r="BZ52" s="14826"/>
      <c r="CA52" s="14827"/>
      <c r="CB52" s="14827"/>
      <c r="CC52" s="14827"/>
      <c r="CD52" s="14827"/>
      <c r="CE52" s="14827"/>
      <c r="CF52" s="14827"/>
      <c r="CG52" s="14828"/>
      <c r="CH52" s="14826"/>
      <c r="CI52" s="14827"/>
      <c r="CJ52" s="14827"/>
      <c r="CK52" s="14827"/>
      <c r="CL52" s="14827"/>
      <c r="CM52" s="14827"/>
      <c r="CN52" s="14827"/>
      <c r="CO52" s="14828"/>
      <c r="CP52" s="14826"/>
      <c r="CQ52" s="14827"/>
      <c r="CR52" s="14827"/>
      <c r="CS52" s="14827"/>
      <c r="CT52" s="14827"/>
      <c r="CU52" s="14827"/>
      <c r="CV52" s="14827"/>
      <c r="CW52" s="14828"/>
      <c r="CX52" s="14826"/>
      <c r="CY52" s="14827"/>
      <c r="CZ52" s="14827"/>
      <c r="DA52" s="14827"/>
      <c r="DB52" s="14827"/>
      <c r="DC52" s="14827"/>
      <c r="DD52" s="14827"/>
      <c r="DE52" s="14828"/>
      <c r="DF52" s="14826"/>
      <c r="DG52" s="14827"/>
      <c r="DH52" s="14827"/>
      <c r="DI52" s="14827"/>
      <c r="DJ52" s="14827"/>
      <c r="DK52" s="14827"/>
      <c r="DL52" s="14827"/>
      <c r="DM52" s="14828"/>
      <c r="DN52" s="14826"/>
      <c r="DO52" s="14827"/>
      <c r="DP52" s="14827"/>
      <c r="DQ52" s="14827"/>
      <c r="DR52" s="14827"/>
      <c r="DS52" s="14827"/>
      <c r="DT52" s="14827"/>
      <c r="DU52" s="14828"/>
      <c r="DV52" s="14826"/>
      <c r="DW52" s="14827"/>
      <c r="DX52" s="14827"/>
      <c r="DY52" s="14827"/>
      <c r="DZ52" s="14827"/>
      <c r="EA52" s="14827"/>
      <c r="EB52" s="14827"/>
      <c r="EC52" s="14828"/>
      <c r="ED52" s="14826"/>
      <c r="EE52" s="14827"/>
      <c r="EF52" s="14827"/>
      <c r="EG52" s="14827"/>
      <c r="EH52" s="14827"/>
      <c r="EI52" s="14827"/>
      <c r="EJ52" s="14827"/>
      <c r="EK52" s="14828"/>
      <c r="EL52" s="14826"/>
      <c r="EM52" s="14827"/>
      <c r="EN52" s="14827"/>
      <c r="EO52" s="14827"/>
      <c r="EP52" s="14827"/>
      <c r="EQ52" s="14827"/>
      <c r="ER52" s="14827"/>
      <c r="ES52" s="14828"/>
      <c r="ET52" s="14826"/>
      <c r="EU52" s="14827"/>
      <c r="EV52" s="14827"/>
      <c r="EW52" s="14827"/>
      <c r="EX52" s="14827"/>
      <c r="EY52" s="14827"/>
      <c r="EZ52" s="14827"/>
      <c r="FA52" s="14828"/>
      <c r="FB52" s="14828"/>
      <c r="FC52" s="14829" t="s">
        <v>413</v>
      </c>
      <c r="FD52" s="14830"/>
      <c r="FE52" s="14831"/>
      <c r="FF52" s="14831" t="str">
        <f>IF(T52="","",T52)</f>
        <v>Группа потребителей</v>
      </c>
      <c r="FG52" s="14831"/>
      <c r="FH52" s="14831"/>
      <c r="FI52" s="14832">
        <v>0</v>
      </c>
    </row>
    <row s="25784" customFormat="1" customHeight="1" ht="21">
      <c r="A53" s="14813"/>
      <c r="B53" s="14813"/>
      <c r="C53" s="14813"/>
      <c r="D53" s="14813"/>
      <c r="E53" s="14814"/>
      <c r="F53" s="14814"/>
      <c r="G53" s="14814"/>
      <c r="H53" s="14814"/>
      <c r="I53" s="14815"/>
      <c r="J53" s="14815" t="str">
        <f>I47&amp;".1"</f>
        <v>1.1.1.1.1.1</v>
      </c>
      <c r="K53" s="14816" t="str">
        <f>J52&amp;".1"</f>
        <v>1.1.1.1.1.2.1</v>
      </c>
      <c r="L53" s="14817" t="s">
        <v>414</v>
      </c>
      <c r="M53" s="14818"/>
      <c r="N53" s="14818"/>
      <c r="O53" s="14818"/>
      <c r="P53" s="14820"/>
      <c r="Q53" s="14820"/>
      <c r="R53" s="14822">
        <v>1</v>
      </c>
      <c r="S53" s="14823" t="str">
        <f>$K53</f>
        <v>1.1.1.1.1.2.1</v>
      </c>
      <c r="T53" s="14834" t="s">
        <v>453</v>
      </c>
      <c r="U53" s="14825"/>
      <c r="V53" s="14835"/>
      <c r="W53" s="14836"/>
      <c r="X53" s="14835"/>
      <c r="Y53" s="14837"/>
      <c r="Z53" s="14838"/>
      <c r="AA53" s="14839" t="s">
        <v>67</v>
      </c>
      <c r="AB53" s="14838"/>
      <c r="AC53" s="14839" t="s">
        <v>67</v>
      </c>
      <c r="AD53" s="14835">
        <v>5713.8</v>
      </c>
      <c r="AE53" s="14836"/>
      <c r="AF53" s="14835"/>
      <c r="AG53" s="14837"/>
      <c r="AH53" s="14838">
        <v>45658.6065625</v>
      </c>
      <c r="AI53" s="14839" t="s">
        <v>67</v>
      </c>
      <c r="AJ53" s="14838">
        <v>46022.60673611111</v>
      </c>
      <c r="AK53" s="14839" t="s">
        <v>67</v>
      </c>
      <c r="AL53" s="14835">
        <v>6496.84</v>
      </c>
      <c r="AM53" s="14836"/>
      <c r="AN53" s="14835"/>
      <c r="AO53" s="14837"/>
      <c r="AP53" s="14838">
        <v>46023.6069212963</v>
      </c>
      <c r="AQ53" s="14839" t="s">
        <v>67</v>
      </c>
      <c r="AR53" s="14838">
        <v>46387.607453703706</v>
      </c>
      <c r="AS53" s="14839" t="s">
        <v>67</v>
      </c>
      <c r="AT53" s="14835">
        <v>6938.3</v>
      </c>
      <c r="AU53" s="14836"/>
      <c r="AV53" s="14835"/>
      <c r="AW53" s="14837"/>
      <c r="AX53" s="14838">
        <v>46388.608310185184</v>
      </c>
      <c r="AY53" s="14839" t="s">
        <v>67</v>
      </c>
      <c r="AZ53" s="14838">
        <v>46752.60853009259</v>
      </c>
      <c r="BA53" s="14839" t="s">
        <v>67</v>
      </c>
      <c r="BB53" s="14835">
        <v>7754.06</v>
      </c>
      <c r="BC53" s="14836"/>
      <c r="BD53" s="14835"/>
      <c r="BE53" s="14837"/>
      <c r="BF53" s="14838">
        <v>46753.60901620371</v>
      </c>
      <c r="BG53" s="14839" t="s">
        <v>67</v>
      </c>
      <c r="BH53" s="14838">
        <v>47118.60921296296</v>
      </c>
      <c r="BI53" s="14839" t="s">
        <v>67</v>
      </c>
      <c r="BJ53" s="14835">
        <v>8199.32</v>
      </c>
      <c r="BK53" s="14836"/>
      <c r="BL53" s="14835"/>
      <c r="BM53" s="14837"/>
      <c r="BN53" s="14838">
        <v>47119.60972222222</v>
      </c>
      <c r="BO53" s="14839" t="s">
        <v>67</v>
      </c>
      <c r="BP53" s="14838">
        <v>47483.60989583333</v>
      </c>
      <c r="BQ53" s="14839" t="s">
        <v>67</v>
      </c>
      <c r="BR53" s="14835">
        <v>8548.03</v>
      </c>
      <c r="BS53" s="14836"/>
      <c r="BT53" s="14835"/>
      <c r="BU53" s="14837"/>
      <c r="BV53" s="14838">
        <v>47484.61670138889</v>
      </c>
      <c r="BW53" s="14839" t="s">
        <v>67</v>
      </c>
      <c r="BX53" s="14838">
        <v>47848.61684027778</v>
      </c>
      <c r="BY53" s="14839" t="s">
        <v>67</v>
      </c>
      <c r="BZ53" s="14835">
        <v>8950.19</v>
      </c>
      <c r="CA53" s="14836"/>
      <c r="CB53" s="14835"/>
      <c r="CC53" s="14837"/>
      <c r="CD53" s="14838">
        <v>47849.61701388889</v>
      </c>
      <c r="CE53" s="14839" t="s">
        <v>67</v>
      </c>
      <c r="CF53" s="14838">
        <v>48213.61712962963</v>
      </c>
      <c r="CG53" s="14839" t="s">
        <v>67</v>
      </c>
      <c r="CH53" s="14835">
        <v>9165.06</v>
      </c>
      <c r="CI53" s="14836"/>
      <c r="CJ53" s="14835"/>
      <c r="CK53" s="14837"/>
      <c r="CL53" s="14838">
        <v>48214.64184027778</v>
      </c>
      <c r="CM53" s="14839" t="s">
        <v>67</v>
      </c>
      <c r="CN53" s="14838">
        <v>48579.64202546296</v>
      </c>
      <c r="CO53" s="14839" t="s">
        <v>67</v>
      </c>
      <c r="CP53" s="14835">
        <v>9374.93</v>
      </c>
      <c r="CQ53" s="14836"/>
      <c r="CR53" s="14835"/>
      <c r="CS53" s="14837"/>
      <c r="CT53" s="14838">
        <v>48580.64224537037</v>
      </c>
      <c r="CU53" s="14839" t="s">
        <v>67</v>
      </c>
      <c r="CV53" s="14838">
        <v>48944.64241898148</v>
      </c>
      <c r="CW53" s="14839" t="s">
        <v>67</v>
      </c>
      <c r="CX53" s="14835">
        <v>9574.14</v>
      </c>
      <c r="CY53" s="14836"/>
      <c r="CZ53" s="14835"/>
      <c r="DA53" s="14837"/>
      <c r="DB53" s="14838">
        <v>48945.64287037037</v>
      </c>
      <c r="DC53" s="14839" t="s">
        <v>67</v>
      </c>
      <c r="DD53" s="14838">
        <v>49309.64304398148</v>
      </c>
      <c r="DE53" s="14839" t="s">
        <v>67</v>
      </c>
      <c r="DF53" s="14835">
        <v>9775.14</v>
      </c>
      <c r="DG53" s="14836"/>
      <c r="DH53" s="14835"/>
      <c r="DI53" s="14837"/>
      <c r="DJ53" s="14838">
        <v>49310.644282407404</v>
      </c>
      <c r="DK53" s="14839" t="s">
        <v>67</v>
      </c>
      <c r="DL53" s="14838">
        <v>49674.644421296296</v>
      </c>
      <c r="DM53" s="14839" t="s">
        <v>67</v>
      </c>
      <c r="DN53" s="14835">
        <v>10004.24</v>
      </c>
      <c r="DO53" s="14836"/>
      <c r="DP53" s="14835"/>
      <c r="DQ53" s="14837"/>
      <c r="DR53" s="14838">
        <v>49675.64496527778</v>
      </c>
      <c r="DS53" s="14839" t="s">
        <v>67</v>
      </c>
      <c r="DT53" s="14838">
        <v>50040.645162037035</v>
      </c>
      <c r="DU53" s="14839" t="s">
        <v>67</v>
      </c>
      <c r="DV53" s="14835">
        <v>10209.89</v>
      </c>
      <c r="DW53" s="14836"/>
      <c r="DX53" s="14835"/>
      <c r="DY53" s="14837"/>
      <c r="DZ53" s="14838">
        <v>50041.64570601852</v>
      </c>
      <c r="EA53" s="14839" t="s">
        <v>67</v>
      </c>
      <c r="EB53" s="14838">
        <v>50405.64597222222</v>
      </c>
      <c r="EC53" s="14839" t="s">
        <v>67</v>
      </c>
      <c r="ED53" s="14835">
        <v>10438.22</v>
      </c>
      <c r="EE53" s="14836"/>
      <c r="EF53" s="14835"/>
      <c r="EG53" s="14837"/>
      <c r="EH53" s="14838">
        <v>50406.64677083334</v>
      </c>
      <c r="EI53" s="14839" t="s">
        <v>67</v>
      </c>
      <c r="EJ53" s="14838">
        <v>50770.64699074074</v>
      </c>
      <c r="EK53" s="14839" t="s">
        <v>67</v>
      </c>
      <c r="EL53" s="14835">
        <v>10686.6</v>
      </c>
      <c r="EM53" s="14836"/>
      <c r="EN53" s="14835"/>
      <c r="EO53" s="14837"/>
      <c r="EP53" s="14838">
        <v>50771.64747685185</v>
      </c>
      <c r="EQ53" s="14839" t="s">
        <v>67</v>
      </c>
      <c r="ER53" s="14838">
        <v>51135.64770833333</v>
      </c>
      <c r="ES53" s="14839" t="s">
        <v>67</v>
      </c>
      <c r="ET53" s="14835">
        <v>10951.06</v>
      </c>
      <c r="EU53" s="14836"/>
      <c r="EV53" s="14835"/>
      <c r="EW53" s="14837"/>
      <c r="EX53" s="14838">
        <v>51136.64821759259</v>
      </c>
      <c r="EY53" s="14839" t="s">
        <v>67</v>
      </c>
      <c r="EZ53" s="14838">
        <v>51501.648414351854</v>
      </c>
      <c r="FA53" s="14839" t="s">
        <v>67</v>
      </c>
      <c r="FB53" s="14836"/>
      <c r="FC53" s="14840" t="s">
        <v>415</v>
      </c>
      <c r="FD53" s="14830">
        <f>STRCHECKDATE(V54:FB54)</f>
      </c>
      <c r="FE53" s="14831"/>
      <c r="FF53" s="14831" t="str">
        <f>IF(T53="","",T53)</f>
        <v>вода</v>
      </c>
      <c r="FG53" s="14831"/>
      <c r="FH53" s="14831"/>
      <c r="FI53" s="14832">
        <v>0</v>
      </c>
    </row>
    <row s="25792" customFormat="1" customHeight="1" ht="0.75">
      <c r="A54" s="14813"/>
      <c r="B54" s="14813"/>
      <c r="C54" s="14813"/>
      <c r="D54" s="14813"/>
      <c r="E54" s="14814"/>
      <c r="F54" s="14814"/>
      <c r="G54" s="14814"/>
      <c r="H54" s="14814"/>
      <c r="I54" s="14815"/>
      <c r="J54" s="14815" t="str">
        <f>I47&amp;".1"</f>
        <v>1.1.1.1.1.1</v>
      </c>
      <c r="K54" s="14816"/>
      <c r="L54" s="14817"/>
      <c r="M54" s="14818"/>
      <c r="N54" s="14818"/>
      <c r="O54" s="14818"/>
      <c r="P54" s="14820"/>
      <c r="Q54" s="14820"/>
      <c r="R54" s="14822"/>
      <c r="S54" s="14842"/>
      <c r="T54" s="14825"/>
      <c r="U54" s="14825"/>
      <c r="V54" s="14836"/>
      <c r="W54" s="14836"/>
      <c r="X54" s="14836"/>
      <c r="Y54" s="14843" t="str">
        <f>Z53&amp;"-"&amp;AB53</f>
        <v>-</v>
      </c>
      <c r="Z54" s="14844"/>
      <c r="AA54" s="14839"/>
      <c r="AB54" s="14844"/>
      <c r="AC54" s="14839"/>
      <c r="AD54" s="14836"/>
      <c r="AE54" s="14836"/>
      <c r="AF54" s="14836"/>
      <c r="AG54" s="14843" t="str">
        <f>AH53&amp;"-"&amp;AJ53</f>
        <v>45658.6065625-46022.60673611111</v>
      </c>
      <c r="AH54" s="14844"/>
      <c r="AI54" s="14839"/>
      <c r="AJ54" s="14844"/>
      <c r="AK54" s="14839"/>
      <c r="AL54" s="14836"/>
      <c r="AM54" s="14836"/>
      <c r="AN54" s="14836"/>
      <c r="AO54" s="14843" t="str">
        <f>AP53&amp;"-"&amp;AR53</f>
        <v>46023.6069212963-46387.607453703706</v>
      </c>
      <c r="AP54" s="14844"/>
      <c r="AQ54" s="14839"/>
      <c r="AR54" s="14844"/>
      <c r="AS54" s="14839"/>
      <c r="AT54" s="14836"/>
      <c r="AU54" s="14836"/>
      <c r="AV54" s="14836"/>
      <c r="AW54" s="14843" t="str">
        <f>AX53&amp;"-"&amp;AZ53</f>
        <v>46388.608310185184-46752.60853009259</v>
      </c>
      <c r="AX54" s="14844"/>
      <c r="AY54" s="14839"/>
      <c r="AZ54" s="14844"/>
      <c r="BA54" s="14839"/>
      <c r="BB54" s="14836"/>
      <c r="BC54" s="14836"/>
      <c r="BD54" s="14836"/>
      <c r="BE54" s="14843" t="str">
        <f>BF53&amp;"-"&amp;BH53</f>
        <v>46753.60901620371-47118.60921296296</v>
      </c>
      <c r="BF54" s="14844"/>
      <c r="BG54" s="14839"/>
      <c r="BH54" s="14844"/>
      <c r="BI54" s="14839"/>
      <c r="BJ54" s="14836"/>
      <c r="BK54" s="14836"/>
      <c r="BL54" s="14836"/>
      <c r="BM54" s="14843" t="str">
        <f>BN53&amp;"-"&amp;BP53</f>
        <v>47119.60972222222-47483.60989583333</v>
      </c>
      <c r="BN54" s="14844"/>
      <c r="BO54" s="14839"/>
      <c r="BP54" s="14844"/>
      <c r="BQ54" s="14839"/>
      <c r="BR54" s="14836"/>
      <c r="BS54" s="14836"/>
      <c r="BT54" s="14836"/>
      <c r="BU54" s="14843" t="str">
        <f>BV53&amp;"-"&amp;BX53</f>
        <v>47484.61670138889-47848.61684027778</v>
      </c>
      <c r="BV54" s="14844"/>
      <c r="BW54" s="14839"/>
      <c r="BX54" s="14844"/>
      <c r="BY54" s="14839"/>
      <c r="BZ54" s="14836"/>
      <c r="CA54" s="14836"/>
      <c r="CB54" s="14836"/>
      <c r="CC54" s="14843" t="str">
        <f>CD53&amp;"-"&amp;CF53</f>
        <v>47849.61701388889-48213.61712962963</v>
      </c>
      <c r="CD54" s="14844"/>
      <c r="CE54" s="14839"/>
      <c r="CF54" s="14844"/>
      <c r="CG54" s="14839"/>
      <c r="CH54" s="14836"/>
      <c r="CI54" s="14836"/>
      <c r="CJ54" s="14836"/>
      <c r="CK54" s="14843" t="str">
        <f>CL53&amp;"-"&amp;CN53</f>
        <v>48214.64184027778-48579.64202546296</v>
      </c>
      <c r="CL54" s="14844"/>
      <c r="CM54" s="14839"/>
      <c r="CN54" s="14844"/>
      <c r="CO54" s="14839"/>
      <c r="CP54" s="14836"/>
      <c r="CQ54" s="14836"/>
      <c r="CR54" s="14836"/>
      <c r="CS54" s="14843" t="str">
        <f>CT53&amp;"-"&amp;CV53</f>
        <v>48580.64224537037-48944.64241898148</v>
      </c>
      <c r="CT54" s="14844"/>
      <c r="CU54" s="14839"/>
      <c r="CV54" s="14844"/>
      <c r="CW54" s="14839"/>
      <c r="CX54" s="14836"/>
      <c r="CY54" s="14836"/>
      <c r="CZ54" s="14836"/>
      <c r="DA54" s="14843" t="str">
        <f>DB53&amp;"-"&amp;DD53</f>
        <v>48945.64287037037-49309.64304398148</v>
      </c>
      <c r="DB54" s="14844"/>
      <c r="DC54" s="14839"/>
      <c r="DD54" s="14844"/>
      <c r="DE54" s="14839"/>
      <c r="DF54" s="14836"/>
      <c r="DG54" s="14836"/>
      <c r="DH54" s="14836"/>
      <c r="DI54" s="14843" t="str">
        <f>DJ53&amp;"-"&amp;DL53</f>
        <v>49310.644282407404-49674.644421296296</v>
      </c>
      <c r="DJ54" s="14844"/>
      <c r="DK54" s="14839"/>
      <c r="DL54" s="14844"/>
      <c r="DM54" s="14839"/>
      <c r="DN54" s="14836"/>
      <c r="DO54" s="14836"/>
      <c r="DP54" s="14836"/>
      <c r="DQ54" s="14843" t="str">
        <f>DR53&amp;"-"&amp;DT53</f>
        <v>49675.64496527778-50040.645162037035</v>
      </c>
      <c r="DR54" s="14844"/>
      <c r="DS54" s="14839"/>
      <c r="DT54" s="14844"/>
      <c r="DU54" s="14839"/>
      <c r="DV54" s="14836"/>
      <c r="DW54" s="14836"/>
      <c r="DX54" s="14836"/>
      <c r="DY54" s="14843" t="str">
        <f>DZ53&amp;"-"&amp;EB53</f>
        <v>50041.64570601852-50405.64597222222</v>
      </c>
      <c r="DZ54" s="14844"/>
      <c r="EA54" s="14839"/>
      <c r="EB54" s="14844"/>
      <c r="EC54" s="14839"/>
      <c r="ED54" s="14836"/>
      <c r="EE54" s="14836"/>
      <c r="EF54" s="14836"/>
      <c r="EG54" s="14843" t="str">
        <f>EH53&amp;"-"&amp;EJ53</f>
        <v>50406.64677083334-50770.64699074074</v>
      </c>
      <c r="EH54" s="14844"/>
      <c r="EI54" s="14839"/>
      <c r="EJ54" s="14844"/>
      <c r="EK54" s="14839"/>
      <c r="EL54" s="14836"/>
      <c r="EM54" s="14836"/>
      <c r="EN54" s="14836"/>
      <c r="EO54" s="14843" t="str">
        <f>EP53&amp;"-"&amp;ER53</f>
        <v>50771.64747685185-51135.64770833333</v>
      </c>
      <c r="EP54" s="14844"/>
      <c r="EQ54" s="14839"/>
      <c r="ER54" s="14844"/>
      <c r="ES54" s="14839"/>
      <c r="ET54" s="14836"/>
      <c r="EU54" s="14836"/>
      <c r="EV54" s="14836"/>
      <c r="EW54" s="14843" t="str">
        <f>EX53&amp;"-"&amp;EZ53</f>
        <v>51136.64821759259-51501.648414351854</v>
      </c>
      <c r="EX54" s="14844"/>
      <c r="EY54" s="14839"/>
      <c r="EZ54" s="14844"/>
      <c r="FA54" s="14839"/>
      <c r="FB54" s="14836"/>
      <c r="FC54" s="14845"/>
      <c r="FD54" s="14830"/>
      <c r="FE54" s="14831"/>
      <c r="FF54" s="14831" t="str">
        <f>IF(T54="","",T54)</f>
        <v/>
      </c>
      <c r="FG54" s="14831"/>
      <c r="FH54" s="14831"/>
      <c r="FI54" s="14832">
        <v>0</v>
      </c>
    </row>
    <row s="25797" customFormat="1" customHeight="1" ht="15">
      <c r="A55" s="14813"/>
      <c r="B55" s="14813"/>
      <c r="C55" s="14813"/>
      <c r="D55" s="14813"/>
      <c r="E55" s="14814"/>
      <c r="F55" s="14814"/>
      <c r="G55" s="14814"/>
      <c r="H55" s="14814"/>
      <c r="I55" s="14815"/>
      <c r="J55" s="14816" t="str">
        <f>I47&amp;".1"</f>
        <v>1.1.1.1.1.1</v>
      </c>
      <c r="K55" s="14813"/>
      <c r="L55" s="14817"/>
      <c r="M55" s="14818"/>
      <c r="N55" s="14818"/>
      <c r="O55" s="14819"/>
      <c r="P55" s="14820"/>
      <c r="Q55" s="14820"/>
      <c r="R55" s="14847"/>
      <c r="S55" s="14848"/>
      <c r="T55" s="14849" t="s">
        <v>416</v>
      </c>
      <c r="U55" s="14850"/>
      <c r="V55" s="14851"/>
      <c r="W55" s="14852"/>
      <c r="X55" s="14853"/>
      <c r="Y55" s="14854"/>
      <c r="Z55" s="14855"/>
      <c r="AA55" s="14856"/>
      <c r="AB55" s="14857"/>
      <c r="AC55" s="14858"/>
      <c r="AD55" s="14859"/>
      <c r="AE55" s="14860"/>
      <c r="AF55" s="14861"/>
      <c r="AG55" s="14862"/>
      <c r="AH55" s="14863"/>
      <c r="AI55" s="14864"/>
      <c r="AJ55" s="14865"/>
      <c r="AK55" s="14866"/>
      <c r="AL55" s="14867"/>
      <c r="AM55" s="14868"/>
      <c r="AN55" s="14869"/>
      <c r="AO55" s="14870"/>
      <c r="AP55" s="14871"/>
      <c r="AQ55" s="14872"/>
      <c r="AR55" s="14873"/>
      <c r="AS55" s="14874"/>
      <c r="AT55" s="14875"/>
      <c r="AU55" s="14876"/>
      <c r="AV55" s="14877"/>
      <c r="AW55" s="14878"/>
      <c r="AX55" s="14879"/>
      <c r="AY55" s="14880"/>
      <c r="AZ55" s="14881"/>
      <c r="BA55" s="14882"/>
      <c r="BB55" s="14883"/>
      <c r="BC55" s="14884"/>
      <c r="BD55" s="14885"/>
      <c r="BE55" s="14886"/>
      <c r="BF55" s="14887"/>
      <c r="BG55" s="14888"/>
      <c r="BH55" s="14889"/>
      <c r="BI55" s="14890"/>
      <c r="BJ55" s="14891"/>
      <c r="BK55" s="14892"/>
      <c r="BL55" s="14893"/>
      <c r="BM55" s="14894"/>
      <c r="BN55" s="14895"/>
      <c r="BO55" s="14896"/>
      <c r="BP55" s="14897"/>
      <c r="BQ55" s="14898"/>
      <c r="BR55" s="14899"/>
      <c r="BS55" s="14900"/>
      <c r="BT55" s="14901"/>
      <c r="BU55" s="14902"/>
      <c r="BV55" s="14903"/>
      <c r="BW55" s="14904"/>
      <c r="BX55" s="14905"/>
      <c r="BY55" s="14906"/>
      <c r="BZ55" s="14907"/>
      <c r="CA55" s="14908"/>
      <c r="CB55" s="14909"/>
      <c r="CC55" s="14910"/>
      <c r="CD55" s="14911"/>
      <c r="CE55" s="14912"/>
      <c r="CF55" s="14913"/>
      <c r="CG55" s="14914"/>
      <c r="CH55" s="14915"/>
      <c r="CI55" s="14916"/>
      <c r="CJ55" s="14917"/>
      <c r="CK55" s="14918"/>
      <c r="CL55" s="14919"/>
      <c r="CM55" s="14920"/>
      <c r="CN55" s="14921"/>
      <c r="CO55" s="14922"/>
      <c r="CP55" s="14923"/>
      <c r="CQ55" s="14924"/>
      <c r="CR55" s="14925"/>
      <c r="CS55" s="14926"/>
      <c r="CT55" s="14927"/>
      <c r="CU55" s="14928"/>
      <c r="CV55" s="14929"/>
      <c r="CW55" s="14930"/>
      <c r="CX55" s="14931"/>
      <c r="CY55" s="14932"/>
      <c r="CZ55" s="14933"/>
      <c r="DA55" s="14934"/>
      <c r="DB55" s="14935"/>
      <c r="DC55" s="14936"/>
      <c r="DD55" s="14937"/>
      <c r="DE55" s="14938"/>
      <c r="DF55" s="14939"/>
      <c r="DG55" s="14940"/>
      <c r="DH55" s="14941"/>
      <c r="DI55" s="14942"/>
      <c r="DJ55" s="14943"/>
      <c r="DK55" s="14944"/>
      <c r="DL55" s="14945"/>
      <c r="DM55" s="14946"/>
      <c r="DN55" s="14947"/>
      <c r="DO55" s="14948"/>
      <c r="DP55" s="14949"/>
      <c r="DQ55" s="14950"/>
      <c r="DR55" s="14951"/>
      <c r="DS55" s="14952"/>
      <c r="DT55" s="14953"/>
      <c r="DU55" s="14954"/>
      <c r="DV55" s="14955"/>
      <c r="DW55" s="14956"/>
      <c r="DX55" s="14957"/>
      <c r="DY55" s="14958"/>
      <c r="DZ55" s="14959"/>
      <c r="EA55" s="14960"/>
      <c r="EB55" s="14961"/>
      <c r="EC55" s="14962"/>
      <c r="ED55" s="14963"/>
      <c r="EE55" s="14964"/>
      <c r="EF55" s="14965"/>
      <c r="EG55" s="14966"/>
      <c r="EH55" s="14967"/>
      <c r="EI55" s="14968"/>
      <c r="EJ55" s="14969"/>
      <c r="EK55" s="14970"/>
      <c r="EL55" s="14971"/>
      <c r="EM55" s="14972"/>
      <c r="EN55" s="14973"/>
      <c r="EO55" s="14974"/>
      <c r="EP55" s="14975"/>
      <c r="EQ55" s="14976"/>
      <c r="ER55" s="14977"/>
      <c r="ES55" s="14978"/>
      <c r="ET55" s="14979"/>
      <c r="EU55" s="14980"/>
      <c r="EV55" s="14981"/>
      <c r="EW55" s="14982"/>
      <c r="EX55" s="14983"/>
      <c r="EY55" s="14984"/>
      <c r="EZ55" s="14985"/>
      <c r="FA55" s="14986"/>
      <c r="FB55" s="14987"/>
      <c r="FC55" s="14988"/>
      <c r="FD55" s="14830"/>
      <c r="FE55" s="14831"/>
      <c r="FF55" s="14831" t="str">
        <f>IF(T55="","",T55)</f>
        <v>Добавить вид теплоносителя (параметры теплоносителя)</v>
      </c>
      <c r="FG55" s="14831"/>
      <c r="FH55" s="14831"/>
      <c r="FI55" s="14832">
        <v>0</v>
      </c>
    </row>
    <row customHeight="1" ht="11.549999999999999">
      <c r="A56" s="1761" t="s">
        <v>159</v>
      </c>
      <c r="B56" s="1761" t="s">
        <v>160</v>
      </c>
      <c r="C56" s="1761" t="s">
        <v>161</v>
      </c>
      <c r="D56" s="1761" t="s">
        <v>162</v>
      </c>
      <c r="E56" s="2657"/>
      <c r="F56" s="2657"/>
      <c r="G56" s="2657"/>
      <c r="H56" s="2657"/>
      <c r="I56" s="2654"/>
      <c r="J56" s="1761"/>
      <c r="K56" s="1761"/>
      <c r="L56" s="1762"/>
      <c r="P56" s="2655"/>
      <c r="Q56" s="1618"/>
      <c r="R56" s="754"/>
      <c r="S56" s="1676"/>
      <c r="T56" s="685" t="s">
        <v>417</v>
      </c>
      <c r="U56" s="765"/>
      <c r="V56" s="765"/>
      <c r="W56" s="765"/>
      <c r="X56" s="765"/>
      <c r="Y56" s="765"/>
      <c r="Z56" s="765"/>
      <c r="AA56" s="765"/>
      <c r="AB56" s="765"/>
      <c r="AC56" s="764"/>
      <c r="AD56" s="765"/>
      <c r="AE56" s="765"/>
      <c r="AF56" s="765"/>
      <c r="AG56" s="765"/>
      <c r="AH56" s="765"/>
      <c r="AI56" s="765"/>
      <c r="AJ56" s="765"/>
      <c r="AK56" s="764"/>
      <c r="AL56" s="4500"/>
      <c r="AM56" s="4501"/>
      <c r="AN56" s="4502"/>
      <c r="AO56" s="4503"/>
      <c r="AP56" s="4504"/>
      <c r="AQ56" s="4505"/>
      <c r="AR56" s="4506"/>
      <c r="AS56" s="4507"/>
      <c r="AT56" s="4508"/>
      <c r="AU56" s="4509"/>
      <c r="AV56" s="4510"/>
      <c r="AW56" s="4511"/>
      <c r="AX56" s="4512"/>
      <c r="AY56" s="4513"/>
      <c r="AZ56" s="4514"/>
      <c r="BA56" s="4515"/>
      <c r="BB56" s="4516"/>
      <c r="BC56" s="4517"/>
      <c r="BD56" s="4518"/>
      <c r="BE56" s="4519"/>
      <c r="BF56" s="4520"/>
      <c r="BG56" s="4521"/>
      <c r="BH56" s="4522"/>
      <c r="BI56" s="4523"/>
      <c r="BJ56" s="4524"/>
      <c r="BK56" s="4525"/>
      <c r="BL56" s="4526"/>
      <c r="BM56" s="4527"/>
      <c r="BN56" s="4528"/>
      <c r="BO56" s="4529"/>
      <c r="BP56" s="4530"/>
      <c r="BQ56" s="4531"/>
      <c r="BR56" s="4532"/>
      <c r="BS56" s="4533"/>
      <c r="BT56" s="4534"/>
      <c r="BU56" s="4535"/>
      <c r="BV56" s="4536"/>
      <c r="BW56" s="4537"/>
      <c r="BX56" s="4538"/>
      <c r="BY56" s="4539"/>
      <c r="BZ56" s="4540"/>
      <c r="CA56" s="4541"/>
      <c r="CB56" s="4542"/>
      <c r="CC56" s="4543"/>
      <c r="CD56" s="4544"/>
      <c r="CE56" s="4545"/>
      <c r="CF56" s="4546"/>
      <c r="CG56" s="4547"/>
      <c r="CH56" s="4548"/>
      <c r="CI56" s="4549"/>
      <c r="CJ56" s="4550"/>
      <c r="CK56" s="4551"/>
      <c r="CL56" s="4552"/>
      <c r="CM56" s="4553"/>
      <c r="CN56" s="4554"/>
      <c r="CO56" s="4555"/>
      <c r="CP56" s="4556"/>
      <c r="CQ56" s="4557"/>
      <c r="CR56" s="4558"/>
      <c r="CS56" s="4559"/>
      <c r="CT56" s="4560"/>
      <c r="CU56" s="4561"/>
      <c r="CV56" s="4562"/>
      <c r="CW56" s="4563"/>
      <c r="CX56" s="4564"/>
      <c r="CY56" s="4565"/>
      <c r="CZ56" s="4566"/>
      <c r="DA56" s="4567"/>
      <c r="DB56" s="4568"/>
      <c r="DC56" s="4569"/>
      <c r="DD56" s="4570"/>
      <c r="DE56" s="4571"/>
      <c r="DF56" s="4572"/>
      <c r="DG56" s="4573"/>
      <c r="DH56" s="4574"/>
      <c r="DI56" s="4575"/>
      <c r="DJ56" s="4576"/>
      <c r="DK56" s="4577"/>
      <c r="DL56" s="4578"/>
      <c r="DM56" s="4579"/>
      <c r="DN56" s="4580"/>
      <c r="DO56" s="4581"/>
      <c r="DP56" s="4582"/>
      <c r="DQ56" s="4583"/>
      <c r="DR56" s="4584"/>
      <c r="DS56" s="4585"/>
      <c r="DT56" s="4586"/>
      <c r="DU56" s="4587"/>
      <c r="DV56" s="4588"/>
      <c r="DW56" s="4589"/>
      <c r="DX56" s="4590"/>
      <c r="DY56" s="4591"/>
      <c r="DZ56" s="4592"/>
      <c r="EA56" s="4593"/>
      <c r="EB56" s="4594"/>
      <c r="EC56" s="4595"/>
      <c r="ED56" s="4596"/>
      <c r="EE56" s="4597"/>
      <c r="EF56" s="4598"/>
      <c r="EG56" s="4599"/>
      <c r="EH56" s="4600"/>
      <c r="EI56" s="4601"/>
      <c r="EJ56" s="4602"/>
      <c r="EK56" s="4603"/>
      <c r="EL56" s="4604"/>
      <c r="EM56" s="4605"/>
      <c r="EN56" s="4606"/>
      <c r="EO56" s="4607"/>
      <c r="EP56" s="4608"/>
      <c r="EQ56" s="4609"/>
      <c r="ER56" s="4610"/>
      <c r="ES56" s="4611"/>
      <c r="ET56" s="4612"/>
      <c r="EU56" s="4613"/>
      <c r="EV56" s="4614"/>
      <c r="EW56" s="4615"/>
      <c r="EX56" s="4616"/>
      <c r="EY56" s="4617"/>
      <c r="EZ56" s="4618"/>
      <c r="FA56" s="4619"/>
      <c r="FB56" s="765"/>
      <c r="FC56" s="701"/>
      <c r="FE56" s="898"/>
      <c r="FF56" s="898" t="str">
        <f>IF(T56="","",T56)</f>
        <v>Добавить группу потребителей</v>
      </c>
      <c r="FG56" s="898"/>
      <c r="FH56" s="898"/>
      <c r="FI56" s="1553">
        <v>11</v>
      </c>
    </row>
    <row customHeight="1" ht="14.699999999999998">
      <c r="A57" s="1761" t="s">
        <v>159</v>
      </c>
      <c r="B57" s="1761" t="s">
        <v>160</v>
      </c>
      <c r="C57" s="1761" t="s">
        <v>161</v>
      </c>
      <c r="D57" s="1761" t="s">
        <v>162</v>
      </c>
      <c r="E57" s="2657"/>
      <c r="F57" s="2657"/>
      <c r="G57" s="2657"/>
      <c r="H57" s="2656"/>
      <c r="I57" s="1761"/>
      <c r="J57" s="1761"/>
      <c r="K57" s="1761"/>
      <c r="L57" s="1762"/>
      <c r="M57" s="1763"/>
      <c r="N57" s="1763"/>
      <c r="O57" s="935"/>
      <c r="P57" s="758"/>
      <c r="Q57" s="773"/>
      <c r="R57" s="753"/>
      <c r="S57" s="1676"/>
      <c r="T57" s="763" t="s">
        <v>418</v>
      </c>
      <c r="U57" s="765"/>
      <c r="V57" s="765"/>
      <c r="W57" s="765"/>
      <c r="X57" s="765"/>
      <c r="Y57" s="765"/>
      <c r="Z57" s="765"/>
      <c r="AA57" s="765"/>
      <c r="AB57" s="765"/>
      <c r="AC57" s="764"/>
      <c r="AD57" s="765"/>
      <c r="AE57" s="765"/>
      <c r="AF57" s="765"/>
      <c r="AG57" s="765"/>
      <c r="AH57" s="765"/>
      <c r="AI57" s="765"/>
      <c r="AJ57" s="765"/>
      <c r="AK57" s="764"/>
      <c r="AL57" s="4620"/>
      <c r="AM57" s="4621"/>
      <c r="AN57" s="4622"/>
      <c r="AO57" s="4623"/>
      <c r="AP57" s="4624"/>
      <c r="AQ57" s="4625"/>
      <c r="AR57" s="4626"/>
      <c r="AS57" s="4627"/>
      <c r="AT57" s="4628"/>
      <c r="AU57" s="4629"/>
      <c r="AV57" s="4630"/>
      <c r="AW57" s="4631"/>
      <c r="AX57" s="4632"/>
      <c r="AY57" s="4633"/>
      <c r="AZ57" s="4634"/>
      <c r="BA57" s="4635"/>
      <c r="BB57" s="4636"/>
      <c r="BC57" s="4637"/>
      <c r="BD57" s="4638"/>
      <c r="BE57" s="4639"/>
      <c r="BF57" s="4640"/>
      <c r="BG57" s="4641"/>
      <c r="BH57" s="4642"/>
      <c r="BI57" s="4643"/>
      <c r="BJ57" s="4644"/>
      <c r="BK57" s="4645"/>
      <c r="BL57" s="4646"/>
      <c r="BM57" s="4647"/>
      <c r="BN57" s="4648"/>
      <c r="BO57" s="4649"/>
      <c r="BP57" s="4650"/>
      <c r="BQ57" s="4651"/>
      <c r="BR57" s="4652"/>
      <c r="BS57" s="4653"/>
      <c r="BT57" s="4654"/>
      <c r="BU57" s="4655"/>
      <c r="BV57" s="4656"/>
      <c r="BW57" s="4657"/>
      <c r="BX57" s="4658"/>
      <c r="BY57" s="4659"/>
      <c r="BZ57" s="4660"/>
      <c r="CA57" s="4661"/>
      <c r="CB57" s="4662"/>
      <c r="CC57" s="4663"/>
      <c r="CD57" s="4664"/>
      <c r="CE57" s="4665"/>
      <c r="CF57" s="4666"/>
      <c r="CG57" s="4667"/>
      <c r="CH57" s="4668"/>
      <c r="CI57" s="4669"/>
      <c r="CJ57" s="4670"/>
      <c r="CK57" s="4671"/>
      <c r="CL57" s="4672"/>
      <c r="CM57" s="4673"/>
      <c r="CN57" s="4674"/>
      <c r="CO57" s="4675"/>
      <c r="CP57" s="4676"/>
      <c r="CQ57" s="4677"/>
      <c r="CR57" s="4678"/>
      <c r="CS57" s="4679"/>
      <c r="CT57" s="4680"/>
      <c r="CU57" s="4681"/>
      <c r="CV57" s="4682"/>
      <c r="CW57" s="4683"/>
      <c r="CX57" s="4684"/>
      <c r="CY57" s="4685"/>
      <c r="CZ57" s="4686"/>
      <c r="DA57" s="4687"/>
      <c r="DB57" s="4688"/>
      <c r="DC57" s="4689"/>
      <c r="DD57" s="4690"/>
      <c r="DE57" s="4691"/>
      <c r="DF57" s="4692"/>
      <c r="DG57" s="4693"/>
      <c r="DH57" s="4694"/>
      <c r="DI57" s="4695"/>
      <c r="DJ57" s="4696"/>
      <c r="DK57" s="4697"/>
      <c r="DL57" s="4698"/>
      <c r="DM57" s="4699"/>
      <c r="DN57" s="4700"/>
      <c r="DO57" s="4701"/>
      <c r="DP57" s="4702"/>
      <c r="DQ57" s="4703"/>
      <c r="DR57" s="4704"/>
      <c r="DS57" s="4705"/>
      <c r="DT57" s="4706"/>
      <c r="DU57" s="4707"/>
      <c r="DV57" s="4708"/>
      <c r="DW57" s="4709"/>
      <c r="DX57" s="4710"/>
      <c r="DY57" s="4711"/>
      <c r="DZ57" s="4712"/>
      <c r="EA57" s="4713"/>
      <c r="EB57" s="4714"/>
      <c r="EC57" s="4715"/>
      <c r="ED57" s="4716"/>
      <c r="EE57" s="4717"/>
      <c r="EF57" s="4718"/>
      <c r="EG57" s="4719"/>
      <c r="EH57" s="4720"/>
      <c r="EI57" s="4721"/>
      <c r="EJ57" s="4722"/>
      <c r="EK57" s="4723"/>
      <c r="EL57" s="4724"/>
      <c r="EM57" s="4725"/>
      <c r="EN57" s="4726"/>
      <c r="EO57" s="4727"/>
      <c r="EP57" s="4728"/>
      <c r="EQ57" s="4729"/>
      <c r="ER57" s="4730"/>
      <c r="ES57" s="4731"/>
      <c r="ET57" s="4732"/>
      <c r="EU57" s="4733"/>
      <c r="EV57" s="4734"/>
      <c r="EW57" s="4735"/>
      <c r="EX57" s="4736"/>
      <c r="EY57" s="4737"/>
      <c r="EZ57" s="4738"/>
      <c r="FA57" s="4739"/>
      <c r="FB57" s="765"/>
      <c r="FC57" s="701"/>
      <c r="FE57" s="898"/>
      <c r="FF57" s="898" t="str">
        <f>IF(T57="","",T57)</f>
        <v>Добавить схему подключения</v>
      </c>
      <c r="FG57" s="898"/>
      <c r="FH57" s="898"/>
      <c r="FI57" s="1553">
        <v>14</v>
      </c>
    </row>
    <row s="24435" customFormat="1" customHeight="1" ht="1.05">
      <c r="A58" s="1741" t="s">
        <v>159</v>
      </c>
      <c r="B58" s="1741" t="s">
        <v>160</v>
      </c>
      <c r="C58" s="1741" t="s">
        <v>161</v>
      </c>
      <c r="D58" s="1712"/>
      <c r="E58" s="2657"/>
      <c r="F58" s="2657"/>
      <c r="G58" s="2656"/>
      <c r="H58" s="1712"/>
      <c r="I58" s="1712"/>
      <c r="J58" s="1712"/>
      <c r="K58" s="1712"/>
      <c r="L58" s="1737"/>
      <c r="M58" s="1713"/>
      <c r="N58" s="1713"/>
      <c r="P58" s="1714"/>
      <c r="Q58" s="1715"/>
      <c r="R58" s="1714"/>
      <c r="S58" s="1720"/>
      <c r="T58" s="1723" t="s">
        <v>163</v>
      </c>
      <c r="U58" s="1722"/>
      <c r="V58" s="1722"/>
      <c r="W58" s="1722"/>
      <c r="X58" s="1722"/>
      <c r="Y58" s="1722"/>
      <c r="Z58" s="1722"/>
      <c r="AA58" s="1722"/>
      <c r="AB58" s="1722"/>
      <c r="AC58" s="1722"/>
      <c r="AD58" s="1722"/>
      <c r="AE58" s="1722"/>
      <c r="AF58" s="1722"/>
      <c r="AG58" s="1722"/>
      <c r="AH58" s="1722"/>
      <c r="AI58" s="1722"/>
      <c r="AJ58" s="1722"/>
      <c r="AK58" s="1722"/>
      <c r="AL58" s="4274"/>
      <c r="AM58" s="4274"/>
      <c r="AN58" s="4274"/>
      <c r="AO58" s="4274"/>
      <c r="AP58" s="4274"/>
      <c r="AQ58" s="4274"/>
      <c r="AR58" s="4274"/>
      <c r="AS58" s="4274"/>
      <c r="AT58" s="4274"/>
      <c r="AU58" s="4274"/>
      <c r="AV58" s="4274"/>
      <c r="AW58" s="4274"/>
      <c r="AX58" s="4274"/>
      <c r="AY58" s="4274"/>
      <c r="AZ58" s="4274"/>
      <c r="BA58" s="4274"/>
      <c r="BB58" s="4274"/>
      <c r="BC58" s="4274"/>
      <c r="BD58" s="4274"/>
      <c r="BE58" s="4274"/>
      <c r="BF58" s="4274"/>
      <c r="BG58" s="4274"/>
      <c r="BH58" s="4274"/>
      <c r="BI58" s="4274"/>
      <c r="BJ58" s="4274"/>
      <c r="BK58" s="4274"/>
      <c r="BL58" s="4274"/>
      <c r="BM58" s="4274"/>
      <c r="BN58" s="4274"/>
      <c r="BO58" s="4274"/>
      <c r="BP58" s="4274"/>
      <c r="BQ58" s="4274"/>
      <c r="BR58" s="4274"/>
      <c r="BS58" s="4274"/>
      <c r="BT58" s="4274"/>
      <c r="BU58" s="4274"/>
      <c r="BV58" s="4274"/>
      <c r="BW58" s="4274"/>
      <c r="BX58" s="4274"/>
      <c r="BY58" s="4274"/>
      <c r="BZ58" s="4274"/>
      <c r="CA58" s="4274"/>
      <c r="CB58" s="4274"/>
      <c r="CC58" s="4274"/>
      <c r="CD58" s="4274"/>
      <c r="CE58" s="4274"/>
      <c r="CF58" s="4274"/>
      <c r="CG58" s="4274"/>
      <c r="CH58" s="4274"/>
      <c r="CI58" s="4274"/>
      <c r="CJ58" s="4274"/>
      <c r="CK58" s="4274"/>
      <c r="CL58" s="4274"/>
      <c r="CM58" s="4274"/>
      <c r="CN58" s="4274"/>
      <c r="CO58" s="4274"/>
      <c r="CP58" s="4274"/>
      <c r="CQ58" s="4274"/>
      <c r="CR58" s="4274"/>
      <c r="CS58" s="4274"/>
      <c r="CT58" s="4274"/>
      <c r="CU58" s="4274"/>
      <c r="CV58" s="4274"/>
      <c r="CW58" s="4274"/>
      <c r="CX58" s="4274"/>
      <c r="CY58" s="4274"/>
      <c r="CZ58" s="4274"/>
      <c r="DA58" s="4274"/>
      <c r="DB58" s="4274"/>
      <c r="DC58" s="4274"/>
      <c r="DD58" s="4274"/>
      <c r="DE58" s="4274"/>
      <c r="DF58" s="4274"/>
      <c r="DG58" s="4274"/>
      <c r="DH58" s="4274"/>
      <c r="DI58" s="4274"/>
      <c r="DJ58" s="4274"/>
      <c r="DK58" s="4274"/>
      <c r="DL58" s="4274"/>
      <c r="DM58" s="4274"/>
      <c r="DN58" s="4274"/>
      <c r="DO58" s="4274"/>
      <c r="DP58" s="4274"/>
      <c r="DQ58" s="4274"/>
      <c r="DR58" s="4274"/>
      <c r="DS58" s="4274"/>
      <c r="DT58" s="4274"/>
      <c r="DU58" s="4274"/>
      <c r="DV58" s="4274"/>
      <c r="DW58" s="4274"/>
      <c r="DX58" s="4274"/>
      <c r="DY58" s="4274"/>
      <c r="DZ58" s="4274"/>
      <c r="EA58" s="4274"/>
      <c r="EB58" s="4274"/>
      <c r="EC58" s="4274"/>
      <c r="ED58" s="4274"/>
      <c r="EE58" s="4274"/>
      <c r="EF58" s="4274"/>
      <c r="EG58" s="4274"/>
      <c r="EH58" s="4274"/>
      <c r="EI58" s="4274"/>
      <c r="EJ58" s="4274"/>
      <c r="EK58" s="4274"/>
      <c r="EL58" s="4274"/>
      <c r="EM58" s="4274"/>
      <c r="EN58" s="4274"/>
      <c r="EO58" s="4274"/>
      <c r="EP58" s="4274"/>
      <c r="EQ58" s="4274"/>
      <c r="ER58" s="4274"/>
      <c r="ES58" s="4274"/>
      <c r="ET58" s="4274"/>
      <c r="EU58" s="4274"/>
      <c r="EV58" s="4274"/>
      <c r="EW58" s="4274"/>
      <c r="EX58" s="4274"/>
      <c r="EY58" s="4274"/>
      <c r="EZ58" s="4274"/>
      <c r="FA58" s="4274"/>
      <c r="FB58" s="1722"/>
      <c r="FC58" s="1722"/>
      <c r="FE58" s="1187"/>
      <c r="FF58" s="1187" t="str">
        <f>IF(T58="","",T58)</f>
        <v>Добавить источник для дифференциации</v>
      </c>
      <c r="FG58" s="1187"/>
      <c r="FH58" s="1187"/>
      <c r="FI58" s="916">
        <v>1</v>
      </c>
    </row>
    <row s="24435" customFormat="1" customHeight="1" ht="1.05">
      <c r="A59" s="1741" t="s">
        <v>159</v>
      </c>
      <c r="B59" s="1741" t="s">
        <v>160</v>
      </c>
      <c r="C59" s="1712"/>
      <c r="D59" s="1712"/>
      <c r="E59" s="2657"/>
      <c r="F59" s="2656"/>
      <c r="G59" s="1712"/>
      <c r="H59" s="1712"/>
      <c r="I59" s="1712"/>
      <c r="J59" s="1712"/>
      <c r="K59" s="1712"/>
      <c r="L59" s="1737"/>
      <c r="M59" s="1719"/>
      <c r="N59" s="1719"/>
      <c r="P59" s="1714"/>
      <c r="Q59" s="1715"/>
      <c r="R59" s="1714"/>
      <c r="S59" s="1720"/>
      <c r="T59" s="1723" t="s">
        <v>164</v>
      </c>
      <c r="U59" s="1722"/>
      <c r="V59" s="1722"/>
      <c r="W59" s="1722"/>
      <c r="X59" s="1722"/>
      <c r="Y59" s="1722"/>
      <c r="Z59" s="1722"/>
      <c r="AA59" s="1722"/>
      <c r="AB59" s="1722"/>
      <c r="AC59" s="1722"/>
      <c r="AD59" s="1722"/>
      <c r="AE59" s="1722"/>
      <c r="AF59" s="1722"/>
      <c r="AG59" s="1722"/>
      <c r="AH59" s="1722"/>
      <c r="AI59" s="1722"/>
      <c r="AJ59" s="1722"/>
      <c r="AK59" s="1722"/>
      <c r="AL59" s="4274"/>
      <c r="AM59" s="4274"/>
      <c r="AN59" s="4274"/>
      <c r="AO59" s="4274"/>
      <c r="AP59" s="4274"/>
      <c r="AQ59" s="4274"/>
      <c r="AR59" s="4274"/>
      <c r="AS59" s="4274"/>
      <c r="AT59" s="4274"/>
      <c r="AU59" s="4274"/>
      <c r="AV59" s="4274"/>
      <c r="AW59" s="4274"/>
      <c r="AX59" s="4274"/>
      <c r="AY59" s="4274"/>
      <c r="AZ59" s="4274"/>
      <c r="BA59" s="4274"/>
      <c r="BB59" s="4274"/>
      <c r="BC59" s="4274"/>
      <c r="BD59" s="4274"/>
      <c r="BE59" s="4274"/>
      <c r="BF59" s="4274"/>
      <c r="BG59" s="4274"/>
      <c r="BH59" s="4274"/>
      <c r="BI59" s="4274"/>
      <c r="BJ59" s="4274"/>
      <c r="BK59" s="4274"/>
      <c r="BL59" s="4274"/>
      <c r="BM59" s="4274"/>
      <c r="BN59" s="4274"/>
      <c r="BO59" s="4274"/>
      <c r="BP59" s="4274"/>
      <c r="BQ59" s="4274"/>
      <c r="BR59" s="4274"/>
      <c r="BS59" s="4274"/>
      <c r="BT59" s="4274"/>
      <c r="BU59" s="4274"/>
      <c r="BV59" s="4274"/>
      <c r="BW59" s="4274"/>
      <c r="BX59" s="4274"/>
      <c r="BY59" s="4274"/>
      <c r="BZ59" s="4274"/>
      <c r="CA59" s="4274"/>
      <c r="CB59" s="4274"/>
      <c r="CC59" s="4274"/>
      <c r="CD59" s="4274"/>
      <c r="CE59" s="4274"/>
      <c r="CF59" s="4274"/>
      <c r="CG59" s="4274"/>
      <c r="CH59" s="4274"/>
      <c r="CI59" s="4274"/>
      <c r="CJ59" s="4274"/>
      <c r="CK59" s="4274"/>
      <c r="CL59" s="4274"/>
      <c r="CM59" s="4274"/>
      <c r="CN59" s="4274"/>
      <c r="CO59" s="4274"/>
      <c r="CP59" s="4274"/>
      <c r="CQ59" s="4274"/>
      <c r="CR59" s="4274"/>
      <c r="CS59" s="4274"/>
      <c r="CT59" s="4274"/>
      <c r="CU59" s="4274"/>
      <c r="CV59" s="4274"/>
      <c r="CW59" s="4274"/>
      <c r="CX59" s="4274"/>
      <c r="CY59" s="4274"/>
      <c r="CZ59" s="4274"/>
      <c r="DA59" s="4274"/>
      <c r="DB59" s="4274"/>
      <c r="DC59" s="4274"/>
      <c r="DD59" s="4274"/>
      <c r="DE59" s="4274"/>
      <c r="DF59" s="4274"/>
      <c r="DG59" s="4274"/>
      <c r="DH59" s="4274"/>
      <c r="DI59" s="4274"/>
      <c r="DJ59" s="4274"/>
      <c r="DK59" s="4274"/>
      <c r="DL59" s="4274"/>
      <c r="DM59" s="4274"/>
      <c r="DN59" s="4274"/>
      <c r="DO59" s="4274"/>
      <c r="DP59" s="4274"/>
      <c r="DQ59" s="4274"/>
      <c r="DR59" s="4274"/>
      <c r="DS59" s="4274"/>
      <c r="DT59" s="4274"/>
      <c r="DU59" s="4274"/>
      <c r="DV59" s="4274"/>
      <c r="DW59" s="4274"/>
      <c r="DX59" s="4274"/>
      <c r="DY59" s="4274"/>
      <c r="DZ59" s="4274"/>
      <c r="EA59" s="4274"/>
      <c r="EB59" s="4274"/>
      <c r="EC59" s="4274"/>
      <c r="ED59" s="4274"/>
      <c r="EE59" s="4274"/>
      <c r="EF59" s="4274"/>
      <c r="EG59" s="4274"/>
      <c r="EH59" s="4274"/>
      <c r="EI59" s="4274"/>
      <c r="EJ59" s="4274"/>
      <c r="EK59" s="4274"/>
      <c r="EL59" s="4274"/>
      <c r="EM59" s="4274"/>
      <c r="EN59" s="4274"/>
      <c r="EO59" s="4274"/>
      <c r="EP59" s="4274"/>
      <c r="EQ59" s="4274"/>
      <c r="ER59" s="4274"/>
      <c r="ES59" s="4274"/>
      <c r="ET59" s="4274"/>
      <c r="EU59" s="4274"/>
      <c r="EV59" s="4274"/>
      <c r="EW59" s="4274"/>
      <c r="EX59" s="4274"/>
      <c r="EY59" s="4274"/>
      <c r="EZ59" s="4274"/>
      <c r="FA59" s="4274"/>
      <c r="FB59" s="1722"/>
      <c r="FC59" s="1722"/>
      <c r="FE59" s="1187"/>
      <c r="FF59" s="1187" t="str">
        <f>IF(T59="","",T59)</f>
        <v>Добавить централизованную систему для дифференциации</v>
      </c>
      <c r="FG59" s="1187"/>
      <c r="FH59" s="1187"/>
      <c r="FI59" s="916">
        <v>1</v>
      </c>
    </row>
    <row s="24435" customFormat="1" customHeight="1" ht="1.05">
      <c r="A60" s="1741" t="s">
        <v>159</v>
      </c>
      <c r="B60" s="1741"/>
      <c r="C60" s="1741"/>
      <c r="D60" s="1741"/>
      <c r="E60" s="2656"/>
      <c r="F60" s="1741"/>
      <c r="G60" s="1741"/>
      <c r="H60" s="1741"/>
      <c r="I60" s="1741"/>
      <c r="J60" s="1741"/>
      <c r="K60" s="1741"/>
      <c r="L60" s="1744"/>
      <c r="M60" s="1719"/>
      <c r="N60" s="1719"/>
      <c r="O60" s="916"/>
      <c r="P60" s="778"/>
      <c r="Q60" s="1742"/>
      <c r="R60" s="778"/>
      <c r="S60" s="1720"/>
      <c r="T60" s="1723" t="s">
        <v>165</v>
      </c>
      <c r="U60" s="1722"/>
      <c r="V60" s="1722"/>
      <c r="W60" s="1722"/>
      <c r="X60" s="1722"/>
      <c r="Y60" s="1722"/>
      <c r="Z60" s="1722"/>
      <c r="AA60" s="1722"/>
      <c r="AB60" s="1722"/>
      <c r="AC60" s="1722"/>
      <c r="AD60" s="1722"/>
      <c r="AE60" s="1722"/>
      <c r="AF60" s="1722"/>
      <c r="AG60" s="1722"/>
      <c r="AH60" s="1722"/>
      <c r="AI60" s="1722"/>
      <c r="AJ60" s="1722"/>
      <c r="AK60" s="1722"/>
      <c r="AL60" s="4274"/>
      <c r="AM60" s="4274"/>
      <c r="AN60" s="4274"/>
      <c r="AO60" s="4274"/>
      <c r="AP60" s="4274"/>
      <c r="AQ60" s="4274"/>
      <c r="AR60" s="4274"/>
      <c r="AS60" s="4274"/>
      <c r="AT60" s="4274"/>
      <c r="AU60" s="4274"/>
      <c r="AV60" s="4274"/>
      <c r="AW60" s="4274"/>
      <c r="AX60" s="4274"/>
      <c r="AY60" s="4274"/>
      <c r="AZ60" s="4274"/>
      <c r="BA60" s="4274"/>
      <c r="BB60" s="4274"/>
      <c r="BC60" s="4274"/>
      <c r="BD60" s="4274"/>
      <c r="BE60" s="4274"/>
      <c r="BF60" s="4274"/>
      <c r="BG60" s="4274"/>
      <c r="BH60" s="4274"/>
      <c r="BI60" s="4274"/>
      <c r="BJ60" s="4274"/>
      <c r="BK60" s="4274"/>
      <c r="BL60" s="4274"/>
      <c r="BM60" s="4274"/>
      <c r="BN60" s="4274"/>
      <c r="BO60" s="4274"/>
      <c r="BP60" s="4274"/>
      <c r="BQ60" s="4274"/>
      <c r="BR60" s="4274"/>
      <c r="BS60" s="4274"/>
      <c r="BT60" s="4274"/>
      <c r="BU60" s="4274"/>
      <c r="BV60" s="4274"/>
      <c r="BW60" s="4274"/>
      <c r="BX60" s="4274"/>
      <c r="BY60" s="4274"/>
      <c r="BZ60" s="4274"/>
      <c r="CA60" s="4274"/>
      <c r="CB60" s="4274"/>
      <c r="CC60" s="4274"/>
      <c r="CD60" s="4274"/>
      <c r="CE60" s="4274"/>
      <c r="CF60" s="4274"/>
      <c r="CG60" s="4274"/>
      <c r="CH60" s="4274"/>
      <c r="CI60" s="4274"/>
      <c r="CJ60" s="4274"/>
      <c r="CK60" s="4274"/>
      <c r="CL60" s="4274"/>
      <c r="CM60" s="4274"/>
      <c r="CN60" s="4274"/>
      <c r="CO60" s="4274"/>
      <c r="CP60" s="4274"/>
      <c r="CQ60" s="4274"/>
      <c r="CR60" s="4274"/>
      <c r="CS60" s="4274"/>
      <c r="CT60" s="4274"/>
      <c r="CU60" s="4274"/>
      <c r="CV60" s="4274"/>
      <c r="CW60" s="4274"/>
      <c r="CX60" s="4274"/>
      <c r="CY60" s="4274"/>
      <c r="CZ60" s="4274"/>
      <c r="DA60" s="4274"/>
      <c r="DB60" s="4274"/>
      <c r="DC60" s="4274"/>
      <c r="DD60" s="4274"/>
      <c r="DE60" s="4274"/>
      <c r="DF60" s="4274"/>
      <c r="DG60" s="4274"/>
      <c r="DH60" s="4274"/>
      <c r="DI60" s="4274"/>
      <c r="DJ60" s="4274"/>
      <c r="DK60" s="4274"/>
      <c r="DL60" s="4274"/>
      <c r="DM60" s="4274"/>
      <c r="DN60" s="4274"/>
      <c r="DO60" s="4274"/>
      <c r="DP60" s="4274"/>
      <c r="DQ60" s="4274"/>
      <c r="DR60" s="4274"/>
      <c r="DS60" s="4274"/>
      <c r="DT60" s="4274"/>
      <c r="DU60" s="4274"/>
      <c r="DV60" s="4274"/>
      <c r="DW60" s="4274"/>
      <c r="DX60" s="4274"/>
      <c r="DY60" s="4274"/>
      <c r="DZ60" s="4274"/>
      <c r="EA60" s="4274"/>
      <c r="EB60" s="4274"/>
      <c r="EC60" s="4274"/>
      <c r="ED60" s="4274"/>
      <c r="EE60" s="4274"/>
      <c r="EF60" s="4274"/>
      <c r="EG60" s="4274"/>
      <c r="EH60" s="4274"/>
      <c r="EI60" s="4274"/>
      <c r="EJ60" s="4274"/>
      <c r="EK60" s="4274"/>
      <c r="EL60" s="4274"/>
      <c r="EM60" s="4274"/>
      <c r="EN60" s="4274"/>
      <c r="EO60" s="4274"/>
      <c r="EP60" s="4274"/>
      <c r="EQ60" s="4274"/>
      <c r="ER60" s="4274"/>
      <c r="ES60" s="4274"/>
      <c r="ET60" s="4274"/>
      <c r="EU60" s="4274"/>
      <c r="EV60" s="4274"/>
      <c r="EW60" s="4274"/>
      <c r="EX60" s="4274"/>
      <c r="EY60" s="4274"/>
      <c r="EZ60" s="4274"/>
      <c r="FA60" s="4274"/>
      <c r="FB60" s="1722"/>
      <c r="FC60" s="1722"/>
      <c r="FE60" s="898"/>
      <c r="FF60" s="898" t="str">
        <f>IF(T60="","",T60)</f>
        <v>Добавить территорию для дифференциации</v>
      </c>
      <c r="FG60" s="898"/>
      <c r="FH60" s="898"/>
      <c r="FI60" s="909">
        <v>1</v>
      </c>
    </row>
    <row s="24435" customFormat="1" customHeight="1" ht="1.05">
      <c r="A61" s="1712"/>
      <c r="B61" s="1712"/>
      <c r="C61" s="1712"/>
      <c r="D61" s="1712"/>
      <c r="E61" s="1741"/>
      <c r="F61" s="1712"/>
      <c r="G61" s="1712"/>
      <c r="H61" s="1712"/>
      <c r="I61" s="1712"/>
      <c r="J61" s="1712"/>
      <c r="K61" s="1712"/>
      <c r="L61" s="1737"/>
      <c r="M61" s="1719"/>
      <c r="N61" s="1719"/>
      <c r="P61" s="1714"/>
      <c r="Q61" s="1715"/>
      <c r="R61" s="1714"/>
      <c r="S61" s="1720"/>
      <c r="T61" s="1723" t="s">
        <v>166</v>
      </c>
      <c r="U61" s="1722"/>
      <c r="V61" s="1722"/>
      <c r="W61" s="1722"/>
      <c r="X61" s="1722"/>
      <c r="Y61" s="1722"/>
      <c r="Z61" s="1722"/>
      <c r="AA61" s="1722"/>
      <c r="AB61" s="1722"/>
      <c r="AC61" s="1722"/>
      <c r="AD61" s="1722"/>
      <c r="AE61" s="1722"/>
      <c r="AF61" s="1722"/>
      <c r="AG61" s="1722"/>
      <c r="AH61" s="1722"/>
      <c r="AI61" s="1722"/>
      <c r="AJ61" s="1722"/>
      <c r="AK61" s="1722"/>
      <c r="AL61" s="4274"/>
      <c r="AM61" s="4274"/>
      <c r="AN61" s="4274"/>
      <c r="AO61" s="4274"/>
      <c r="AP61" s="4274"/>
      <c r="AQ61" s="4274"/>
      <c r="AR61" s="4274"/>
      <c r="AS61" s="4274"/>
      <c r="AT61" s="4274"/>
      <c r="AU61" s="4274"/>
      <c r="AV61" s="4274"/>
      <c r="AW61" s="4274"/>
      <c r="AX61" s="4274"/>
      <c r="AY61" s="4274"/>
      <c r="AZ61" s="4274"/>
      <c r="BA61" s="4274"/>
      <c r="BB61" s="4274"/>
      <c r="BC61" s="4274"/>
      <c r="BD61" s="4274"/>
      <c r="BE61" s="4274"/>
      <c r="BF61" s="4274"/>
      <c r="BG61" s="4274"/>
      <c r="BH61" s="4274"/>
      <c r="BI61" s="4274"/>
      <c r="BJ61" s="4274"/>
      <c r="BK61" s="4274"/>
      <c r="BL61" s="4274"/>
      <c r="BM61" s="4274"/>
      <c r="BN61" s="4274"/>
      <c r="BO61" s="4274"/>
      <c r="BP61" s="4274"/>
      <c r="BQ61" s="4274"/>
      <c r="BR61" s="4274"/>
      <c r="BS61" s="4274"/>
      <c r="BT61" s="4274"/>
      <c r="BU61" s="4274"/>
      <c r="BV61" s="4274"/>
      <c r="BW61" s="4274"/>
      <c r="BX61" s="4274"/>
      <c r="BY61" s="4274"/>
      <c r="BZ61" s="4274"/>
      <c r="CA61" s="4274"/>
      <c r="CB61" s="4274"/>
      <c r="CC61" s="4274"/>
      <c r="CD61" s="4274"/>
      <c r="CE61" s="4274"/>
      <c r="CF61" s="4274"/>
      <c r="CG61" s="4274"/>
      <c r="CH61" s="4274"/>
      <c r="CI61" s="4274"/>
      <c r="CJ61" s="4274"/>
      <c r="CK61" s="4274"/>
      <c r="CL61" s="4274"/>
      <c r="CM61" s="4274"/>
      <c r="CN61" s="4274"/>
      <c r="CO61" s="4274"/>
      <c r="CP61" s="4274"/>
      <c r="CQ61" s="4274"/>
      <c r="CR61" s="4274"/>
      <c r="CS61" s="4274"/>
      <c r="CT61" s="4274"/>
      <c r="CU61" s="4274"/>
      <c r="CV61" s="4274"/>
      <c r="CW61" s="4274"/>
      <c r="CX61" s="4274"/>
      <c r="CY61" s="4274"/>
      <c r="CZ61" s="4274"/>
      <c r="DA61" s="4274"/>
      <c r="DB61" s="4274"/>
      <c r="DC61" s="4274"/>
      <c r="DD61" s="4274"/>
      <c r="DE61" s="4274"/>
      <c r="DF61" s="4274"/>
      <c r="DG61" s="4274"/>
      <c r="DH61" s="4274"/>
      <c r="DI61" s="4274"/>
      <c r="DJ61" s="4274"/>
      <c r="DK61" s="4274"/>
      <c r="DL61" s="4274"/>
      <c r="DM61" s="4274"/>
      <c r="DN61" s="4274"/>
      <c r="DO61" s="4274"/>
      <c r="DP61" s="4274"/>
      <c r="DQ61" s="4274"/>
      <c r="DR61" s="4274"/>
      <c r="DS61" s="4274"/>
      <c r="DT61" s="4274"/>
      <c r="DU61" s="4274"/>
      <c r="DV61" s="4274"/>
      <c r="DW61" s="4274"/>
      <c r="DX61" s="4274"/>
      <c r="DY61" s="4274"/>
      <c r="DZ61" s="4274"/>
      <c r="EA61" s="4274"/>
      <c r="EB61" s="4274"/>
      <c r="EC61" s="4274"/>
      <c r="ED61" s="4274"/>
      <c r="EE61" s="4274"/>
      <c r="EF61" s="4274"/>
      <c r="EG61" s="4274"/>
      <c r="EH61" s="4274"/>
      <c r="EI61" s="4274"/>
      <c r="EJ61" s="4274"/>
      <c r="EK61" s="4274"/>
      <c r="EL61" s="4274"/>
      <c r="EM61" s="4274"/>
      <c r="EN61" s="4274"/>
      <c r="EO61" s="4274"/>
      <c r="EP61" s="4274"/>
      <c r="EQ61" s="4274"/>
      <c r="ER61" s="4274"/>
      <c r="ES61" s="4274"/>
      <c r="ET61" s="4274"/>
      <c r="EU61" s="4274"/>
      <c r="EV61" s="4274"/>
      <c r="EW61" s="4274"/>
      <c r="EX61" s="4274"/>
      <c r="EY61" s="4274"/>
      <c r="EZ61" s="4274"/>
      <c r="FA61" s="4274"/>
      <c r="FB61" s="1722"/>
      <c r="FC61" s="1722"/>
      <c r="FE61" s="1187"/>
      <c r="FF61" s="1187" t="str">
        <f>IF(T61="","",T61)</f>
        <v>Добавить наименование тарифа</v>
      </c>
      <c r="FG61" s="1187"/>
      <c r="FH61" s="1187"/>
      <c r="FI61" s="916">
        <v>1</v>
      </c>
    </row>
    <row customHeight="1" ht="11.549999999999999">
      <c r="M62" s="1558"/>
      <c r="N62" s="1558"/>
      <c r="O62" s="935"/>
      <c r="P62" s="1553"/>
      <c r="Q62" s="1553"/>
      <c r="R62" s="1553"/>
      <c r="S62" s="1553"/>
      <c r="AL62" s="3835"/>
      <c r="AM62" s="3835"/>
      <c r="AN62" s="3835"/>
      <c r="AO62" s="3835"/>
      <c r="AP62" s="3835"/>
      <c r="AQ62" s="3835"/>
      <c r="AR62" s="3835"/>
      <c r="AS62" s="3835"/>
      <c r="AT62" s="3835"/>
      <c r="AU62" s="3835"/>
      <c r="AV62" s="3835"/>
      <c r="AW62" s="3835"/>
      <c r="AX62" s="3835"/>
      <c r="AY62" s="3835"/>
      <c r="AZ62" s="3835"/>
      <c r="BA62" s="3835"/>
      <c r="BB62" s="3835"/>
      <c r="BC62" s="3835"/>
      <c r="BD62" s="3835"/>
      <c r="BE62" s="3835"/>
      <c r="BF62" s="3835"/>
      <c r="BG62" s="3835"/>
      <c r="BH62" s="3835"/>
      <c r="BI62" s="3835"/>
      <c r="BJ62" s="3835"/>
      <c r="BK62" s="3835"/>
      <c r="BL62" s="3835"/>
      <c r="BM62" s="3835"/>
      <c r="BN62" s="3835"/>
      <c r="BO62" s="3835"/>
      <c r="BP62" s="3835"/>
      <c r="BQ62" s="3835"/>
      <c r="BR62" s="3835"/>
      <c r="BS62" s="3835"/>
      <c r="BT62" s="3835"/>
      <c r="BU62" s="3835"/>
      <c r="BV62" s="3835"/>
      <c r="BW62" s="3835"/>
      <c r="BX62" s="3835"/>
      <c r="BY62" s="3835"/>
      <c r="BZ62" s="3835"/>
      <c r="CA62" s="3835"/>
      <c r="CB62" s="3835"/>
      <c r="CC62" s="3835"/>
      <c r="CD62" s="3835"/>
      <c r="CE62" s="3835"/>
      <c r="CF62" s="3835"/>
      <c r="CG62" s="3835"/>
      <c r="CH62" s="3835"/>
      <c r="CI62" s="3835"/>
      <c r="CJ62" s="3835"/>
      <c r="CK62" s="3835"/>
      <c r="CL62" s="3835"/>
      <c r="CM62" s="3835"/>
      <c r="CN62" s="3835"/>
      <c r="CO62" s="3835"/>
      <c r="CP62" s="3835"/>
      <c r="CQ62" s="3835"/>
      <c r="CR62" s="3835"/>
      <c r="CS62" s="3835"/>
      <c r="CT62" s="3835"/>
      <c r="CU62" s="3835"/>
      <c r="CV62" s="3835"/>
      <c r="CW62" s="3835"/>
      <c r="CX62" s="3835"/>
      <c r="CY62" s="3835"/>
      <c r="CZ62" s="3835"/>
      <c r="DA62" s="3835"/>
      <c r="DB62" s="3835"/>
      <c r="DC62" s="3835"/>
      <c r="DD62" s="3835"/>
      <c r="DE62" s="3835"/>
      <c r="DF62" s="3835"/>
      <c r="DG62" s="3835"/>
      <c r="DH62" s="3835"/>
      <c r="DI62" s="3835"/>
      <c r="DJ62" s="3835"/>
      <c r="DK62" s="3835"/>
      <c r="DL62" s="3835"/>
      <c r="DM62" s="3835"/>
      <c r="DN62" s="3835"/>
      <c r="DO62" s="3835"/>
      <c r="DP62" s="3835"/>
      <c r="DQ62" s="3835"/>
      <c r="DR62" s="3835"/>
      <c r="DS62" s="3835"/>
      <c r="DT62" s="3835"/>
      <c r="DU62" s="3835"/>
      <c r="DV62" s="3835"/>
      <c r="DW62" s="3835"/>
      <c r="DX62" s="3835"/>
      <c r="DY62" s="3835"/>
      <c r="DZ62" s="3835"/>
      <c r="EA62" s="3835"/>
      <c r="EB62" s="3835"/>
      <c r="EC62" s="3835"/>
      <c r="ED62" s="3835"/>
      <c r="EE62" s="3835"/>
      <c r="EF62" s="3835"/>
      <c r="EG62" s="3835"/>
      <c r="EH62" s="3835"/>
      <c r="EI62" s="3835"/>
      <c r="EJ62" s="3835"/>
      <c r="EK62" s="3835"/>
      <c r="EL62" s="3835"/>
      <c r="EM62" s="3835"/>
      <c r="EN62" s="3835"/>
      <c r="EO62" s="3835"/>
      <c r="EP62" s="3835"/>
      <c r="EQ62" s="3835"/>
      <c r="ER62" s="3835"/>
      <c r="ES62" s="3835"/>
      <c r="ET62" s="3835"/>
      <c r="EU62" s="3835"/>
      <c r="EV62" s="3835"/>
      <c r="EW62" s="3835"/>
      <c r="EX62" s="3835"/>
      <c r="EY62" s="3835"/>
      <c r="EZ62" s="3835"/>
      <c r="FA62" s="3835"/>
      <c r="FD62" s="1553"/>
      <c r="FE62" s="1553"/>
      <c r="FF62" s="1553"/>
      <c r="FG62" s="1553"/>
      <c r="FH62" s="1553"/>
      <c r="FI62" s="1553">
        <v>11</v>
      </c>
    </row>
    <row customHeight="1" ht="28.5">
      <c r="O63" s="935"/>
      <c r="S63" s="1651"/>
      <c r="T63" s="2683"/>
      <c r="U63" s="2683"/>
      <c r="V63" s="2683"/>
      <c r="W63" s="2683"/>
      <c r="X63" s="2683"/>
      <c r="Y63" s="2683"/>
      <c r="Z63" s="2683"/>
      <c r="AA63" s="2683"/>
      <c r="AB63" s="2683"/>
      <c r="AC63" s="2683"/>
      <c r="AD63" s="2683"/>
      <c r="AE63" s="2683"/>
      <c r="AF63" s="2683"/>
      <c r="AG63" s="2683"/>
      <c r="AH63" s="2683"/>
      <c r="AI63" s="2683"/>
      <c r="AJ63" s="2683"/>
      <c r="AK63" s="2683"/>
      <c r="AL63" s="4746"/>
      <c r="AM63" s="4746"/>
      <c r="AN63" s="4746"/>
      <c r="AO63" s="4746"/>
      <c r="AP63" s="4746"/>
      <c r="AQ63" s="4746"/>
      <c r="AR63" s="4746"/>
      <c r="AS63" s="4746"/>
      <c r="AT63" s="4746"/>
      <c r="AU63" s="4746"/>
      <c r="AV63" s="4746"/>
      <c r="AW63" s="4746"/>
      <c r="AX63" s="4746"/>
      <c r="AY63" s="4746"/>
      <c r="AZ63" s="4746"/>
      <c r="BA63" s="4746"/>
      <c r="BB63" s="4746"/>
      <c r="BC63" s="4746"/>
      <c r="BD63" s="4746"/>
      <c r="BE63" s="4746"/>
      <c r="BF63" s="4746"/>
      <c r="BG63" s="4746"/>
      <c r="BH63" s="4746"/>
      <c r="BI63" s="4746"/>
      <c r="BJ63" s="4746"/>
      <c r="BK63" s="4746"/>
      <c r="BL63" s="4746"/>
      <c r="BM63" s="4746"/>
      <c r="BN63" s="4746"/>
      <c r="BO63" s="4746"/>
      <c r="BP63" s="4746"/>
      <c r="BQ63" s="4746"/>
      <c r="BR63" s="4746"/>
      <c r="BS63" s="4746"/>
      <c r="BT63" s="4746"/>
      <c r="BU63" s="4746"/>
      <c r="BV63" s="4746"/>
      <c r="BW63" s="4746"/>
      <c r="BX63" s="4746"/>
      <c r="BY63" s="4746"/>
      <c r="BZ63" s="4746"/>
      <c r="CA63" s="4746"/>
      <c r="CB63" s="4746"/>
      <c r="CC63" s="4746"/>
      <c r="CD63" s="4746"/>
      <c r="CE63" s="4746"/>
      <c r="CF63" s="4746"/>
      <c r="CG63" s="4746"/>
      <c r="CH63" s="4746"/>
      <c r="CI63" s="4746"/>
      <c r="CJ63" s="4746"/>
      <c r="CK63" s="4746"/>
      <c r="CL63" s="4746"/>
      <c r="CM63" s="4746"/>
      <c r="CN63" s="4746"/>
      <c r="CO63" s="4746"/>
      <c r="CP63" s="4746"/>
      <c r="CQ63" s="4746"/>
      <c r="CR63" s="4746"/>
      <c r="CS63" s="4746"/>
      <c r="CT63" s="4746"/>
      <c r="CU63" s="4746"/>
      <c r="CV63" s="4746"/>
      <c r="CW63" s="4746"/>
      <c r="CX63" s="4746"/>
      <c r="CY63" s="4746"/>
      <c r="CZ63" s="4746"/>
      <c r="DA63" s="4746"/>
      <c r="DB63" s="4746"/>
      <c r="DC63" s="4746"/>
      <c r="DD63" s="4746"/>
      <c r="DE63" s="4746"/>
      <c r="DF63" s="4746"/>
      <c r="DG63" s="4746"/>
      <c r="DH63" s="4746"/>
      <c r="DI63" s="4746"/>
      <c r="DJ63" s="4746"/>
      <c r="DK63" s="4746"/>
      <c r="DL63" s="4746"/>
      <c r="DM63" s="4746"/>
      <c r="DN63" s="4746"/>
      <c r="DO63" s="4746"/>
      <c r="DP63" s="4746"/>
      <c r="DQ63" s="4746"/>
      <c r="DR63" s="4746"/>
      <c r="DS63" s="4746"/>
      <c r="DT63" s="4746"/>
      <c r="DU63" s="4746"/>
      <c r="DV63" s="4746"/>
      <c r="DW63" s="4746"/>
      <c r="DX63" s="4746"/>
      <c r="DY63" s="4746"/>
      <c r="DZ63" s="4746"/>
      <c r="EA63" s="4746"/>
      <c r="EB63" s="4746"/>
      <c r="EC63" s="4746"/>
      <c r="ED63" s="4746"/>
      <c r="EE63" s="4746"/>
      <c r="EF63" s="4746"/>
      <c r="EG63" s="4746"/>
      <c r="EH63" s="4746"/>
      <c r="EI63" s="4746"/>
      <c r="EJ63" s="4746"/>
      <c r="EK63" s="4746"/>
      <c r="EL63" s="4746"/>
      <c r="EM63" s="4746"/>
      <c r="EN63" s="4746"/>
      <c r="EO63" s="4746"/>
      <c r="EP63" s="4746"/>
      <c r="EQ63" s="4746"/>
      <c r="ER63" s="4746"/>
      <c r="ES63" s="4746"/>
      <c r="ET63" s="4746"/>
      <c r="EU63" s="4746"/>
      <c r="EV63" s="4746"/>
      <c r="EW63" s="4746"/>
      <c r="EX63" s="4746"/>
      <c r="EY63" s="4746"/>
      <c r="EZ63" s="4746"/>
      <c r="FA63" s="4746"/>
      <c r="FB63" s="2683"/>
      <c r="FC63" s="2683"/>
      <c r="FI63" s="1553">
        <v>27</v>
      </c>
    </row>
    <row customHeight="1" ht="67.2">
      <c r="O64" s="935"/>
      <c r="P64" s="1701"/>
      <c r="T64" s="2683"/>
      <c r="U64" s="2683"/>
      <c r="V64" s="2683"/>
      <c r="W64" s="2683"/>
      <c r="X64" s="2683"/>
      <c r="Y64" s="2683"/>
      <c r="Z64" s="2683"/>
      <c r="AA64" s="2683"/>
      <c r="AB64" s="2683"/>
      <c r="AC64" s="2683"/>
      <c r="AD64" s="2683"/>
      <c r="AE64" s="2683"/>
      <c r="AF64" s="2683"/>
      <c r="AG64" s="2683"/>
      <c r="AH64" s="2683"/>
      <c r="AI64" s="2683"/>
      <c r="AJ64" s="2683"/>
      <c r="AK64" s="2683"/>
      <c r="AL64" s="4746"/>
      <c r="AM64" s="4746"/>
      <c r="AN64" s="4746"/>
      <c r="AO64" s="4746"/>
      <c r="AP64" s="4746"/>
      <c r="AQ64" s="4746"/>
      <c r="AR64" s="4746"/>
      <c r="AS64" s="4746"/>
      <c r="AT64" s="4746"/>
      <c r="AU64" s="4746"/>
      <c r="AV64" s="4746"/>
      <c r="AW64" s="4746"/>
      <c r="AX64" s="4746"/>
      <c r="AY64" s="4746"/>
      <c r="AZ64" s="4746"/>
      <c r="BA64" s="4746"/>
      <c r="BB64" s="4746"/>
      <c r="BC64" s="4746"/>
      <c r="BD64" s="4746"/>
      <c r="BE64" s="4746"/>
      <c r="BF64" s="4746"/>
      <c r="BG64" s="4746"/>
      <c r="BH64" s="4746"/>
      <c r="BI64" s="4746"/>
      <c r="BJ64" s="4746"/>
      <c r="BK64" s="4746"/>
      <c r="BL64" s="4746"/>
      <c r="BM64" s="4746"/>
      <c r="BN64" s="4746"/>
      <c r="BO64" s="4746"/>
      <c r="BP64" s="4746"/>
      <c r="BQ64" s="4746"/>
      <c r="BR64" s="4746"/>
      <c r="BS64" s="4746"/>
      <c r="BT64" s="4746"/>
      <c r="BU64" s="4746"/>
      <c r="BV64" s="4746"/>
      <c r="BW64" s="4746"/>
      <c r="BX64" s="4746"/>
      <c r="BY64" s="4746"/>
      <c r="BZ64" s="4746"/>
      <c r="CA64" s="4746"/>
      <c r="CB64" s="4746"/>
      <c r="CC64" s="4746"/>
      <c r="CD64" s="4746"/>
      <c r="CE64" s="4746"/>
      <c r="CF64" s="4746"/>
      <c r="CG64" s="4746"/>
      <c r="CH64" s="4746"/>
      <c r="CI64" s="4746"/>
      <c r="CJ64" s="4746"/>
      <c r="CK64" s="4746"/>
      <c r="CL64" s="4746"/>
      <c r="CM64" s="4746"/>
      <c r="CN64" s="4746"/>
      <c r="CO64" s="4746"/>
      <c r="CP64" s="4746"/>
      <c r="CQ64" s="4746"/>
      <c r="CR64" s="4746"/>
      <c r="CS64" s="4746"/>
      <c r="CT64" s="4746"/>
      <c r="CU64" s="4746"/>
      <c r="CV64" s="4746"/>
      <c r="CW64" s="4746"/>
      <c r="CX64" s="4746"/>
      <c r="CY64" s="4746"/>
      <c r="CZ64" s="4746"/>
      <c r="DA64" s="4746"/>
      <c r="DB64" s="4746"/>
      <c r="DC64" s="4746"/>
      <c r="DD64" s="4746"/>
      <c r="DE64" s="4746"/>
      <c r="DF64" s="4746"/>
      <c r="DG64" s="4746"/>
      <c r="DH64" s="4746"/>
      <c r="DI64" s="4746"/>
      <c r="DJ64" s="4746"/>
      <c r="DK64" s="4746"/>
      <c r="DL64" s="4746"/>
      <c r="DM64" s="4746"/>
      <c r="DN64" s="4746"/>
      <c r="DO64" s="4746"/>
      <c r="DP64" s="4746"/>
      <c r="DQ64" s="4746"/>
      <c r="DR64" s="4746"/>
      <c r="DS64" s="4746"/>
      <c r="DT64" s="4746"/>
      <c r="DU64" s="4746"/>
      <c r="DV64" s="4746"/>
      <c r="DW64" s="4746"/>
      <c r="DX64" s="4746"/>
      <c r="DY64" s="4746"/>
      <c r="DZ64" s="4746"/>
      <c r="EA64" s="4746"/>
      <c r="EB64" s="4746"/>
      <c r="EC64" s="4746"/>
      <c r="ED64" s="4746"/>
      <c r="EE64" s="4746"/>
      <c r="EF64" s="4746"/>
      <c r="EG64" s="4746"/>
      <c r="EH64" s="4746"/>
      <c r="EI64" s="4746"/>
      <c r="EJ64" s="4746"/>
      <c r="EK64" s="4746"/>
      <c r="EL64" s="4746"/>
      <c r="EM64" s="4746"/>
      <c r="EN64" s="4746"/>
      <c r="EO64" s="4746"/>
      <c r="EP64" s="4746"/>
      <c r="EQ64" s="4746"/>
      <c r="ER64" s="4746"/>
      <c r="ES64" s="4746"/>
      <c r="ET64" s="4746"/>
      <c r="EU64" s="4746"/>
      <c r="EV64" s="4746"/>
      <c r="EW64" s="4746"/>
      <c r="EX64" s="4746"/>
      <c r="EY64" s="4746"/>
      <c r="EZ64" s="4746"/>
      <c r="FA64" s="4746"/>
      <c r="FB64" s="2683"/>
      <c r="FC64" s="2683"/>
      <c r="FI64" s="1553">
        <v>64</v>
      </c>
    </row>
    <row customHeight="1" ht="14.699999999999998">
      <c r="O65" s="935"/>
      <c r="AL65" s="3835"/>
      <c r="AM65" s="3835"/>
      <c r="AN65" s="3835"/>
      <c r="AO65" s="3835"/>
      <c r="AP65" s="3835"/>
      <c r="AQ65" s="3835"/>
      <c r="AR65" s="3835"/>
      <c r="AS65" s="3835"/>
      <c r="AT65" s="3835"/>
      <c r="AU65" s="3835"/>
      <c r="AV65" s="3835"/>
      <c r="AW65" s="3835"/>
      <c r="AX65" s="3835"/>
      <c r="AY65" s="3835"/>
      <c r="AZ65" s="3835"/>
      <c r="BA65" s="3835"/>
      <c r="BB65" s="3835"/>
      <c r="BC65" s="3835"/>
      <c r="BD65" s="3835"/>
      <c r="BE65" s="3835"/>
      <c r="BF65" s="3835"/>
      <c r="BG65" s="3835"/>
      <c r="BH65" s="3835"/>
      <c r="BI65" s="3835"/>
      <c r="BJ65" s="3835"/>
      <c r="BK65" s="3835"/>
      <c r="BL65" s="3835"/>
      <c r="BM65" s="3835"/>
      <c r="BN65" s="3835"/>
      <c r="BO65" s="3835"/>
      <c r="BP65" s="3835"/>
      <c r="BQ65" s="3835"/>
      <c r="BR65" s="3835"/>
      <c r="BS65" s="3835"/>
      <c r="BT65" s="3835"/>
      <c r="BU65" s="3835"/>
      <c r="BV65" s="3835"/>
      <c r="BW65" s="3835"/>
      <c r="BX65" s="3835"/>
      <c r="BY65" s="3835"/>
      <c r="BZ65" s="3835"/>
      <c r="CA65" s="3835"/>
      <c r="CB65" s="3835"/>
      <c r="CC65" s="3835"/>
      <c r="CD65" s="3835"/>
      <c r="CE65" s="3835"/>
      <c r="CF65" s="3835"/>
      <c r="CG65" s="3835"/>
      <c r="CH65" s="3835"/>
      <c r="CI65" s="3835"/>
      <c r="CJ65" s="3835"/>
      <c r="CK65" s="3835"/>
      <c r="CL65" s="3835"/>
      <c r="CM65" s="3835"/>
      <c r="CN65" s="3835"/>
      <c r="CO65" s="3835"/>
      <c r="CP65" s="3835"/>
      <c r="CQ65" s="3835"/>
      <c r="CR65" s="3835"/>
      <c r="CS65" s="3835"/>
      <c r="CT65" s="3835"/>
      <c r="CU65" s="3835"/>
      <c r="CV65" s="3835"/>
      <c r="CW65" s="3835"/>
      <c r="CX65" s="3835"/>
      <c r="CY65" s="3835"/>
      <c r="CZ65" s="3835"/>
      <c r="DA65" s="3835"/>
      <c r="DB65" s="3835"/>
      <c r="DC65" s="3835"/>
      <c r="DD65" s="3835"/>
      <c r="DE65" s="3835"/>
      <c r="DF65" s="3835"/>
      <c r="DG65" s="3835"/>
      <c r="DH65" s="3835"/>
      <c r="DI65" s="3835"/>
      <c r="DJ65" s="3835"/>
      <c r="DK65" s="3835"/>
      <c r="DL65" s="3835"/>
      <c r="DM65" s="3835"/>
      <c r="DN65" s="3835"/>
      <c r="DO65" s="3835"/>
      <c r="DP65" s="3835"/>
      <c r="DQ65" s="3835"/>
      <c r="DR65" s="3835"/>
      <c r="DS65" s="3835"/>
      <c r="DT65" s="3835"/>
      <c r="DU65" s="3835"/>
      <c r="DV65" s="3835"/>
      <c r="DW65" s="3835"/>
      <c r="DX65" s="3835"/>
      <c r="DY65" s="3835"/>
      <c r="DZ65" s="3835"/>
      <c r="EA65" s="3835"/>
      <c r="EB65" s="3835"/>
      <c r="EC65" s="3835"/>
      <c r="ED65" s="3835"/>
      <c r="EE65" s="3835"/>
      <c r="EF65" s="3835"/>
      <c r="EG65" s="3835"/>
      <c r="EH65" s="3835"/>
      <c r="EI65" s="3835"/>
      <c r="EJ65" s="3835"/>
      <c r="EK65" s="3835"/>
      <c r="EL65" s="3835"/>
      <c r="EM65" s="3835"/>
      <c r="EN65" s="3835"/>
      <c r="EO65" s="3835"/>
      <c r="EP65" s="3835"/>
      <c r="EQ65" s="3835"/>
      <c r="ER65" s="3835"/>
      <c r="ES65" s="3835"/>
      <c r="ET65" s="3835"/>
      <c r="EU65" s="3835"/>
      <c r="EV65" s="3835"/>
      <c r="EW65" s="3835"/>
      <c r="EX65" s="3835"/>
      <c r="EY65" s="3835"/>
      <c r="EZ65" s="3835"/>
      <c r="FA65" s="3835"/>
      <c r="FI65" s="1553">
        <v>14</v>
      </c>
    </row>
    <row customHeight="1" ht="18.75">
      <c r="O66" s="935"/>
      <c r="P66" s="1726"/>
      <c r="S66" s="1651"/>
      <c r="T66" s="2683"/>
      <c r="U66" s="2683"/>
      <c r="V66" s="2683"/>
      <c r="W66" s="2683"/>
      <c r="X66" s="2683"/>
      <c r="Y66" s="2683"/>
      <c r="Z66" s="2683"/>
      <c r="AA66" s="2683"/>
      <c r="AB66" s="2683"/>
      <c r="AC66" s="2683"/>
      <c r="AD66" s="2683"/>
      <c r="AE66" s="2683"/>
      <c r="AF66" s="2683"/>
      <c r="AG66" s="2683"/>
      <c r="AH66" s="2683"/>
      <c r="AI66" s="2683"/>
      <c r="AJ66" s="2683"/>
      <c r="AK66" s="2683"/>
      <c r="AL66" s="4746"/>
      <c r="AM66" s="4746"/>
      <c r="AN66" s="4746"/>
      <c r="AO66" s="4746"/>
      <c r="AP66" s="4746"/>
      <c r="AQ66" s="4746"/>
      <c r="AR66" s="4746"/>
      <c r="AS66" s="4746"/>
      <c r="AT66" s="4746"/>
      <c r="AU66" s="4746"/>
      <c r="AV66" s="4746"/>
      <c r="AW66" s="4746"/>
      <c r="AX66" s="4746"/>
      <c r="AY66" s="4746"/>
      <c r="AZ66" s="4746"/>
      <c r="BA66" s="4746"/>
      <c r="BB66" s="4746"/>
      <c r="BC66" s="4746"/>
      <c r="BD66" s="4746"/>
      <c r="BE66" s="4746"/>
      <c r="BF66" s="4746"/>
      <c r="BG66" s="4746"/>
      <c r="BH66" s="4746"/>
      <c r="BI66" s="4746"/>
      <c r="BJ66" s="4746"/>
      <c r="BK66" s="4746"/>
      <c r="BL66" s="4746"/>
      <c r="BM66" s="4746"/>
      <c r="BN66" s="4746"/>
      <c r="BO66" s="4746"/>
      <c r="BP66" s="4746"/>
      <c r="BQ66" s="4746"/>
      <c r="BR66" s="4746"/>
      <c r="BS66" s="4746"/>
      <c r="BT66" s="4746"/>
      <c r="BU66" s="4746"/>
      <c r="BV66" s="4746"/>
      <c r="BW66" s="4746"/>
      <c r="BX66" s="4746"/>
      <c r="BY66" s="4746"/>
      <c r="BZ66" s="4746"/>
      <c r="CA66" s="4746"/>
      <c r="CB66" s="4746"/>
      <c r="CC66" s="4746"/>
      <c r="CD66" s="4746"/>
      <c r="CE66" s="4746"/>
      <c r="CF66" s="4746"/>
      <c r="CG66" s="4746"/>
      <c r="CH66" s="4746"/>
      <c r="CI66" s="4746"/>
      <c r="CJ66" s="4746"/>
      <c r="CK66" s="4746"/>
      <c r="CL66" s="4746"/>
      <c r="CM66" s="4746"/>
      <c r="CN66" s="4746"/>
      <c r="CO66" s="4746"/>
      <c r="CP66" s="4746"/>
      <c r="CQ66" s="4746"/>
      <c r="CR66" s="4746"/>
      <c r="CS66" s="4746"/>
      <c r="CT66" s="4746"/>
      <c r="CU66" s="4746"/>
      <c r="CV66" s="4746"/>
      <c r="CW66" s="4746"/>
      <c r="CX66" s="4746"/>
      <c r="CY66" s="4746"/>
      <c r="CZ66" s="4746"/>
      <c r="DA66" s="4746"/>
      <c r="DB66" s="4746"/>
      <c r="DC66" s="4746"/>
      <c r="DD66" s="4746"/>
      <c r="DE66" s="4746"/>
      <c r="DF66" s="4746"/>
      <c r="DG66" s="4746"/>
      <c r="DH66" s="4746"/>
      <c r="DI66" s="4746"/>
      <c r="DJ66" s="4746"/>
      <c r="DK66" s="4746"/>
      <c r="DL66" s="4746"/>
      <c r="DM66" s="4746"/>
      <c r="DN66" s="4746"/>
      <c r="DO66" s="4746"/>
      <c r="DP66" s="4746"/>
      <c r="DQ66" s="4746"/>
      <c r="DR66" s="4746"/>
      <c r="DS66" s="4746"/>
      <c r="DT66" s="4746"/>
      <c r="DU66" s="4746"/>
      <c r="DV66" s="4746"/>
      <c r="DW66" s="4746"/>
      <c r="DX66" s="4746"/>
      <c r="DY66" s="4746"/>
      <c r="DZ66" s="4746"/>
      <c r="EA66" s="4746"/>
      <c r="EB66" s="4746"/>
      <c r="EC66" s="4746"/>
      <c r="ED66" s="4746"/>
      <c r="EE66" s="4746"/>
      <c r="EF66" s="4746"/>
      <c r="EG66" s="4746"/>
      <c r="EH66" s="4746"/>
      <c r="EI66" s="4746"/>
      <c r="EJ66" s="4746"/>
      <c r="EK66" s="4746"/>
      <c r="EL66" s="4746"/>
      <c r="EM66" s="4746"/>
      <c r="EN66" s="4746"/>
      <c r="EO66" s="4746"/>
      <c r="EP66" s="4746"/>
      <c r="EQ66" s="4746"/>
      <c r="ER66" s="4746"/>
      <c r="ES66" s="4746"/>
      <c r="ET66" s="4746"/>
      <c r="EU66" s="4746"/>
      <c r="EV66" s="4746"/>
      <c r="EW66" s="4746"/>
      <c r="EX66" s="4746"/>
      <c r="EY66" s="4746"/>
      <c r="EZ66" s="4746"/>
      <c r="FA66" s="4746"/>
      <c r="FB66" s="2683"/>
      <c r="FC66" s="2683"/>
      <c r="FI66" s="1553">
        <v>18</v>
      </c>
    </row>
    <row customHeight="1" ht="18.75">
      <c r="O67" s="935"/>
      <c r="P67" s="1726"/>
      <c r="T67" s="2683"/>
      <c r="U67" s="2683"/>
      <c r="V67" s="2683"/>
      <c r="W67" s="2683"/>
      <c r="X67" s="2683"/>
      <c r="Y67" s="2683"/>
      <c r="Z67" s="2683"/>
      <c r="AA67" s="2683"/>
      <c r="AB67" s="2683"/>
      <c r="AC67" s="2683"/>
      <c r="AD67" s="2683"/>
      <c r="AE67" s="2683"/>
      <c r="AF67" s="2683"/>
      <c r="AG67" s="2683"/>
      <c r="AH67" s="2683"/>
      <c r="AI67" s="2683"/>
      <c r="AJ67" s="2683"/>
      <c r="AK67" s="2683"/>
      <c r="AL67" s="4746"/>
      <c r="AM67" s="4746"/>
      <c r="AN67" s="4746"/>
      <c r="AO67" s="4746"/>
      <c r="AP67" s="4746"/>
      <c r="AQ67" s="4746"/>
      <c r="AR67" s="4746"/>
      <c r="AS67" s="4746"/>
      <c r="AT67" s="4746"/>
      <c r="AU67" s="4746"/>
      <c r="AV67" s="4746"/>
      <c r="AW67" s="4746"/>
      <c r="AX67" s="4746"/>
      <c r="AY67" s="4746"/>
      <c r="AZ67" s="4746"/>
      <c r="BA67" s="4746"/>
      <c r="BB67" s="4746"/>
      <c r="BC67" s="4746"/>
      <c r="BD67" s="4746"/>
      <c r="BE67" s="4746"/>
      <c r="BF67" s="4746"/>
      <c r="BG67" s="4746"/>
      <c r="BH67" s="4746"/>
      <c r="BI67" s="4746"/>
      <c r="BJ67" s="4746"/>
      <c r="BK67" s="4746"/>
      <c r="BL67" s="4746"/>
      <c r="BM67" s="4746"/>
      <c r="BN67" s="4746"/>
      <c r="BO67" s="4746"/>
      <c r="BP67" s="4746"/>
      <c r="BQ67" s="4746"/>
      <c r="BR67" s="4746"/>
      <c r="BS67" s="4746"/>
      <c r="BT67" s="4746"/>
      <c r="BU67" s="4746"/>
      <c r="BV67" s="4746"/>
      <c r="BW67" s="4746"/>
      <c r="BX67" s="4746"/>
      <c r="BY67" s="4746"/>
      <c r="BZ67" s="4746"/>
      <c r="CA67" s="4746"/>
      <c r="CB67" s="4746"/>
      <c r="CC67" s="4746"/>
      <c r="CD67" s="4746"/>
      <c r="CE67" s="4746"/>
      <c r="CF67" s="4746"/>
      <c r="CG67" s="4746"/>
      <c r="CH67" s="4746"/>
      <c r="CI67" s="4746"/>
      <c r="CJ67" s="4746"/>
      <c r="CK67" s="4746"/>
      <c r="CL67" s="4746"/>
      <c r="CM67" s="4746"/>
      <c r="CN67" s="4746"/>
      <c r="CO67" s="4746"/>
      <c r="CP67" s="4746"/>
      <c r="CQ67" s="4746"/>
      <c r="CR67" s="4746"/>
      <c r="CS67" s="4746"/>
      <c r="CT67" s="4746"/>
      <c r="CU67" s="4746"/>
      <c r="CV67" s="4746"/>
      <c r="CW67" s="4746"/>
      <c r="CX67" s="4746"/>
      <c r="CY67" s="4746"/>
      <c r="CZ67" s="4746"/>
      <c r="DA67" s="4746"/>
      <c r="DB67" s="4746"/>
      <c r="DC67" s="4746"/>
      <c r="DD67" s="4746"/>
      <c r="DE67" s="4746"/>
      <c r="DF67" s="4746"/>
      <c r="DG67" s="4746"/>
      <c r="DH67" s="4746"/>
      <c r="DI67" s="4746"/>
      <c r="DJ67" s="4746"/>
      <c r="DK67" s="4746"/>
      <c r="DL67" s="4746"/>
      <c r="DM67" s="4746"/>
      <c r="DN67" s="4746"/>
      <c r="DO67" s="4746"/>
      <c r="DP67" s="4746"/>
      <c r="DQ67" s="4746"/>
      <c r="DR67" s="4746"/>
      <c r="DS67" s="4746"/>
      <c r="DT67" s="4746"/>
      <c r="DU67" s="4746"/>
      <c r="DV67" s="4746"/>
      <c r="DW67" s="4746"/>
      <c r="DX67" s="4746"/>
      <c r="DY67" s="4746"/>
      <c r="DZ67" s="4746"/>
      <c r="EA67" s="4746"/>
      <c r="EB67" s="4746"/>
      <c r="EC67" s="4746"/>
      <c r="ED67" s="4746"/>
      <c r="EE67" s="4746"/>
      <c r="EF67" s="4746"/>
      <c r="EG67" s="4746"/>
      <c r="EH67" s="4746"/>
      <c r="EI67" s="4746"/>
      <c r="EJ67" s="4746"/>
      <c r="EK67" s="4746"/>
      <c r="EL67" s="4746"/>
      <c r="EM67" s="4746"/>
      <c r="EN67" s="4746"/>
      <c r="EO67" s="4746"/>
      <c r="EP67" s="4746"/>
      <c r="EQ67" s="4746"/>
      <c r="ER67" s="4746"/>
      <c r="ES67" s="4746"/>
      <c r="ET67" s="4746"/>
      <c r="EU67" s="4746"/>
      <c r="EV67" s="4746"/>
      <c r="EW67" s="4746"/>
      <c r="EX67" s="4746"/>
      <c r="EY67" s="4746"/>
      <c r="EZ67" s="4746"/>
      <c r="FA67" s="4746"/>
      <c r="FB67" s="2683"/>
      <c r="FC67" s="2683"/>
      <c r="FI67" s="1553">
        <v>18</v>
      </c>
    </row>
    <row customHeight="1" ht="29.25">
      <c r="O68" s="935"/>
      <c r="P68" s="1726"/>
      <c r="S68" s="1651"/>
      <c r="T68" s="2683"/>
      <c r="U68" s="2683"/>
      <c r="V68" s="2683"/>
      <c r="W68" s="2683"/>
      <c r="X68" s="2683"/>
      <c r="Y68" s="2683"/>
      <c r="Z68" s="2683"/>
      <c r="AA68" s="2683"/>
      <c r="AB68" s="2683"/>
      <c r="AC68" s="2683"/>
      <c r="AD68" s="2683"/>
      <c r="AE68" s="2683"/>
      <c r="AF68" s="2683"/>
      <c r="AG68" s="2683"/>
      <c r="AH68" s="2683"/>
      <c r="AI68" s="2683"/>
      <c r="AJ68" s="2683"/>
      <c r="AK68" s="2683"/>
      <c r="AL68" s="4746"/>
      <c r="AM68" s="4746"/>
      <c r="AN68" s="4746"/>
      <c r="AO68" s="4746"/>
      <c r="AP68" s="4746"/>
      <c r="AQ68" s="4746"/>
      <c r="AR68" s="4746"/>
      <c r="AS68" s="4746"/>
      <c r="AT68" s="4746"/>
      <c r="AU68" s="4746"/>
      <c r="AV68" s="4746"/>
      <c r="AW68" s="4746"/>
      <c r="AX68" s="4746"/>
      <c r="AY68" s="4746"/>
      <c r="AZ68" s="4746"/>
      <c r="BA68" s="4746"/>
      <c r="BB68" s="4746"/>
      <c r="BC68" s="4746"/>
      <c r="BD68" s="4746"/>
      <c r="BE68" s="4746"/>
      <c r="BF68" s="4746"/>
      <c r="BG68" s="4746"/>
      <c r="BH68" s="4746"/>
      <c r="BI68" s="4746"/>
      <c r="BJ68" s="4746"/>
      <c r="BK68" s="4746"/>
      <c r="BL68" s="4746"/>
      <c r="BM68" s="4746"/>
      <c r="BN68" s="4746"/>
      <c r="BO68" s="4746"/>
      <c r="BP68" s="4746"/>
      <c r="BQ68" s="4746"/>
      <c r="BR68" s="4746"/>
      <c r="BS68" s="4746"/>
      <c r="BT68" s="4746"/>
      <c r="BU68" s="4746"/>
      <c r="BV68" s="4746"/>
      <c r="BW68" s="4746"/>
      <c r="BX68" s="4746"/>
      <c r="BY68" s="4746"/>
      <c r="BZ68" s="4746"/>
      <c r="CA68" s="4746"/>
      <c r="CB68" s="4746"/>
      <c r="CC68" s="4746"/>
      <c r="CD68" s="4746"/>
      <c r="CE68" s="4746"/>
      <c r="CF68" s="4746"/>
      <c r="CG68" s="4746"/>
      <c r="CH68" s="4746"/>
      <c r="CI68" s="4746"/>
      <c r="CJ68" s="4746"/>
      <c r="CK68" s="4746"/>
      <c r="CL68" s="4746"/>
      <c r="CM68" s="4746"/>
      <c r="CN68" s="4746"/>
      <c r="CO68" s="4746"/>
      <c r="CP68" s="4746"/>
      <c r="CQ68" s="4746"/>
      <c r="CR68" s="4746"/>
      <c r="CS68" s="4746"/>
      <c r="CT68" s="4746"/>
      <c r="CU68" s="4746"/>
      <c r="CV68" s="4746"/>
      <c r="CW68" s="4746"/>
      <c r="CX68" s="4746"/>
      <c r="CY68" s="4746"/>
      <c r="CZ68" s="4746"/>
      <c r="DA68" s="4746"/>
      <c r="DB68" s="4746"/>
      <c r="DC68" s="4746"/>
      <c r="DD68" s="4746"/>
      <c r="DE68" s="4746"/>
      <c r="DF68" s="4746"/>
      <c r="DG68" s="4746"/>
      <c r="DH68" s="4746"/>
      <c r="DI68" s="4746"/>
      <c r="DJ68" s="4746"/>
      <c r="DK68" s="4746"/>
      <c r="DL68" s="4746"/>
      <c r="DM68" s="4746"/>
      <c r="DN68" s="4746"/>
      <c r="DO68" s="4746"/>
      <c r="DP68" s="4746"/>
      <c r="DQ68" s="4746"/>
      <c r="DR68" s="4746"/>
      <c r="DS68" s="4746"/>
      <c r="DT68" s="4746"/>
      <c r="DU68" s="4746"/>
      <c r="DV68" s="4746"/>
      <c r="DW68" s="4746"/>
      <c r="DX68" s="4746"/>
      <c r="DY68" s="4746"/>
      <c r="DZ68" s="4746"/>
      <c r="EA68" s="4746"/>
      <c r="EB68" s="4746"/>
      <c r="EC68" s="4746"/>
      <c r="ED68" s="4746"/>
      <c r="EE68" s="4746"/>
      <c r="EF68" s="4746"/>
      <c r="EG68" s="4746"/>
      <c r="EH68" s="4746"/>
      <c r="EI68" s="4746"/>
      <c r="EJ68" s="4746"/>
      <c r="EK68" s="4746"/>
      <c r="EL68" s="4746"/>
      <c r="EM68" s="4746"/>
      <c r="EN68" s="4746"/>
      <c r="EO68" s="4746"/>
      <c r="EP68" s="4746"/>
      <c r="EQ68" s="4746"/>
      <c r="ER68" s="4746"/>
      <c r="ES68" s="4746"/>
      <c r="ET68" s="4746"/>
      <c r="EU68" s="4746"/>
      <c r="EV68" s="4746"/>
      <c r="EW68" s="4746"/>
      <c r="EX68" s="4746"/>
      <c r="EY68" s="4746"/>
      <c r="EZ68" s="4746"/>
      <c r="FA68" s="4746"/>
      <c r="FB68" s="2683"/>
      <c r="FC68" s="2683"/>
      <c r="FI68" s="1553">
        <v>28</v>
      </c>
    </row>
    <row customHeight="1" ht="22.5" hidden="1">
      <c r="A69" s="1558" t="s">
        <v>83</v>
      </c>
      <c r="B69" s="1558">
        <v>0</v>
      </c>
      <c r="C69" s="1558">
        <v>0</v>
      </c>
      <c r="D69" s="1558">
        <v>0</v>
      </c>
      <c r="E69" s="1558">
        <v>0</v>
      </c>
      <c r="F69" s="1558">
        <v>0</v>
      </c>
      <c r="G69" s="1558">
        <v>0</v>
      </c>
      <c r="H69" s="1558">
        <v>0</v>
      </c>
      <c r="I69" s="1558">
        <v>0</v>
      </c>
      <c r="J69" s="1558">
        <v>0</v>
      </c>
      <c r="K69" s="1558">
        <v>0</v>
      </c>
      <c r="L69" s="1727">
        <v>0</v>
      </c>
      <c r="M69" s="1760">
        <v>0</v>
      </c>
      <c r="N69" s="1760">
        <v>0</v>
      </c>
      <c r="O69" s="1760">
        <v>0</v>
      </c>
      <c r="P69" s="1616">
        <v>3</v>
      </c>
      <c r="Q69" s="742">
        <v>3</v>
      </c>
      <c r="R69" s="742">
        <v>3</v>
      </c>
      <c r="S69" s="979">
        <v>12</v>
      </c>
      <c r="T69" s="1553">
        <v>35</v>
      </c>
      <c r="U69" s="1553">
        <v>0</v>
      </c>
      <c r="V69" s="1553">
        <v>0</v>
      </c>
      <c r="W69" s="1553">
        <v>0</v>
      </c>
      <c r="X69" s="1553">
        <v>0</v>
      </c>
      <c r="Y69" s="1553">
        <v>0</v>
      </c>
      <c r="Z69" s="1553">
        <v>0</v>
      </c>
      <c r="AA69" s="1553">
        <v>0</v>
      </c>
      <c r="AB69" s="1553">
        <v>0</v>
      </c>
      <c r="AC69" s="1553">
        <v>0</v>
      </c>
      <c r="AD69" s="1553">
        <v>24</v>
      </c>
      <c r="AE69" s="1553">
        <v>0</v>
      </c>
      <c r="AF69" s="1553">
        <v>24</v>
      </c>
      <c r="AG69" s="1553">
        <v>24</v>
      </c>
      <c r="AH69" s="1553">
        <v>11</v>
      </c>
      <c r="AI69" s="1553">
        <v>3</v>
      </c>
      <c r="AJ69" s="1553">
        <v>11</v>
      </c>
      <c r="AK69" s="1553">
        <v>0</v>
      </c>
      <c r="AL69" s="3835">
        <v>0</v>
      </c>
      <c r="AM69" s="3835">
        <v>0</v>
      </c>
      <c r="AN69" s="3835">
        <v>0</v>
      </c>
      <c r="AO69" s="3835">
        <v>0</v>
      </c>
      <c r="AP69" s="3835">
        <v>0</v>
      </c>
      <c r="AQ69" s="3835">
        <v>0</v>
      </c>
      <c r="AR69" s="3835">
        <v>0</v>
      </c>
      <c r="AS69" s="3835">
        <v>0</v>
      </c>
      <c r="AT69" s="3835">
        <v>0</v>
      </c>
      <c r="AU69" s="3835">
        <v>0</v>
      </c>
      <c r="AV69" s="3835">
        <v>0</v>
      </c>
      <c r="AW69" s="3835">
        <v>0</v>
      </c>
      <c r="AX69" s="3835">
        <v>0</v>
      </c>
      <c r="AY69" s="3835">
        <v>0</v>
      </c>
      <c r="AZ69" s="3835">
        <v>0</v>
      </c>
      <c r="BA69" s="3835">
        <v>0</v>
      </c>
      <c r="BB69" s="3835">
        <v>0</v>
      </c>
      <c r="BC69" s="3835">
        <v>0</v>
      </c>
      <c r="BD69" s="3835">
        <v>0</v>
      </c>
      <c r="BE69" s="3835">
        <v>0</v>
      </c>
      <c r="BF69" s="3835">
        <v>0</v>
      </c>
      <c r="BG69" s="3835">
        <v>0</v>
      </c>
      <c r="BH69" s="3835">
        <v>0</v>
      </c>
      <c r="BI69" s="3835">
        <v>0</v>
      </c>
      <c r="BJ69" s="3835">
        <v>0</v>
      </c>
      <c r="BK69" s="3835">
        <v>0</v>
      </c>
      <c r="BL69" s="3835">
        <v>0</v>
      </c>
      <c r="BM69" s="3835">
        <v>0</v>
      </c>
      <c r="BN69" s="3835">
        <v>0</v>
      </c>
      <c r="BO69" s="3835">
        <v>0</v>
      </c>
      <c r="BP69" s="3835">
        <v>0</v>
      </c>
      <c r="BQ69" s="3835">
        <v>0</v>
      </c>
      <c r="BR69" s="3835">
        <v>0</v>
      </c>
      <c r="BS69" s="3835">
        <v>0</v>
      </c>
      <c r="BT69" s="3835">
        <v>0</v>
      </c>
      <c r="BU69" s="3835">
        <v>0</v>
      </c>
      <c r="BV69" s="3835">
        <v>0</v>
      </c>
      <c r="BW69" s="3835">
        <v>0</v>
      </c>
      <c r="BX69" s="3835">
        <v>0</v>
      </c>
      <c r="BY69" s="3835">
        <v>0</v>
      </c>
      <c r="BZ69" s="3835">
        <v>0</v>
      </c>
      <c r="CA69" s="3835">
        <v>0</v>
      </c>
      <c r="CB69" s="3835">
        <v>0</v>
      </c>
      <c r="CC69" s="3835">
        <v>0</v>
      </c>
      <c r="CD69" s="3835">
        <v>0</v>
      </c>
      <c r="CE69" s="3835">
        <v>0</v>
      </c>
      <c r="CF69" s="3835">
        <v>0</v>
      </c>
      <c r="CG69" s="3835">
        <v>0</v>
      </c>
      <c r="CH69" s="3835">
        <v>0</v>
      </c>
      <c r="CI69" s="3835">
        <v>0</v>
      </c>
      <c r="CJ69" s="3835">
        <v>0</v>
      </c>
      <c r="CK69" s="3835">
        <v>0</v>
      </c>
      <c r="CL69" s="3835">
        <v>0</v>
      </c>
      <c r="CM69" s="3835">
        <v>0</v>
      </c>
      <c r="CN69" s="3835">
        <v>0</v>
      </c>
      <c r="CO69" s="3835">
        <v>0</v>
      </c>
      <c r="CP69" s="3835">
        <v>0</v>
      </c>
      <c r="CQ69" s="3835">
        <v>0</v>
      </c>
      <c r="CR69" s="3835">
        <v>0</v>
      </c>
      <c r="CS69" s="3835">
        <v>0</v>
      </c>
      <c r="CT69" s="3835">
        <v>0</v>
      </c>
      <c r="CU69" s="3835">
        <v>0</v>
      </c>
      <c r="CV69" s="3835">
        <v>0</v>
      </c>
      <c r="CW69" s="3835">
        <v>0</v>
      </c>
      <c r="CX69" s="3835">
        <v>0</v>
      </c>
      <c r="CY69" s="3835">
        <v>0</v>
      </c>
      <c r="CZ69" s="3835">
        <v>0</v>
      </c>
      <c r="DA69" s="3835">
        <v>0</v>
      </c>
      <c r="DB69" s="3835">
        <v>0</v>
      </c>
      <c r="DC69" s="3835">
        <v>0</v>
      </c>
      <c r="DD69" s="3835">
        <v>0</v>
      </c>
      <c r="DE69" s="3835">
        <v>0</v>
      </c>
      <c r="DF69" s="3835">
        <v>0</v>
      </c>
      <c r="DG69" s="3835">
        <v>0</v>
      </c>
      <c r="DH69" s="3835">
        <v>0</v>
      </c>
      <c r="DI69" s="3835">
        <v>0</v>
      </c>
      <c r="DJ69" s="3835">
        <v>0</v>
      </c>
      <c r="DK69" s="3835">
        <v>0</v>
      </c>
      <c r="DL69" s="3835">
        <v>0</v>
      </c>
      <c r="DM69" s="3835">
        <v>0</v>
      </c>
      <c r="DN69" s="3835">
        <v>0</v>
      </c>
      <c r="DO69" s="3835">
        <v>0</v>
      </c>
      <c r="DP69" s="3835">
        <v>0</v>
      </c>
      <c r="DQ69" s="3835">
        <v>0</v>
      </c>
      <c r="DR69" s="3835">
        <v>0</v>
      </c>
      <c r="DS69" s="3835">
        <v>0</v>
      </c>
      <c r="DT69" s="3835">
        <v>0</v>
      </c>
      <c r="DU69" s="3835">
        <v>0</v>
      </c>
      <c r="DV69" s="3835">
        <v>0</v>
      </c>
      <c r="DW69" s="3835">
        <v>0</v>
      </c>
      <c r="DX69" s="3835">
        <v>0</v>
      </c>
      <c r="DY69" s="3835">
        <v>0</v>
      </c>
      <c r="DZ69" s="3835">
        <v>0</v>
      </c>
      <c r="EA69" s="3835">
        <v>0</v>
      </c>
      <c r="EB69" s="3835">
        <v>0</v>
      </c>
      <c r="EC69" s="3835">
        <v>0</v>
      </c>
      <c r="ED69" s="3835">
        <v>0</v>
      </c>
      <c r="EE69" s="3835">
        <v>0</v>
      </c>
      <c r="EF69" s="3835">
        <v>0</v>
      </c>
      <c r="EG69" s="3835">
        <v>0</v>
      </c>
      <c r="EH69" s="3835">
        <v>0</v>
      </c>
      <c r="EI69" s="3835">
        <v>0</v>
      </c>
      <c r="EJ69" s="3835">
        <v>0</v>
      </c>
      <c r="EK69" s="3835">
        <v>0</v>
      </c>
      <c r="EL69" s="3835">
        <v>0</v>
      </c>
      <c r="EM69" s="3835">
        <v>0</v>
      </c>
      <c r="EN69" s="3835">
        <v>0</v>
      </c>
      <c r="EO69" s="3835">
        <v>0</v>
      </c>
      <c r="EP69" s="3835">
        <v>0</v>
      </c>
      <c r="EQ69" s="3835">
        <v>0</v>
      </c>
      <c r="ER69" s="3835">
        <v>0</v>
      </c>
      <c r="ES69" s="3835">
        <v>0</v>
      </c>
      <c r="ET69" s="3835">
        <v>0</v>
      </c>
      <c r="EU69" s="3835">
        <v>0</v>
      </c>
      <c r="EV69" s="3835">
        <v>0</v>
      </c>
      <c r="EW69" s="3835">
        <v>0</v>
      </c>
      <c r="EX69" s="3835">
        <v>0</v>
      </c>
      <c r="EY69" s="3835">
        <v>0</v>
      </c>
      <c r="EZ69" s="3835">
        <v>0</v>
      </c>
      <c r="FA69" s="3835">
        <v>0</v>
      </c>
      <c r="FB69" s="1553">
        <v>4</v>
      </c>
      <c r="FC69" s="1553">
        <v>115</v>
      </c>
      <c r="FD69" s="909">
        <v>10</v>
      </c>
      <c r="FE69" s="909">
        <v>10</v>
      </c>
      <c r="FF69" s="909">
        <v>10</v>
      </c>
      <c r="FG69" s="909">
        <v>10</v>
      </c>
      <c r="FH69" s="909">
        <v>10</v>
      </c>
      <c r="FI69" s="1553">
        <v>23</v>
      </c>
    </row>
  </sheetData>
  <sheetProtection formatColumns="0" formatRows="0" autoFilter="0" sort="0" insertRows="0" insertColumns="1" deleteRows="0" deleteColumns="0"/>
  <mergeCells count="531">
    <mergeCell ref="V7:AC7"/>
    <mergeCell ref="AD7:FB7"/>
    <mergeCell ref="S34:T34"/>
    <mergeCell ref="V34:AB34"/>
    <mergeCell ref="AD34:AJ34"/>
    <mergeCell ref="S35:T35"/>
    <mergeCell ref="V35:AB35"/>
    <mergeCell ref="AD35:AJ35"/>
    <mergeCell ref="V2:AC2"/>
    <mergeCell ref="AD2:FB2"/>
    <mergeCell ref="V3:AC3"/>
    <mergeCell ref="AD3:FB3"/>
    <mergeCell ref="V4:AC4"/>
    <mergeCell ref="AD4:FB4"/>
    <mergeCell ref="V5:AC5"/>
    <mergeCell ref="AD5:FB5"/>
    <mergeCell ref="V6:AC6"/>
    <mergeCell ref="AD6:FB6"/>
    <mergeCell ref="AI17:AI18"/>
    <mergeCell ref="AJ17:AJ18"/>
    <mergeCell ref="AK17:AK18"/>
    <mergeCell ref="AK8:AK9"/>
    <mergeCell ref="AD29:AJ29"/>
    <mergeCell ref="AD30:AJ30"/>
    <mergeCell ref="T66:FC66"/>
    <mergeCell ref="T67:FC67"/>
    <mergeCell ref="T68:FC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FC63"/>
    <mergeCell ref="W40:W41"/>
    <mergeCell ref="T64:FC64"/>
    <mergeCell ref="Z40:AB40"/>
    <mergeCell ref="AA41:AB41"/>
    <mergeCell ref="AA42:AB42"/>
    <mergeCell ref="V37:AC37"/>
    <mergeCell ref="S38:FB38"/>
    <mergeCell ref="FC38:FC41"/>
    <mergeCell ref="S39:S41"/>
    <mergeCell ref="T39:T41"/>
    <mergeCell ref="V39:AB39"/>
    <mergeCell ref="AC39:AC41"/>
    <mergeCell ref="FB39:FB41"/>
    <mergeCell ref="AI42:AJ42"/>
    <mergeCell ref="AD39:AJ39"/>
    <mergeCell ref="AK39:AK41"/>
    <mergeCell ref="AD40:AD41"/>
    <mergeCell ref="AE40:AE41"/>
    <mergeCell ref="AF40:AG40"/>
    <mergeCell ref="AH40:AJ40"/>
    <mergeCell ref="AI41:AJ41"/>
    <mergeCell ref="FC49:FC51"/>
    <mergeCell ref="FC8:FC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FB43"/>
    <mergeCell ref="AD44:FB44"/>
    <mergeCell ref="AD45:FB45"/>
    <mergeCell ref="AD46:FB46"/>
    <mergeCell ref="AD47:FB47"/>
    <mergeCell ref="AD48:FB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R8:DR9"/>
    <mergeCell ref="DS8:DS9"/>
    <mergeCell ref="DT8:DT9"/>
    <mergeCell ref="DU8:DU9"/>
    <mergeCell ref="DN29:DT29"/>
    <mergeCell ref="DN30:DT30"/>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AS49:AS50"/>
    <mergeCell ref="AP49:AP50"/>
    <mergeCell ref="AQ49:AQ50"/>
    <mergeCell ref="AR49:AR50"/>
    <mergeCell ref="BA49:BA50"/>
    <mergeCell ref="AX49:AX50"/>
    <mergeCell ref="AY49:AY50"/>
    <mergeCell ref="AZ49:AZ50"/>
    <mergeCell ref="BI49:BI50"/>
    <mergeCell ref="BF49:BF50"/>
    <mergeCell ref="BG49:BG50"/>
    <mergeCell ref="BH49:BH50"/>
    <mergeCell ref="BQ49:BQ50"/>
    <mergeCell ref="BN49:BN50"/>
    <mergeCell ref="BO49:BO50"/>
    <mergeCell ref="BP49:BP50"/>
    <mergeCell ref="BY49:BY50"/>
    <mergeCell ref="BV49:BV50"/>
    <mergeCell ref="BW49:BW50"/>
    <mergeCell ref="BX49:BX50"/>
    <mergeCell ref="CG49:CG50"/>
    <mergeCell ref="CD49:CD50"/>
    <mergeCell ref="CE49:CE50"/>
    <mergeCell ref="CF49:CF50"/>
    <mergeCell ref="CO49:CO50"/>
    <mergeCell ref="CL49:CL50"/>
    <mergeCell ref="CM49:CM50"/>
    <mergeCell ref="CN49:CN50"/>
    <mergeCell ref="CW49:CW50"/>
    <mergeCell ref="CT49:CT50"/>
    <mergeCell ref="CU49:CU50"/>
    <mergeCell ref="CV49:CV50"/>
    <mergeCell ref="DE49:DE50"/>
    <mergeCell ref="DB49:DB50"/>
    <mergeCell ref="DC49:DC50"/>
    <mergeCell ref="DD49:DD50"/>
    <mergeCell ref="DM49:DM50"/>
    <mergeCell ref="DJ49:DJ50"/>
    <mergeCell ref="DK49:DK50"/>
    <mergeCell ref="DL49:DL50"/>
    <mergeCell ref="DU49:DU50"/>
    <mergeCell ref="DR49:DR50"/>
    <mergeCell ref="DS49:DS50"/>
    <mergeCell ref="DT49:DT50"/>
    <mergeCell ref="AC49:AC50"/>
    <mergeCell ref="Z49:Z50"/>
    <mergeCell ref="AA49:AA50"/>
    <mergeCell ref="AB49:AB50"/>
    <mergeCell ref="DZ8:DZ9"/>
    <mergeCell ref="EA8:EA9"/>
    <mergeCell ref="EB8:EB9"/>
    <mergeCell ref="EC8:EC9"/>
    <mergeCell ref="DV29:EB29"/>
    <mergeCell ref="DV30:EB30"/>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EA49:EA50"/>
    <mergeCell ref="EB49:EB50"/>
    <mergeCell ref="EC49:EC50"/>
    <mergeCell ref="EH8:EH9"/>
    <mergeCell ref="EI8:EI9"/>
    <mergeCell ref="EJ8:EJ9"/>
    <mergeCell ref="EK8:EK9"/>
    <mergeCell ref="ED29:EJ29"/>
    <mergeCell ref="ED30:EJ30"/>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EJ49:EJ50"/>
    <mergeCell ref="EK49:EK50"/>
    <mergeCell ref="EP8:EP9"/>
    <mergeCell ref="EQ8:EQ9"/>
    <mergeCell ref="ER8:ER9"/>
    <mergeCell ref="ES8:ES9"/>
    <mergeCell ref="EL29:ER29"/>
    <mergeCell ref="EL30:ER30"/>
    <mergeCell ref="EL31:ER31"/>
    <mergeCell ref="EL32:ER32"/>
    <mergeCell ref="EL34:ER34"/>
    <mergeCell ref="EL35:ER35"/>
    <mergeCell ref="EL37:ES37"/>
    <mergeCell ref="EL39:ER39"/>
    <mergeCell ref="ES39:ES41"/>
    <mergeCell ref="EL40:EL41"/>
    <mergeCell ref="EM40:EM41"/>
    <mergeCell ref="EN40:EO40"/>
    <mergeCell ref="EP40:ER40"/>
    <mergeCell ref="EQ41:ER41"/>
    <mergeCell ref="EQ42:ER42"/>
    <mergeCell ref="EP49:EP50"/>
    <mergeCell ref="EQ49:EQ50"/>
    <mergeCell ref="ER49:ER50"/>
    <mergeCell ref="ES49:ES50"/>
    <mergeCell ref="EX8:EX9"/>
    <mergeCell ref="EY8:EY9"/>
    <mergeCell ref="EZ8:EZ9"/>
    <mergeCell ref="FA8:FA9"/>
    <mergeCell ref="ET29:EZ29"/>
    <mergeCell ref="ET30:EZ30"/>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X49:EX50"/>
    <mergeCell ref="EY49:EY50"/>
    <mergeCell ref="EZ49:EZ50"/>
    <mergeCell ref="FA49:FA50"/>
    <mergeCell ref="V52:AC52"/>
    <mergeCell ref="AD52:FB52"/>
    <mergeCell ref="AK53:AK54"/>
    <mergeCell ref="J52:J55"/>
    <mergeCell ref="FC53:FC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DJ53:DJ54"/>
    <mergeCell ref="DK53:DK54"/>
    <mergeCell ref="DL53:DL54"/>
    <mergeCell ref="DM53:DM54"/>
    <mergeCell ref="DR53:DR54"/>
    <mergeCell ref="DS53:DS54"/>
    <mergeCell ref="DT53:DT54"/>
    <mergeCell ref="DU53:DU54"/>
    <mergeCell ref="DZ53:DZ54"/>
    <mergeCell ref="EA53:EA54"/>
    <mergeCell ref="EB53:EB54"/>
    <mergeCell ref="EC53:EC54"/>
    <mergeCell ref="EH53:EH54"/>
    <mergeCell ref="EI53:EI54"/>
    <mergeCell ref="EJ53:EJ54"/>
    <mergeCell ref="EK53:EK54"/>
    <mergeCell ref="EP53:EP54"/>
    <mergeCell ref="EQ53:EQ54"/>
    <mergeCell ref="ER53:ER54"/>
    <mergeCell ref="ES53:ES54"/>
    <mergeCell ref="EX53:EX54"/>
    <mergeCell ref="EY53:EY54"/>
    <mergeCell ref="EZ53:EZ54"/>
    <mergeCell ref="FA53:FA54"/>
  </mergeCells>
  <dataValidations count="8">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FA327733 AK393269:FA393269 AK49 AQ49 AS49 AY49 BA49 BG49 BI49 BO49 BQ49 BW49 BY49 CE49 CG49 CM49 CO49 CU49 CW49 DC49 DE49 DK49 DM49 DS49 DU49 EA49 EC49 EI49 EK49 EQ49 ES49 EY49 FA49 AK524341:FA524341 AK8 AQ8 AS8 AY8 BA8 BG8 BI8 BO8 BQ8 BW8 BY8 CE8 CG8 CM8 CO8 CU8 CW8 DC8 DE8 DK8 DM8 DS8 DU8 EA8 EC8 EI8 EK8 EQ8 ES8 EY8 FA8 AK589877:FA589877 AK655413:FA655413 AK17 AK720949:FA720949 AK786485:FA786485 AK852021:FA852021 AK917557:FA917557 AK983093:FA983093 AK65589:FA65589 AK131125:FA131125 AI49 AK458805:FA458805 AI8 AC8 AA8 AI17 AK196661:FA196661 AA49 AC49 AK262197:FA262197 AA53 AC53 AI53 AK53 AQ53 AS53 AY53 BA53 BG53 BI53 BO53 BQ53 BW53 BY53 CE53 CG53 CM53 CO53 CU53 CW53 DC53 DE53 DK53 DM53 DS53 DU53 EA53 EC53 EI53 EK53 EQ53 ES53 EY53 FA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DJ8 DL8 DJ49 DL49 DR8 DT8 DR49 DT49 DZ8 EB8 DZ49 EB49 EH8 EJ8 EH49 EJ49 EP8 ER8 EP49 ER49 EX8 EZ8 EX49 EZ49 Z53 AB53 AH53 AJ53 AP53 AR53 AX53 AZ53 BF53 BH53 BN53 BP53 BV53 BX53 CD53 CF53 CL53 CN53 CT53 CV53 DB53 DD53 DJ53 DL53 DR53 DT53 DZ53 EB53 EH53 EJ53 EP53 ER53 EX53 EZ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FC65583:FC65590 FC131119:FC131126 FC196655:FC196662 FC262191:FC262198 FC327727:FC327734 FC393263:FC393270 FC458799:FC458806 FC524335:FC524342 FC589871:FC589878 FC655407:FC655414 FC720943:FC720950 FC786479:FC786486 FC852015:FC852022 FC917551:FC917558 FC983087:FC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AO9 AO50 AW9 AW50 BE9 BE50 BM9 BM50 BU9 BU50 CC9 CC50 CK9 CK50 CS9 CS50 DA9 DA50 DI9 DI50 DQ9 DQ50 DY9 DY50 EG9 EG50 EO9 EO50 EW9 EW50 Y54 AG54 AO54 AW54 BE54 BM54 BU54 CC54 CK54 CS54 DA54 DI54 DQ54 DY54 EG54 EO54 EW54"/>
    <dataValidation type="list" allowBlank="1" showInputMessage="1" errorTitle="Ошибка" error="Выберите значение из списка" prompt="Выберите значение из списка" sqref="V983092:FB983092 V65588:FB65588 V131124:FB131124 V196660:FB196660 V262196:FB262196 V327732:FB327732 V393268:FB393268 V458804:FB458804 V524340:FB524340 V589876:FB589876 V655412:FB655412 V720948:FB720948 V786484:FB786484 V852020:FB852020 V917556:FB917556">
      <formula1>kind_of_cons</formula1>
    </dataValidation>
    <dataValidation allowBlank="1" sqref="S131127:FC131133 S196663:FC196669 S262199:FC262205 S327735:FC327741 S393271:FC393277 S458807:FC458813 S524343:FC524349 S589879:FC589885 S655415:FC655421 S720951:FC720957 S786487:FC786493 S852023:FC852029 S917559:FC917565 S983095:FC983101 S65591:FC6559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30A8-AC2E-54AE-FCB7-AB8D53BD40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44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44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44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44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24434" customFormat="1" customHeight="1" ht="14.25" hidden="1">
      <c r="L21" s="1727"/>
      <c r="M21" s="1760"/>
      <c r="N21" s="1760"/>
      <c r="O21" s="1760"/>
      <c r="P21" s="1760"/>
      <c r="Q21" s="1769"/>
      <c r="R21" s="1769"/>
      <c r="S21" s="1127"/>
      <c r="AC21" s="1764"/>
      <c r="AK21" s="1764"/>
      <c r="AN21" s="909"/>
      <c r="AO21" s="909"/>
      <c r="AP21" s="909"/>
      <c r="AQ21" s="909"/>
      <c r="AR21" s="909"/>
      <c r="AS21" s="1558">
        <v>0</v>
      </c>
    </row>
    <row s="244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724"/>
      <c r="AM30" s="678"/>
      <c r="AN30" s="766"/>
      <c r="AO30" s="766"/>
      <c r="AP30" s="766"/>
      <c r="AQ30" s="766"/>
      <c r="AR30" s="766"/>
      <c r="AS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724"/>
      <c r="AM31" s="678"/>
      <c r="AN31" s="766"/>
      <c r="AO31" s="766"/>
      <c r="AP31" s="766"/>
      <c r="AQ31" s="766"/>
      <c r="AR31" s="766"/>
      <c r="AS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724"/>
      <c r="AM34" s="678"/>
      <c r="AN34" s="766"/>
      <c r="AO34" s="766"/>
      <c r="AP34" s="766"/>
      <c r="AQ34" s="766"/>
      <c r="AR34" s="766"/>
      <c r="AS34" s="816">
        <v>0</v>
      </c>
    </row>
    <row s="245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724"/>
      <c r="AM35" s="678"/>
      <c r="AN35" s="766"/>
      <c r="AO35" s="766"/>
      <c r="AP35" s="766"/>
      <c r="AQ35" s="766"/>
      <c r="AR35" s="766"/>
      <c r="AS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431</v>
      </c>
      <c r="U39" s="699"/>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1553">
        <v>14</v>
      </c>
    </row>
    <row customHeight="1" ht="35.699999999999996">
      <c r="Q40" s="774"/>
      <c r="R40" s="774"/>
      <c r="S40" s="2671"/>
      <c r="T40" s="2607"/>
      <c r="U40" s="1429"/>
      <c r="V40" s="2658" t="s">
        <v>436</v>
      </c>
      <c r="W40" s="2681" t="s">
        <v>437</v>
      </c>
      <c r="X40" s="2660" t="s">
        <v>438</v>
      </c>
      <c r="Y40" s="2661"/>
      <c r="Z40" s="2660" t="s">
        <v>455</v>
      </c>
      <c r="AA40" s="2667"/>
      <c r="AB40" s="2661"/>
      <c r="AC40" s="2676"/>
      <c r="AD40" s="2658" t="s">
        <v>436</v>
      </c>
      <c r="AE40" s="2681" t="s">
        <v>437</v>
      </c>
      <c r="AF40" s="2660" t="s">
        <v>438</v>
      </c>
      <c r="AG40" s="2661"/>
      <c r="AH40" s="2660" t="s">
        <v>439</v>
      </c>
      <c r="AI40" s="2667"/>
      <c r="AJ40" s="2661"/>
      <c r="AK40" s="2676"/>
      <c r="AL40" s="2679"/>
      <c r="AM40" s="2525"/>
      <c r="AS40" s="1553">
        <v>34</v>
      </c>
    </row>
    <row customHeight="1" ht="35.699999999999996">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Q41" s="774"/>
      <c r="R41" s="774"/>
      <c r="S41" s="2671"/>
      <c r="T41" s="2607"/>
      <c r="U41" s="700"/>
      <c r="V41" s="2659"/>
      <c r="W41" s="2682"/>
      <c r="X41" s="1620" t="s">
        <v>447</v>
      </c>
      <c r="Y41" s="1620" t="s">
        <v>448</v>
      </c>
      <c r="Z41" s="1736" t="s">
        <v>449</v>
      </c>
      <c r="AA41" s="2668" t="s">
        <v>450</v>
      </c>
      <c r="AB41" s="2669"/>
      <c r="AC41" s="2677"/>
      <c r="AD41" s="2659"/>
      <c r="AE41" s="2682"/>
      <c r="AF41" s="1620" t="s">
        <v>447</v>
      </c>
      <c r="AG41" s="1620" t="s">
        <v>448</v>
      </c>
      <c r="AH41" s="1736" t="s">
        <v>449</v>
      </c>
      <c r="AI41" s="2668" t="s">
        <v>450</v>
      </c>
      <c r="AJ41" s="2669"/>
      <c r="AK41" s="2677"/>
      <c r="AL41" s="2680"/>
      <c r="AM41" s="2525"/>
      <c r="AS41" s="1553">
        <v>34</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169</v>
      </c>
      <c r="B44" s="1761" t="s">
        <v>170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169</v>
      </c>
      <c r="B45" s="1761" t="s">
        <v>170</v>
      </c>
      <c r="C45" s="1761" t="s">
        <v>171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169</v>
      </c>
      <c r="B46" s="1761" t="s">
        <v>170</v>
      </c>
      <c r="C46" s="1761" t="s">
        <v>171</v>
      </c>
      <c r="D46" s="1761" t="s">
        <v>172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169</v>
      </c>
      <c r="B47" s="1761" t="s">
        <v>170</v>
      </c>
      <c r="C47" s="1761" t="s">
        <v>171</v>
      </c>
      <c r="D47" s="1761" t="s">
        <v>172</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169</v>
      </c>
      <c r="B48" s="1761" t="s">
        <v>170</v>
      </c>
      <c r="C48" s="1761" t="s">
        <v>171</v>
      </c>
      <c r="D48" s="1761" t="s">
        <v>172</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169</v>
      </c>
      <c r="B49" s="1761" t="s">
        <v>170</v>
      </c>
      <c r="C49" s="1761" t="s">
        <v>171</v>
      </c>
      <c r="D49" s="1761" t="s">
        <v>172</v>
      </c>
      <c r="E49" s="2657"/>
      <c r="F49" s="2657"/>
      <c r="G49" s="2657"/>
      <c r="H49" s="2657"/>
      <c r="I49" s="2684"/>
      <c r="J49" s="2684"/>
      <c r="K49" s="2654" t="str">
        <f>J48&amp;".1"</f>
        <v>....1.1.1</v>
      </c>
      <c r="L49" s="1762" t="s">
        <v>414</v>
      </c>
      <c r="P49" s="2655"/>
      <c r="Q49" s="2655"/>
      <c r="R49" s="755">
        <v>1</v>
      </c>
      <c r="S49" s="1734"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169</v>
      </c>
      <c r="B50" s="1761" t="s">
        <v>170</v>
      </c>
      <c r="C50" s="1761" t="s">
        <v>171</v>
      </c>
      <c r="D50" s="1761" t="s">
        <v>172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169</v>
      </c>
      <c r="B51" s="1761" t="s">
        <v>170</v>
      </c>
      <c r="C51" s="1761" t="s">
        <v>171</v>
      </c>
      <c r="D51" s="1761" t="s">
        <v>172</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169</v>
      </c>
      <c r="B52" s="1761" t="s">
        <v>170</v>
      </c>
      <c r="C52" s="1761" t="s">
        <v>171</v>
      </c>
      <c r="D52" s="1761" t="s">
        <v>172</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169</v>
      </c>
      <c r="B53" s="1761" t="s">
        <v>170</v>
      </c>
      <c r="C53" s="1761" t="s">
        <v>171</v>
      </c>
      <c r="D53" s="1761" t="s">
        <v>172</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4435" customFormat="1" customHeight="1" ht="1.05">
      <c r="A54" s="1741" t="s">
        <v>169</v>
      </c>
      <c r="B54" s="1741" t="s">
        <v>170</v>
      </c>
      <c r="C54" s="1741" t="s">
        <v>171</v>
      </c>
      <c r="D54" s="1712"/>
      <c r="E54" s="2657"/>
      <c r="F54" s="2657"/>
      <c r="G54" s="2656"/>
      <c r="H54" s="1712"/>
      <c r="I54" s="1712"/>
      <c r="J54" s="1712"/>
      <c r="K54" s="1712"/>
      <c r="L54" s="1737"/>
      <c r="M54" s="1713"/>
      <c r="N54" s="171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4435" customFormat="1" customHeight="1" ht="1.05">
      <c r="A55" s="1741" t="s">
        <v>169</v>
      </c>
      <c r="B55" s="1741" t="s">
        <v>170</v>
      </c>
      <c r="C55" s="1712"/>
      <c r="D55" s="1712"/>
      <c r="E55" s="2657"/>
      <c r="F55" s="2656"/>
      <c r="G55" s="1712"/>
      <c r="H55" s="1712"/>
      <c r="I55" s="1712"/>
      <c r="J55" s="1712"/>
      <c r="K55" s="1712"/>
      <c r="L55" s="1737"/>
      <c r="M55" s="1719"/>
      <c r="N55" s="171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4435" customFormat="1" customHeight="1" ht="1.05">
      <c r="A56" s="1741" t="s">
        <v>169</v>
      </c>
      <c r="B56" s="1741"/>
      <c r="C56" s="1741"/>
      <c r="D56" s="1741"/>
      <c r="E56" s="2656"/>
      <c r="F56" s="1741"/>
      <c r="G56" s="1741"/>
      <c r="H56" s="1741"/>
      <c r="I56" s="1741"/>
      <c r="J56" s="1741"/>
      <c r="K56" s="1741"/>
      <c r="L56" s="1744"/>
      <c r="M56" s="1719"/>
      <c r="N56" s="1719"/>
      <c r="O56" s="916"/>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44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6A241-19C7-5197-99F6-5D8BABC6A3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354" width="10.57421875" hidden="1"/>
    <col min="2" max="2" style="24354" width="11.00390625" hidden="1" customWidth="1"/>
    <col min="3" max="3" style="24354" width="10.57421875" hidden="1"/>
    <col min="4" max="4" style="24354" width="11.8515625" hidden="1" customWidth="1"/>
    <col min="5" max="5" style="24354" width="10.00390625" hidden="1" customWidth="1"/>
    <col min="6" max="6" style="24354" width="8.7109375" hidden="1" customWidth="1"/>
    <col min="7" max="7" style="24354" width="7.57421875" hidden="1" customWidth="1"/>
    <col min="8" max="8" style="24354" width="11.421875" hidden="1" customWidth="1"/>
    <col min="9" max="9" style="24354" width="12.00390625" hidden="1" customWidth="1"/>
    <col min="10" max="10" style="24354" width="9.8515625" hidden="1" customWidth="1"/>
    <col min="11" max="11" style="24354" width="11.421875" hidden="1" customWidth="1"/>
    <col min="12" max="12" style="24432" width="19.140625" hidden="1" customWidth="1"/>
    <col min="13" max="14" style="26193" width="12.28125" hidden="1" customWidth="1"/>
    <col min="15" max="15" style="26193" width="23.421875" hidden="1" customWidth="1"/>
    <col min="16" max="16" style="26193" width="3.00390625"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4435"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4435"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4435"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4434"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24434"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4434"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4561"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4561"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45649.66804398148</v>
      </c>
      <c r="W30" s="2662"/>
      <c r="X30" s="2662"/>
      <c r="Y30" s="2662"/>
      <c r="Z30" s="2662"/>
      <c r="AA30" s="2662"/>
      <c r="AB30" s="2662"/>
      <c r="AC30" s="2033"/>
      <c r="AD30" s="2662" t="str">
        <f>IF(TITLE_DATE_PR_CHANGE="",IF(TITLE_DATE_PR="","",TITLE_DATE_PR),TITLE_DATE_PR_CHANGE)</f>
        <v>45649.66804398148</v>
      </c>
      <c r="AE30" s="2662"/>
      <c r="AF30" s="2662"/>
      <c r="AG30" s="2662"/>
      <c r="AH30" s="2662"/>
      <c r="AI30" s="2662"/>
      <c r="AJ30" s="2662"/>
      <c r="AK30" s="2033"/>
      <c r="AL30" s="2033"/>
      <c r="AM30" s="678"/>
      <c r="AN30" s="766"/>
      <c r="AO30" s="766"/>
      <c r="AP30" s="766"/>
      <c r="AQ30" s="766"/>
      <c r="AR30" s="766"/>
      <c r="AS30" s="816">
        <v>0</v>
      </c>
    </row>
    <row s="24561"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27/6419</v>
      </c>
      <c r="W31" s="2649"/>
      <c r="X31" s="2649"/>
      <c r="Y31" s="2649"/>
      <c r="Z31" s="2649"/>
      <c r="AA31" s="2649"/>
      <c r="AB31" s="2649"/>
      <c r="AC31" s="2033"/>
      <c r="AD31" s="2649" t="str">
        <f>IF(TITLE_NUMBER_PR_CHANGE="",IF(TITLE_NUMBER_PR="","",TITLE_NUMBER_PR),TITLE_NUMBER_PR_CHANGE)</f>
        <v>27/6419</v>
      </c>
      <c r="AE31" s="2649"/>
      <c r="AF31" s="2649"/>
      <c r="AG31" s="2649"/>
      <c r="AH31" s="2649"/>
      <c r="AI31" s="2649"/>
      <c r="AJ31" s="2649"/>
      <c r="AK31" s="2033"/>
      <c r="AL31" s="2033"/>
      <c r="AM31" s="678"/>
      <c r="AN31" s="766"/>
      <c r="AO31" s="766"/>
      <c r="AP31" s="766"/>
      <c r="AQ31" s="766"/>
      <c r="AR31" s="766"/>
      <c r="AS31" s="816">
        <v>0</v>
      </c>
    </row>
    <row s="24561"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4561"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45649.66804398148</v>
      </c>
      <c r="W34" s="2662"/>
      <c r="X34" s="2662"/>
      <c r="Y34" s="2662"/>
      <c r="Z34" s="2662"/>
      <c r="AA34" s="2662"/>
      <c r="AB34" s="2662"/>
      <c r="AC34" s="2033"/>
      <c r="AD34" s="2662" t="str">
        <f>IF(TITLE_DATE_PR_CHANGE="",IF(TITLE_DATE_PR="","",TITLE_DATE_PR),TITLE_DATE_PR_CHANGE)</f>
        <v>45649.66804398148</v>
      </c>
      <c r="AE34" s="2662"/>
      <c r="AF34" s="2662"/>
      <c r="AG34" s="2662"/>
      <c r="AH34" s="2662"/>
      <c r="AI34" s="2662"/>
      <c r="AJ34" s="2662"/>
      <c r="AK34" s="2033"/>
      <c r="AL34" s="2033"/>
      <c r="AM34" s="678"/>
      <c r="AN34" s="766"/>
      <c r="AO34" s="766"/>
      <c r="AP34" s="766"/>
      <c r="AQ34" s="766"/>
      <c r="AR34" s="766"/>
      <c r="AS34" s="816">
        <v>0</v>
      </c>
    </row>
    <row s="24561"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27/6419</v>
      </c>
      <c r="W35" s="2649"/>
      <c r="X35" s="2649"/>
      <c r="Y35" s="2649"/>
      <c r="Z35" s="2649"/>
      <c r="AA35" s="2649"/>
      <c r="AB35" s="2649"/>
      <c r="AC35" s="2033"/>
      <c r="AD35" s="2649" t="str">
        <f>IF(TITLE_NUMBER_PR_CHANGE="",IF(TITLE_NUMBER_PR="","",TITLE_NUMBER_PR),TITLE_NUMBER_PR_CHANGE)</f>
        <v>27/6419</v>
      </c>
      <c r="AE35" s="2649"/>
      <c r="AF35" s="2649"/>
      <c r="AG35" s="2649"/>
      <c r="AH35" s="2649"/>
      <c r="AI35" s="2649"/>
      <c r="AJ35" s="2649"/>
      <c r="AK35" s="2033"/>
      <c r="AL35" s="2033"/>
      <c r="AM35" s="678"/>
      <c r="AN35" s="766"/>
      <c r="AO35" s="766"/>
      <c r="AP35" s="766"/>
      <c r="AQ35" s="766"/>
      <c r="AR35" s="766"/>
      <c r="AS35" s="816">
        <v>0</v>
      </c>
    </row>
    <row s="24561"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431</v>
      </c>
      <c r="U39" s="735"/>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2029">
        <v>14</v>
      </c>
    </row>
    <row customHeight="1" ht="35.699999999999996">
      <c r="Q40" s="774"/>
      <c r="R40" s="774"/>
      <c r="S40" s="2671"/>
      <c r="T40" s="2607"/>
      <c r="U40" s="1429"/>
      <c r="V40" s="2658" t="s">
        <v>436</v>
      </c>
      <c r="W40" s="2681" t="s">
        <v>437</v>
      </c>
      <c r="X40" s="2660" t="s">
        <v>438</v>
      </c>
      <c r="Y40" s="2661"/>
      <c r="Z40" s="2660" t="s">
        <v>455</v>
      </c>
      <c r="AA40" s="2667"/>
      <c r="AB40" s="2661"/>
      <c r="AC40" s="2676"/>
      <c r="AD40" s="2658" t="s">
        <v>436</v>
      </c>
      <c r="AE40" s="2681" t="s">
        <v>437</v>
      </c>
      <c r="AF40" s="2660" t="s">
        <v>438</v>
      </c>
      <c r="AG40" s="2661"/>
      <c r="AH40" s="2660" t="s">
        <v>439</v>
      </c>
      <c r="AI40" s="2667"/>
      <c r="AJ40" s="2661"/>
      <c r="AK40" s="2676"/>
      <c r="AL40" s="2679"/>
      <c r="AM40" s="2525"/>
      <c r="AS40" s="2029">
        <v>34</v>
      </c>
    </row>
    <row customHeight="1" ht="35.699999999999996">
      <c r="A41" s="1664"/>
      <c r="B41" s="1664" t="s">
        <v>136</v>
      </c>
      <c r="C41" s="1664" t="s">
        <v>137</v>
      </c>
      <c r="D41" s="1664" t="s">
        <v>138</v>
      </c>
      <c r="E41" s="1708" t="s">
        <v>440</v>
      </c>
      <c r="F41" s="1708" t="s">
        <v>441</v>
      </c>
      <c r="G41" s="1708" t="s">
        <v>442</v>
      </c>
      <c r="H41" s="1708" t="s">
        <v>443</v>
      </c>
      <c r="I41" s="1708" t="s">
        <v>444</v>
      </c>
      <c r="J41" s="1708" t="s">
        <v>445</v>
      </c>
      <c r="K41" s="1708" t="s">
        <v>446</v>
      </c>
      <c r="L41" s="1708" t="s">
        <v>420</v>
      </c>
      <c r="Q41" s="774"/>
      <c r="R41" s="774"/>
      <c r="S41" s="2671"/>
      <c r="T41" s="2607"/>
      <c r="U41" s="700"/>
      <c r="V41" s="2659"/>
      <c r="W41" s="2682"/>
      <c r="X41" s="2336" t="s">
        <v>447</v>
      </c>
      <c r="Y41" s="2336" t="s">
        <v>448</v>
      </c>
      <c r="Z41" s="2336" t="s">
        <v>449</v>
      </c>
      <c r="AA41" s="2668" t="s">
        <v>450</v>
      </c>
      <c r="AB41" s="2669"/>
      <c r="AC41" s="2677"/>
      <c r="AD41" s="2659"/>
      <c r="AE41" s="2682"/>
      <c r="AF41" s="2336" t="s">
        <v>447</v>
      </c>
      <c r="AG41" s="2336" t="s">
        <v>448</v>
      </c>
      <c r="AH41" s="2336" t="s">
        <v>449</v>
      </c>
      <c r="AI41" s="2668" t="s">
        <v>450</v>
      </c>
      <c r="AJ41" s="2669"/>
      <c r="AK41" s="2677"/>
      <c r="AL41" s="2680"/>
      <c r="AM41" s="2525"/>
      <c r="AS41" s="2029">
        <v>34</v>
      </c>
    </row>
    <row s="25006"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110</v>
      </c>
      <c r="T42" s="1653" t="s">
        <v>111</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4435" customFormat="1" customHeight="1" ht="4.2">
      <c r="A54" s="1773" t="s">
        <v>217</v>
      </c>
      <c r="B54" s="1773" t="s">
        <v>218</v>
      </c>
      <c r="C54" s="1773" t="s">
        <v>219</v>
      </c>
      <c r="D54" s="1772"/>
      <c r="E54" s="2688"/>
      <c r="F54" s="2688"/>
      <c r="G54" s="2687"/>
      <c r="H54" s="1772"/>
      <c r="I54" s="1772"/>
      <c r="J54" s="1772"/>
      <c r="K54" s="1772"/>
      <c r="L54" s="1775"/>
      <c r="M54" s="1776"/>
      <c r="N54" s="1776"/>
      <c r="O54" s="749"/>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4435" customFormat="1" customHeight="1" ht="4.2">
      <c r="A55" s="1773" t="s">
        <v>217</v>
      </c>
      <c r="B55" s="1773" t="s">
        <v>218</v>
      </c>
      <c r="C55" s="1772"/>
      <c r="D55" s="1772"/>
      <c r="E55" s="2688"/>
      <c r="F55" s="2687"/>
      <c r="G55" s="1772"/>
      <c r="H55" s="1772"/>
      <c r="I55" s="1772"/>
      <c r="J55" s="1772"/>
      <c r="K55" s="1772"/>
      <c r="L55" s="1775"/>
      <c r="M55" s="1777"/>
      <c r="N55" s="1777"/>
      <c r="O55" s="74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4435" customFormat="1" customHeight="1" ht="4.2">
      <c r="A56" s="1773" t="s">
        <v>217</v>
      </c>
      <c r="B56" s="1773"/>
      <c r="C56" s="1773"/>
      <c r="D56" s="1773"/>
      <c r="E56" s="2687"/>
      <c r="F56" s="1773"/>
      <c r="G56" s="1773"/>
      <c r="H56" s="1773"/>
      <c r="I56" s="1773"/>
      <c r="J56" s="1773"/>
      <c r="K56" s="1773"/>
      <c r="L56" s="1779"/>
      <c r="M56" s="1777"/>
      <c r="N56" s="1777"/>
      <c r="O56" s="749"/>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4435"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5220F-657F-FFB8-45F9-DB081E15B1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354" width="10.57421875" hidden="1"/>
    <col min="2" max="2" style="24354" width="11.00390625" hidden="1" customWidth="1"/>
    <col min="3" max="3" style="24354" width="10.57421875" hidden="1"/>
    <col min="4" max="4" style="24354" width="11.8515625" hidden="1" customWidth="1"/>
    <col min="5" max="5" style="24354" width="10.00390625" hidden="1" customWidth="1"/>
    <col min="6" max="6" style="24354" width="8.7109375" hidden="1" customWidth="1"/>
    <col min="7" max="7" style="24354" width="7.57421875" hidden="1" customWidth="1"/>
    <col min="8" max="8" style="24354" width="11.421875" hidden="1" customWidth="1"/>
    <col min="9" max="9" style="24354" width="12.00390625" hidden="1" customWidth="1"/>
    <col min="10" max="10" style="24354" width="9.8515625" hidden="1" customWidth="1"/>
    <col min="11" max="11" style="24354" width="11.421875" hidden="1" customWidth="1"/>
    <col min="12" max="12" style="24432" width="19.140625" hidden="1" customWidth="1"/>
    <col min="13" max="14" style="26193" width="12.28125" hidden="1" customWidth="1"/>
    <col min="15" max="15" style="26193" width="23.421875" hidden="1" customWidth="1"/>
    <col min="16" max="16" style="26193" width="3.00390625"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4435"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4435"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4435"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4434"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24434"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4434"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4561"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4561"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45649.66804398148</v>
      </c>
      <c r="W30" s="2662"/>
      <c r="X30" s="2662"/>
      <c r="Y30" s="2662"/>
      <c r="Z30" s="2662"/>
      <c r="AA30" s="2662"/>
      <c r="AB30" s="2662"/>
      <c r="AC30" s="2033"/>
      <c r="AD30" s="2662" t="str">
        <f>IF(TITLE_DATE_PR_CHANGE="",IF(TITLE_DATE_PR="","",TITLE_DATE_PR),TITLE_DATE_PR_CHANGE)</f>
        <v>45649.66804398148</v>
      </c>
      <c r="AE30" s="2662"/>
      <c r="AF30" s="2662"/>
      <c r="AG30" s="2662"/>
      <c r="AH30" s="2662"/>
      <c r="AI30" s="2662"/>
      <c r="AJ30" s="2662"/>
      <c r="AK30" s="2033"/>
      <c r="AL30" s="2033"/>
      <c r="AM30" s="678"/>
      <c r="AN30" s="766"/>
      <c r="AO30" s="766"/>
      <c r="AP30" s="766"/>
      <c r="AQ30" s="766"/>
      <c r="AR30" s="766"/>
      <c r="AS30" s="816">
        <v>0</v>
      </c>
    </row>
    <row s="24561"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27/6419</v>
      </c>
      <c r="W31" s="2649"/>
      <c r="X31" s="2649"/>
      <c r="Y31" s="2649"/>
      <c r="Z31" s="2649"/>
      <c r="AA31" s="2649"/>
      <c r="AB31" s="2649"/>
      <c r="AC31" s="2033"/>
      <c r="AD31" s="2649" t="str">
        <f>IF(TITLE_NUMBER_PR_CHANGE="",IF(TITLE_NUMBER_PR="","",TITLE_NUMBER_PR),TITLE_NUMBER_PR_CHANGE)</f>
        <v>27/6419</v>
      </c>
      <c r="AE31" s="2649"/>
      <c r="AF31" s="2649"/>
      <c r="AG31" s="2649"/>
      <c r="AH31" s="2649"/>
      <c r="AI31" s="2649"/>
      <c r="AJ31" s="2649"/>
      <c r="AK31" s="2033"/>
      <c r="AL31" s="2033"/>
      <c r="AM31" s="678"/>
      <c r="AN31" s="766"/>
      <c r="AO31" s="766"/>
      <c r="AP31" s="766"/>
      <c r="AQ31" s="766"/>
      <c r="AR31" s="766"/>
      <c r="AS31" s="816">
        <v>0</v>
      </c>
    </row>
    <row s="24561"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4561"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45649.66804398148</v>
      </c>
      <c r="W34" s="2662"/>
      <c r="X34" s="2662"/>
      <c r="Y34" s="2662"/>
      <c r="Z34" s="2662"/>
      <c r="AA34" s="2662"/>
      <c r="AB34" s="2662"/>
      <c r="AC34" s="2033"/>
      <c r="AD34" s="2662" t="str">
        <f>IF(TITLE_DATE_PR_CHANGE="",IF(TITLE_DATE_PR="","",TITLE_DATE_PR),TITLE_DATE_PR_CHANGE)</f>
        <v>45649.66804398148</v>
      </c>
      <c r="AE34" s="2662"/>
      <c r="AF34" s="2662"/>
      <c r="AG34" s="2662"/>
      <c r="AH34" s="2662"/>
      <c r="AI34" s="2662"/>
      <c r="AJ34" s="2662"/>
      <c r="AK34" s="2033"/>
      <c r="AL34" s="2033"/>
      <c r="AM34" s="678"/>
      <c r="AN34" s="766"/>
      <c r="AO34" s="766"/>
      <c r="AP34" s="766"/>
      <c r="AQ34" s="766"/>
      <c r="AR34" s="766"/>
      <c r="AS34" s="816">
        <v>0</v>
      </c>
    </row>
    <row s="24561"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27/6419</v>
      </c>
      <c r="W35" s="2649"/>
      <c r="X35" s="2649"/>
      <c r="Y35" s="2649"/>
      <c r="Z35" s="2649"/>
      <c r="AA35" s="2649"/>
      <c r="AB35" s="2649"/>
      <c r="AC35" s="2033"/>
      <c r="AD35" s="2649" t="str">
        <f>IF(TITLE_NUMBER_PR_CHANGE="",IF(TITLE_NUMBER_PR="","",TITLE_NUMBER_PR),TITLE_NUMBER_PR_CHANGE)</f>
        <v>27/6419</v>
      </c>
      <c r="AE35" s="2649"/>
      <c r="AF35" s="2649"/>
      <c r="AG35" s="2649"/>
      <c r="AH35" s="2649"/>
      <c r="AI35" s="2649"/>
      <c r="AJ35" s="2649"/>
      <c r="AK35" s="2033"/>
      <c r="AL35" s="2033"/>
      <c r="AM35" s="678"/>
      <c r="AN35" s="766"/>
      <c r="AO35" s="766"/>
      <c r="AP35" s="766"/>
      <c r="AQ35" s="766"/>
      <c r="AR35" s="766"/>
      <c r="AS35" s="816">
        <v>0</v>
      </c>
    </row>
    <row s="24561"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431</v>
      </c>
      <c r="U39" s="735"/>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2029">
        <v>14</v>
      </c>
    </row>
    <row customHeight="1" ht="35.699999999999996">
      <c r="Q40" s="774"/>
      <c r="R40" s="774"/>
      <c r="S40" s="2671"/>
      <c r="T40" s="2607"/>
      <c r="U40" s="1429"/>
      <c r="V40" s="2658" t="s">
        <v>436</v>
      </c>
      <c r="W40" s="2681" t="s">
        <v>437</v>
      </c>
      <c r="X40" s="2660" t="s">
        <v>438</v>
      </c>
      <c r="Y40" s="2661"/>
      <c r="Z40" s="2660" t="s">
        <v>455</v>
      </c>
      <c r="AA40" s="2667"/>
      <c r="AB40" s="2661"/>
      <c r="AC40" s="2676"/>
      <c r="AD40" s="2658" t="s">
        <v>436</v>
      </c>
      <c r="AE40" s="2681" t="s">
        <v>437</v>
      </c>
      <c r="AF40" s="2660" t="s">
        <v>438</v>
      </c>
      <c r="AG40" s="2661"/>
      <c r="AH40" s="2660" t="s">
        <v>439</v>
      </c>
      <c r="AI40" s="2667"/>
      <c r="AJ40" s="2661"/>
      <c r="AK40" s="2676"/>
      <c r="AL40" s="2679"/>
      <c r="AM40" s="2525"/>
      <c r="AS40" s="2029">
        <v>34</v>
      </c>
    </row>
    <row customHeight="1" ht="35.699999999999996">
      <c r="A41" s="1664"/>
      <c r="B41" s="1664" t="s">
        <v>136</v>
      </c>
      <c r="C41" s="1664" t="s">
        <v>137</v>
      </c>
      <c r="D41" s="1664" t="s">
        <v>138</v>
      </c>
      <c r="E41" s="1708" t="s">
        <v>440</v>
      </c>
      <c r="F41" s="1708" t="s">
        <v>441</v>
      </c>
      <c r="G41" s="1708" t="s">
        <v>442</v>
      </c>
      <c r="H41" s="1708" t="s">
        <v>443</v>
      </c>
      <c r="I41" s="1708" t="s">
        <v>444</v>
      </c>
      <c r="J41" s="1708" t="s">
        <v>445</v>
      </c>
      <c r="K41" s="1708" t="s">
        <v>446</v>
      </c>
      <c r="L41" s="1708" t="s">
        <v>420</v>
      </c>
      <c r="Q41" s="774"/>
      <c r="R41" s="774"/>
      <c r="S41" s="2671"/>
      <c r="T41" s="2607"/>
      <c r="U41" s="700"/>
      <c r="V41" s="2659"/>
      <c r="W41" s="2682"/>
      <c r="X41" s="2336" t="s">
        <v>447</v>
      </c>
      <c r="Y41" s="2336" t="s">
        <v>448</v>
      </c>
      <c r="Z41" s="2336" t="s">
        <v>449</v>
      </c>
      <c r="AA41" s="2668" t="s">
        <v>450</v>
      </c>
      <c r="AB41" s="2669"/>
      <c r="AC41" s="2677"/>
      <c r="AD41" s="2659"/>
      <c r="AE41" s="2682"/>
      <c r="AF41" s="2336" t="s">
        <v>447</v>
      </c>
      <c r="AG41" s="2336" t="s">
        <v>448</v>
      </c>
      <c r="AH41" s="2336" t="s">
        <v>449</v>
      </c>
      <c r="AI41" s="2668" t="s">
        <v>450</v>
      </c>
      <c r="AJ41" s="2669"/>
      <c r="AK41" s="2677"/>
      <c r="AL41" s="2680"/>
      <c r="AM41" s="2525"/>
      <c r="AS41" s="2029">
        <v>34</v>
      </c>
    </row>
    <row s="25006"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110</v>
      </c>
      <c r="T42" s="1653" t="s">
        <v>111</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4435" customFormat="1" customHeight="1" ht="1.05">
      <c r="A54" s="1665" t="s">
        <v>217</v>
      </c>
      <c r="B54" s="1665" t="s">
        <v>218</v>
      </c>
      <c r="C54" s="1665" t="s">
        <v>219</v>
      </c>
      <c r="D54" s="2372"/>
      <c r="E54" s="2688"/>
      <c r="F54" s="2688"/>
      <c r="G54" s="2687"/>
      <c r="H54" s="2372"/>
      <c r="I54" s="2372"/>
      <c r="J54" s="2372"/>
      <c r="K54" s="2372"/>
      <c r="L54" s="1778"/>
      <c r="M54" s="2008"/>
      <c r="N54" s="2008"/>
      <c r="O54" s="203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4435" customFormat="1" customHeight="1" ht="1.05">
      <c r="A55" s="1665" t="s">
        <v>217</v>
      </c>
      <c r="B55" s="1665" t="s">
        <v>218</v>
      </c>
      <c r="C55" s="2372"/>
      <c r="D55" s="2372"/>
      <c r="E55" s="2688"/>
      <c r="F55" s="2687"/>
      <c r="G55" s="2372"/>
      <c r="H55" s="2372"/>
      <c r="I55" s="2372"/>
      <c r="J55" s="2372"/>
      <c r="K55" s="2372"/>
      <c r="L55" s="1778"/>
      <c r="M55" s="2373"/>
      <c r="N55" s="2373"/>
      <c r="O55" s="2033"/>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4435" customFormat="1" customHeight="1" ht="1.05">
      <c r="A56" s="1665" t="s">
        <v>217</v>
      </c>
      <c r="B56" s="1665"/>
      <c r="C56" s="1665"/>
      <c r="D56" s="1665"/>
      <c r="E56" s="2687"/>
      <c r="F56" s="1665"/>
      <c r="G56" s="1665"/>
      <c r="H56" s="1665"/>
      <c r="I56" s="1665"/>
      <c r="J56" s="1665"/>
      <c r="K56" s="1665"/>
      <c r="L56" s="1708"/>
      <c r="M56" s="2373"/>
      <c r="N56" s="2373"/>
      <c r="O56" s="2033"/>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4435"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A6B8-FAAC-94E6-F162-2BD6EFB7CD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1.00390625" customWidth="1"/>
    <col min="21" max="21" style="24354" width="0.7109375" hidden="1" customWidth="1"/>
    <col min="22" max="22" style="24354" width="1.7109375" hidden="1" customWidth="1"/>
    <col min="23" max="23" style="24354" width="24.7109375" hidden="1" customWidth="1"/>
    <col min="24" max="25" style="24354" width="0.14062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0.140625" customWidth="1"/>
    <col min="31" max="31" style="24354" width="24.00390625" customWidth="1"/>
    <col min="32" max="33" style="24354" width="0.14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723"/>
      <c r="W8" s="1149"/>
      <c r="X8" s="723"/>
      <c r="Y8" s="782"/>
      <c r="Z8" s="2663"/>
      <c r="AA8" s="2505" t="s">
        <v>67</v>
      </c>
      <c r="AB8" s="2663"/>
      <c r="AC8" s="2505" t="s">
        <v>67</v>
      </c>
      <c r="AD8" s="723"/>
      <c r="AE8" s="1149"/>
      <c r="AF8" s="723"/>
      <c r="AG8" s="782"/>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44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44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44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44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24434" customFormat="1" customHeight="1" ht="14.25" hidden="1">
      <c r="L21" s="1727"/>
      <c r="M21" s="1760"/>
      <c r="N21" s="1760"/>
      <c r="O21" s="1760"/>
      <c r="P21" s="1760"/>
      <c r="Q21" s="1769"/>
      <c r="R21" s="1769"/>
      <c r="S21" s="1127"/>
      <c r="AC21" s="1764"/>
      <c r="AK21" s="1764"/>
      <c r="AN21" s="909"/>
      <c r="AO21" s="909"/>
      <c r="AP21" s="909"/>
      <c r="AQ21" s="909"/>
      <c r="AR21" s="909"/>
      <c r="AS21" s="1558">
        <v>0</v>
      </c>
    </row>
    <row s="24434" customFormat="1" customHeight="1" ht="33.7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724"/>
      <c r="AM30" s="678"/>
      <c r="AN30" s="766"/>
      <c r="AO30" s="766"/>
      <c r="AP30" s="766"/>
      <c r="AQ30" s="766"/>
      <c r="AR30" s="766"/>
      <c r="AS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724"/>
      <c r="AM31" s="678"/>
      <c r="AN31" s="766"/>
      <c r="AO31" s="766"/>
      <c r="AP31" s="766"/>
      <c r="AQ31" s="766"/>
      <c r="AR31" s="766"/>
      <c r="AS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724"/>
      <c r="AM34" s="678"/>
      <c r="AN34" s="766"/>
      <c r="AO34" s="766"/>
      <c r="AP34" s="766"/>
      <c r="AQ34" s="766"/>
      <c r="AR34" s="766"/>
      <c r="AS34" s="816">
        <v>0</v>
      </c>
    </row>
    <row s="245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724"/>
      <c r="AM35" s="678"/>
      <c r="AN35" s="766"/>
      <c r="AO35" s="766"/>
      <c r="AP35" s="766"/>
      <c r="AQ35" s="766"/>
      <c r="AR35" s="766"/>
      <c r="AS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431</v>
      </c>
      <c r="U39" s="699"/>
      <c r="V39" s="2672" t="s">
        <v>432</v>
      </c>
      <c r="W39" s="2673"/>
      <c r="X39" s="2689"/>
      <c r="Y39" s="2689"/>
      <c r="Z39" s="2673"/>
      <c r="AA39" s="2673"/>
      <c r="AB39" s="2674"/>
      <c r="AC39" s="2675" t="s">
        <v>433</v>
      </c>
      <c r="AD39" s="2672" t="s">
        <v>432</v>
      </c>
      <c r="AE39" s="2673"/>
      <c r="AF39" s="2689"/>
      <c r="AG39" s="2689"/>
      <c r="AH39" s="2673"/>
      <c r="AI39" s="2673"/>
      <c r="AJ39" s="2674"/>
      <c r="AK39" s="2675" t="s">
        <v>434</v>
      </c>
      <c r="AL39" s="2678" t="s">
        <v>435</v>
      </c>
      <c r="AM39" s="2525"/>
      <c r="AS39" s="1553">
        <v>14</v>
      </c>
    </row>
    <row customHeight="1" ht="24">
      <c r="Q40" s="774"/>
      <c r="R40" s="774"/>
      <c r="S40" s="2671"/>
      <c r="T40" s="2607"/>
      <c r="U40" s="1429"/>
      <c r="V40" s="2690" t="s">
        <v>436</v>
      </c>
      <c r="W40" s="2692" t="s">
        <v>437</v>
      </c>
      <c r="X40" s="1774" t="s">
        <v>438</v>
      </c>
      <c r="Y40" s="1774"/>
      <c r="Z40" s="2667" t="s">
        <v>439</v>
      </c>
      <c r="AA40" s="2667"/>
      <c r="AB40" s="2661"/>
      <c r="AC40" s="2676"/>
      <c r="AD40" s="2690" t="s">
        <v>436</v>
      </c>
      <c r="AE40" s="2692" t="s">
        <v>437</v>
      </c>
      <c r="AF40" s="1774" t="s">
        <v>438</v>
      </c>
      <c r="AG40" s="1774"/>
      <c r="AH40" s="2667" t="s">
        <v>439</v>
      </c>
      <c r="AI40" s="2667"/>
      <c r="AJ40" s="2661"/>
      <c r="AK40" s="2676"/>
      <c r="AL40" s="2679"/>
      <c r="AM40" s="2525"/>
      <c r="AS40" s="1553">
        <v>23</v>
      </c>
    </row>
    <row s="24613" customFormat="1" customHeight="1" ht="24">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M41" s="1760"/>
      <c r="N41" s="1760"/>
      <c r="O41" s="1760"/>
      <c r="P41" s="1726"/>
      <c r="Q41" s="774"/>
      <c r="R41" s="774"/>
      <c r="S41" s="2671"/>
      <c r="T41" s="2607"/>
      <c r="U41" s="700"/>
      <c r="V41" s="2691"/>
      <c r="W41" s="2693"/>
      <c r="X41" s="1771" t="s">
        <v>447</v>
      </c>
      <c r="Y41" s="1771" t="s">
        <v>448</v>
      </c>
      <c r="Z41" s="1732" t="s">
        <v>449</v>
      </c>
      <c r="AA41" s="2668" t="s">
        <v>450</v>
      </c>
      <c r="AB41" s="2669"/>
      <c r="AC41" s="2677"/>
      <c r="AD41" s="2691"/>
      <c r="AE41" s="2693"/>
      <c r="AF41" s="1771" t="s">
        <v>447</v>
      </c>
      <c r="AG41" s="1771" t="s">
        <v>448</v>
      </c>
      <c r="AH41" s="1732" t="s">
        <v>449</v>
      </c>
      <c r="AI41" s="2668" t="s">
        <v>450</v>
      </c>
      <c r="AJ41" s="2669"/>
      <c r="AK41" s="2677"/>
      <c r="AL41" s="2680"/>
      <c r="AM41" s="2525"/>
      <c r="AN41" s="909"/>
      <c r="AO41" s="898"/>
      <c r="AP41" s="898"/>
      <c r="AQ41" s="898"/>
      <c r="AR41" s="898"/>
      <c r="AS41" s="980">
        <v>23</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199</v>
      </c>
      <c r="B44" s="1761" t="s">
        <v>200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199</v>
      </c>
      <c r="B45" s="1761" t="s">
        <v>200</v>
      </c>
      <c r="C45" s="1761" t="s">
        <v>201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199</v>
      </c>
      <c r="B46" s="1761" t="s">
        <v>200</v>
      </c>
      <c r="C46" s="1761" t="s">
        <v>201</v>
      </c>
      <c r="D46" s="1761" t="s">
        <v>202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199</v>
      </c>
      <c r="B47" s="1761" t="s">
        <v>200</v>
      </c>
      <c r="C47" s="1761" t="s">
        <v>201</v>
      </c>
      <c r="D47" s="1761" t="s">
        <v>202</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199</v>
      </c>
      <c r="B48" s="1761" t="s">
        <v>200</v>
      </c>
      <c r="C48" s="1761" t="s">
        <v>201</v>
      </c>
      <c r="D48" s="1761" t="s">
        <v>202</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199</v>
      </c>
      <c r="B49" s="1761" t="s">
        <v>200</v>
      </c>
      <c r="C49" s="1761" t="s">
        <v>201</v>
      </c>
      <c r="D49" s="1761" t="s">
        <v>202</v>
      </c>
      <c r="E49" s="2657"/>
      <c r="F49" s="2657"/>
      <c r="G49" s="2657"/>
      <c r="H49" s="2657"/>
      <c r="I49" s="2684"/>
      <c r="J49" s="2684"/>
      <c r="K49" s="2654" t="str">
        <f>J48&amp;".1"</f>
        <v>....1.1.1</v>
      </c>
      <c r="L49" s="1762" t="s">
        <v>414</v>
      </c>
      <c r="P49" s="2655"/>
      <c r="Q49" s="2655"/>
      <c r="R49" s="755">
        <v>1</v>
      </c>
      <c r="S49" s="1734" t="str">
        <f>$K49</f>
        <v>....1.1.1</v>
      </c>
      <c r="T49" s="1745"/>
      <c r="U49" s="698"/>
      <c r="V49" s="723"/>
      <c r="W49" s="1149"/>
      <c r="X49" s="723"/>
      <c r="Y49" s="782"/>
      <c r="Z49" s="2663"/>
      <c r="AA49" s="2505" t="s">
        <v>67</v>
      </c>
      <c r="AB49" s="2663"/>
      <c r="AC49" s="2505" t="s">
        <v>67</v>
      </c>
      <c r="AD49" s="723"/>
      <c r="AE49" s="1149"/>
      <c r="AF49" s="723"/>
      <c r="AG49" s="782"/>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199</v>
      </c>
      <c r="B50" s="1761" t="s">
        <v>200</v>
      </c>
      <c r="C50" s="1761" t="s">
        <v>201</v>
      </c>
      <c r="D50" s="1761" t="s">
        <v>202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199</v>
      </c>
      <c r="B51" s="1761" t="s">
        <v>200</v>
      </c>
      <c r="C51" s="1761" t="s">
        <v>201</v>
      </c>
      <c r="D51" s="1761" t="s">
        <v>202</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199</v>
      </c>
      <c r="B52" s="1761" t="s">
        <v>200</v>
      </c>
      <c r="C52" s="1761" t="s">
        <v>201</v>
      </c>
      <c r="D52" s="1761" t="s">
        <v>202</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199</v>
      </c>
      <c r="B53" s="1761" t="s">
        <v>200</v>
      </c>
      <c r="C53" s="1761" t="s">
        <v>201</v>
      </c>
      <c r="D53" s="1761" t="s">
        <v>202</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4435" customFormat="1" customHeight="1" ht="1.05">
      <c r="A54" s="1741" t="s">
        <v>199</v>
      </c>
      <c r="B54" s="1741" t="s">
        <v>200</v>
      </c>
      <c r="C54" s="1741" t="s">
        <v>201</v>
      </c>
      <c r="D54" s="1712"/>
      <c r="E54" s="2657"/>
      <c r="F54" s="2657"/>
      <c r="G54" s="2656"/>
      <c r="H54" s="1712"/>
      <c r="I54" s="1712"/>
      <c r="J54" s="1712"/>
      <c r="K54" s="1712"/>
      <c r="L54" s="1737"/>
      <c r="M54" s="1713"/>
      <c r="N54" s="171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4435" customFormat="1" customHeight="1" ht="1.05">
      <c r="A55" s="1741" t="s">
        <v>199</v>
      </c>
      <c r="B55" s="1741" t="s">
        <v>200</v>
      </c>
      <c r="C55" s="1712"/>
      <c r="D55" s="1712"/>
      <c r="E55" s="2657"/>
      <c r="F55" s="2656"/>
      <c r="G55" s="1712"/>
      <c r="H55" s="1712"/>
      <c r="I55" s="1712"/>
      <c r="J55" s="1712"/>
      <c r="K55" s="1712"/>
      <c r="L55" s="1737"/>
      <c r="M55" s="1719"/>
      <c r="N55" s="171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4435" customFormat="1" customHeight="1" ht="1.05">
      <c r="A56" s="1741" t="s">
        <v>199</v>
      </c>
      <c r="B56" s="1741"/>
      <c r="C56" s="1741"/>
      <c r="D56" s="1741"/>
      <c r="E56" s="2656"/>
      <c r="F56" s="1741"/>
      <c r="G56" s="1741"/>
      <c r="H56" s="1741"/>
      <c r="I56" s="1741"/>
      <c r="J56" s="1741"/>
      <c r="K56" s="1741"/>
      <c r="L56" s="1744"/>
      <c r="M56" s="1719"/>
      <c r="N56" s="1719"/>
      <c r="O56" s="916"/>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44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A787E-42BB-F261-DC37-26C40F2771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7109375" hidden="1"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44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44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44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44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24434" customFormat="1" customHeight="1" ht="14.25" hidden="1">
      <c r="L21" s="1727"/>
      <c r="M21" s="1760"/>
      <c r="N21" s="1760"/>
      <c r="O21" s="1760"/>
      <c r="P21" s="1760"/>
      <c r="Q21" s="1769"/>
      <c r="R21" s="1769"/>
      <c r="S21" s="1127"/>
      <c r="AC21" s="1764"/>
      <c r="AK21" s="1764"/>
      <c r="AN21" s="909"/>
      <c r="AO21" s="909"/>
      <c r="AP21" s="909"/>
      <c r="AQ21" s="909"/>
      <c r="AR21" s="909"/>
      <c r="AS21" s="1558">
        <v>0</v>
      </c>
    </row>
    <row s="244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724"/>
      <c r="AM30" s="678"/>
      <c r="AN30" s="766"/>
      <c r="AO30" s="766"/>
      <c r="AP30" s="766"/>
      <c r="AQ30" s="766"/>
      <c r="AR30" s="766"/>
      <c r="AS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724"/>
      <c r="AM31" s="678"/>
      <c r="AN31" s="766"/>
      <c r="AO31" s="766"/>
      <c r="AP31" s="766"/>
      <c r="AQ31" s="766"/>
      <c r="AR31" s="766"/>
      <c r="AS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724"/>
      <c r="AM34" s="678"/>
      <c r="AN34" s="766"/>
      <c r="AO34" s="766"/>
      <c r="AP34" s="766"/>
      <c r="AQ34" s="766"/>
      <c r="AR34" s="766"/>
      <c r="AS34" s="816">
        <v>0</v>
      </c>
    </row>
    <row s="245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724"/>
      <c r="AM35" s="678"/>
      <c r="AN35" s="766"/>
      <c r="AO35" s="766"/>
      <c r="AP35" s="766"/>
      <c r="AQ35" s="766"/>
      <c r="AR35" s="766"/>
      <c r="AS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431</v>
      </c>
      <c r="U39" s="699"/>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1553">
        <v>14</v>
      </c>
    </row>
    <row customHeight="1" ht="35.699999999999996">
      <c r="Q40" s="774"/>
      <c r="R40" s="774"/>
      <c r="S40" s="2671"/>
      <c r="T40" s="2607"/>
      <c r="U40" s="1429"/>
      <c r="V40" s="2658" t="s">
        <v>436</v>
      </c>
      <c r="W40" s="2681"/>
      <c r="X40" s="2660" t="s">
        <v>438</v>
      </c>
      <c r="Y40" s="2661"/>
      <c r="Z40" s="2660" t="s">
        <v>439</v>
      </c>
      <c r="AA40" s="2667"/>
      <c r="AB40" s="2661"/>
      <c r="AC40" s="2676"/>
      <c r="AD40" s="2658" t="s">
        <v>456</v>
      </c>
      <c r="AE40" s="2681"/>
      <c r="AF40" s="2660" t="s">
        <v>438</v>
      </c>
      <c r="AG40" s="2661"/>
      <c r="AH40" s="2660" t="s">
        <v>439</v>
      </c>
      <c r="AI40" s="2667"/>
      <c r="AJ40" s="2661"/>
      <c r="AK40" s="2676"/>
      <c r="AL40" s="2679"/>
      <c r="AM40" s="2525"/>
      <c r="AS40" s="1553">
        <v>34</v>
      </c>
    </row>
    <row customHeight="1" ht="35.699999999999996">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Q41" s="774"/>
      <c r="R41" s="774"/>
      <c r="S41" s="2671"/>
      <c r="T41" s="2607"/>
      <c r="U41" s="700"/>
      <c r="V41" s="2659"/>
      <c r="W41" s="2682"/>
      <c r="X41" s="1620" t="s">
        <v>447</v>
      </c>
      <c r="Y41" s="1620" t="s">
        <v>448</v>
      </c>
      <c r="Z41" s="1736" t="s">
        <v>449</v>
      </c>
      <c r="AA41" s="2668" t="s">
        <v>450</v>
      </c>
      <c r="AB41" s="2669"/>
      <c r="AC41" s="2677"/>
      <c r="AD41" s="2659"/>
      <c r="AE41" s="2682"/>
      <c r="AF41" s="1620" t="s">
        <v>447</v>
      </c>
      <c r="AG41" s="1620" t="s">
        <v>448</v>
      </c>
      <c r="AH41" s="1736" t="s">
        <v>449</v>
      </c>
      <c r="AI41" s="2668" t="s">
        <v>450</v>
      </c>
      <c r="AJ41" s="2669"/>
      <c r="AK41" s="2677"/>
      <c r="AL41" s="2680"/>
      <c r="AM41" s="2525"/>
      <c r="AS41" s="1553">
        <v>34</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175</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175</v>
      </c>
      <c r="B44" s="1761" t="s">
        <v>176</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175</v>
      </c>
      <c r="B45" s="1761" t="s">
        <v>176</v>
      </c>
      <c r="C45" s="1761" t="s">
        <v>177</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175</v>
      </c>
      <c r="B46" s="1761" t="s">
        <v>176</v>
      </c>
      <c r="C46" s="1761" t="s">
        <v>177</v>
      </c>
      <c r="D46" s="1761" t="s">
        <v>178</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24435" customFormat="1" customHeight="1" ht="0">
      <c r="A47" s="1741" t="s">
        <v>175</v>
      </c>
      <c r="B47" s="1741" t="s">
        <v>176</v>
      </c>
      <c r="C47" s="1741" t="s">
        <v>177</v>
      </c>
      <c r="D47" s="1741" t="s">
        <v>178</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175</v>
      </c>
      <c r="B48" s="1761" t="s">
        <v>176</v>
      </c>
      <c r="C48" s="1761" t="s">
        <v>177</v>
      </c>
      <c r="D48" s="1761" t="s">
        <v>178</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175</v>
      </c>
      <c r="B49" s="1761" t="s">
        <v>176</v>
      </c>
      <c r="C49" s="1761" t="s">
        <v>177</v>
      </c>
      <c r="D49" s="1761" t="s">
        <v>178</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457</v>
      </c>
      <c r="AN49" s="909">
        <f>STRCHECKDATE(V50:AL50)</f>
      </c>
      <c r="AO49" s="898"/>
      <c r="AP49" s="898" t="str">
        <f>IF(T49="","",T49)</f>
        <v/>
      </c>
      <c r="AQ49" s="898"/>
      <c r="AR49" s="898"/>
      <c r="AS49" s="1553">
        <v>21</v>
      </c>
    </row>
    <row customHeight="1" ht="1.05">
      <c r="A50" s="1761" t="s">
        <v>175</v>
      </c>
      <c r="B50" s="1761" t="s">
        <v>176</v>
      </c>
      <c r="C50" s="1761" t="s">
        <v>177</v>
      </c>
      <c r="D50" s="1761" t="s">
        <v>178</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175</v>
      </c>
      <c r="B51" s="1761" t="s">
        <v>176</v>
      </c>
      <c r="C51" s="1761" t="s">
        <v>177</v>
      </c>
      <c r="D51" s="1761" t="s">
        <v>178</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175</v>
      </c>
      <c r="B52" s="1761" t="s">
        <v>176</v>
      </c>
      <c r="C52" s="1761" t="s">
        <v>177</v>
      </c>
      <c r="D52" s="1761" t="s">
        <v>178</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175</v>
      </c>
      <c r="B53" s="1761" t="s">
        <v>176</v>
      </c>
      <c r="C53" s="1761" t="s">
        <v>177</v>
      </c>
      <c r="D53" s="1761" t="s">
        <v>178</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4435" customFormat="1" customHeight="1" ht="1.05">
      <c r="A54" s="1741" t="s">
        <v>175</v>
      </c>
      <c r="B54" s="1741" t="s">
        <v>176</v>
      </c>
      <c r="C54" s="1741" t="s">
        <v>177</v>
      </c>
      <c r="D54" s="1712"/>
      <c r="E54" s="2657"/>
      <c r="F54" s="2657"/>
      <c r="G54" s="2656"/>
      <c r="H54" s="1712"/>
      <c r="I54" s="1712"/>
      <c r="J54" s="1712"/>
      <c r="K54" s="1712"/>
      <c r="L54" s="1737"/>
      <c r="M54" s="1713"/>
      <c r="N54" s="171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4435" customFormat="1" customHeight="1" ht="1.05">
      <c r="A55" s="1741" t="s">
        <v>175</v>
      </c>
      <c r="B55" s="1741" t="s">
        <v>176</v>
      </c>
      <c r="C55" s="1712"/>
      <c r="D55" s="1712"/>
      <c r="E55" s="2657"/>
      <c r="F55" s="2656"/>
      <c r="G55" s="1712"/>
      <c r="H55" s="1712"/>
      <c r="I55" s="1712"/>
      <c r="J55" s="1712"/>
      <c r="K55" s="1712"/>
      <c r="L55" s="1737"/>
      <c r="M55" s="1719"/>
      <c r="N55" s="171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4435" customFormat="1" customHeight="1" ht="1.05">
      <c r="A56" s="1741" t="s">
        <v>175</v>
      </c>
      <c r="B56" s="1741"/>
      <c r="C56" s="1741"/>
      <c r="D56" s="1741"/>
      <c r="E56" s="2656"/>
      <c r="F56" s="1741"/>
      <c r="G56" s="1741"/>
      <c r="H56" s="1741"/>
      <c r="I56" s="1741"/>
      <c r="J56" s="1741"/>
      <c r="K56" s="1741"/>
      <c r="L56" s="1744"/>
      <c r="M56" s="1719"/>
      <c r="N56" s="1719"/>
      <c r="O56" s="916"/>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44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9F036-B7EB-999F-011B-25134E8B91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7109375" hidden="1"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404</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406</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407</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408</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411</v>
      </c>
      <c r="M7" s="935"/>
      <c r="N7" s="1764"/>
      <c r="P7" s="2655"/>
      <c r="Q7" s="2655">
        <v>1</v>
      </c>
      <c r="R7" s="2040"/>
      <c r="S7" s="2405">
        <f>$J7</f>
      </c>
      <c r="T7" s="684" t="s">
        <v>412</v>
      </c>
      <c r="U7" s="698"/>
      <c r="V7" s="2703"/>
      <c r="W7" s="2703"/>
      <c r="X7" s="2703"/>
      <c r="Y7" s="2703"/>
      <c r="Z7" s="2703"/>
      <c r="AA7" s="2703"/>
      <c r="AB7" s="2703"/>
      <c r="AC7" s="2703"/>
      <c r="AD7" s="2703"/>
      <c r="AE7" s="2703"/>
      <c r="AF7" s="2703"/>
      <c r="AG7" s="2703"/>
      <c r="AH7" s="2703"/>
      <c r="AI7" s="2703"/>
      <c r="AJ7" s="2703"/>
      <c r="AK7" s="2703"/>
      <c r="AL7" s="2703"/>
      <c r="AM7" s="2408" t="s">
        <v>413</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414</v>
      </c>
      <c r="M8" s="935"/>
      <c r="N8" s="1764"/>
      <c r="O8" s="1764"/>
      <c r="P8" s="2655"/>
      <c r="Q8" s="2655"/>
      <c r="R8" s="755">
        <v>1</v>
      </c>
      <c r="S8" s="2407">
        <f>$K8</f>
      </c>
      <c r="T8" s="2412"/>
      <c r="U8" s="2413"/>
      <c r="V8" s="2414"/>
      <c r="W8" s="1747"/>
      <c r="X8" s="2414"/>
      <c r="Y8" s="2415"/>
      <c r="Z8" s="2704"/>
      <c r="AA8" s="2510" t="s">
        <v>67</v>
      </c>
      <c r="AB8" s="2704"/>
      <c r="AC8" s="2510" t="s">
        <v>67</v>
      </c>
      <c r="AD8" s="2414"/>
      <c r="AE8" s="1747"/>
      <c r="AF8" s="2414"/>
      <c r="AG8" s="2415"/>
      <c r="AH8" s="2704"/>
      <c r="AI8" s="2510" t="s">
        <v>67</v>
      </c>
      <c r="AJ8" s="2704"/>
      <c r="AK8" s="2510" t="s">
        <v>67</v>
      </c>
      <c r="AL8" s="1747"/>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44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44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44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44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24434" customFormat="1" customHeight="1" ht="14.25" hidden="1">
      <c r="L21" s="1727"/>
      <c r="M21" s="1760"/>
      <c r="N21" s="1760"/>
      <c r="O21" s="1760"/>
      <c r="P21" s="1760"/>
      <c r="Q21" s="1769"/>
      <c r="R21" s="1769"/>
      <c r="S21" s="1127"/>
      <c r="AC21" s="1764"/>
      <c r="AK21" s="1764"/>
      <c r="AN21" s="909"/>
      <c r="AO21" s="909"/>
      <c r="AP21" s="909"/>
      <c r="AQ21" s="909"/>
      <c r="AR21" s="909"/>
      <c r="AS21" s="1558">
        <v>0</v>
      </c>
    </row>
    <row s="244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724"/>
      <c r="AM30" s="678"/>
      <c r="AN30" s="766"/>
      <c r="AO30" s="766"/>
      <c r="AP30" s="766"/>
      <c r="AQ30" s="766"/>
      <c r="AR30" s="766"/>
      <c r="AS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724"/>
      <c r="AM31" s="678"/>
      <c r="AN31" s="766"/>
      <c r="AO31" s="766"/>
      <c r="AP31" s="766"/>
      <c r="AQ31" s="766"/>
      <c r="AR31" s="766"/>
      <c r="AS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724"/>
      <c r="AM34" s="678"/>
      <c r="AN34" s="766"/>
      <c r="AO34" s="766"/>
      <c r="AP34" s="766"/>
      <c r="AQ34" s="766"/>
      <c r="AR34" s="766"/>
      <c r="AS34" s="816">
        <v>0</v>
      </c>
    </row>
    <row s="245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724"/>
      <c r="AM35" s="678"/>
      <c r="AN35" s="766"/>
      <c r="AO35" s="766"/>
      <c r="AP35" s="766"/>
      <c r="AQ35" s="766"/>
      <c r="AR35" s="766"/>
      <c r="AS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431</v>
      </c>
      <c r="U39" s="699"/>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1553">
        <v>14</v>
      </c>
    </row>
    <row customHeight="1" ht="35.699999999999996">
      <c r="Q40" s="774"/>
      <c r="R40" s="774"/>
      <c r="S40" s="2671"/>
      <c r="T40" s="2607"/>
      <c r="U40" s="1429"/>
      <c r="V40" s="2658" t="s">
        <v>436</v>
      </c>
      <c r="W40" s="2681"/>
      <c r="X40" s="2660" t="s">
        <v>438</v>
      </c>
      <c r="Y40" s="2661"/>
      <c r="Z40" s="2660" t="s">
        <v>439</v>
      </c>
      <c r="AA40" s="2667"/>
      <c r="AB40" s="2661"/>
      <c r="AC40" s="2676"/>
      <c r="AD40" s="2658" t="s">
        <v>456</v>
      </c>
      <c r="AE40" s="2681"/>
      <c r="AF40" s="2660" t="s">
        <v>438</v>
      </c>
      <c r="AG40" s="2661"/>
      <c r="AH40" s="2660" t="s">
        <v>439</v>
      </c>
      <c r="AI40" s="2667"/>
      <c r="AJ40" s="2661"/>
      <c r="AK40" s="2676"/>
      <c r="AL40" s="2679"/>
      <c r="AM40" s="2525"/>
      <c r="AS40" s="1553">
        <v>34</v>
      </c>
    </row>
    <row customHeight="1" ht="35.699999999999996">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Q41" s="774"/>
      <c r="R41" s="774"/>
      <c r="S41" s="2671"/>
      <c r="T41" s="2607"/>
      <c r="U41" s="700"/>
      <c r="V41" s="2659"/>
      <c r="W41" s="2682"/>
      <c r="X41" s="1620" t="s">
        <v>447</v>
      </c>
      <c r="Y41" s="1620" t="s">
        <v>448</v>
      </c>
      <c r="Z41" s="1736" t="s">
        <v>449</v>
      </c>
      <c r="AA41" s="2668" t="s">
        <v>450</v>
      </c>
      <c r="AB41" s="2669"/>
      <c r="AC41" s="2677"/>
      <c r="AD41" s="2659"/>
      <c r="AE41" s="2682"/>
      <c r="AF41" s="1620" t="s">
        <v>447</v>
      </c>
      <c r="AG41" s="1620" t="s">
        <v>448</v>
      </c>
      <c r="AH41" s="1736" t="s">
        <v>449</v>
      </c>
      <c r="AI41" s="2668" t="s">
        <v>450</v>
      </c>
      <c r="AJ41" s="2669"/>
      <c r="AK41" s="2677"/>
      <c r="AL41" s="2680"/>
      <c r="AM41" s="2525"/>
      <c r="AS41" s="1553">
        <v>34</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187</v>
      </c>
      <c r="B44" s="1761" t="s">
        <v>188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187</v>
      </c>
      <c r="B45" s="1761" t="s">
        <v>188</v>
      </c>
      <c r="C45" s="1761" t="s">
        <v>189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187</v>
      </c>
      <c r="B46" s="1761" t="s">
        <v>188</v>
      </c>
      <c r="C46" s="1761" t="s">
        <v>189</v>
      </c>
      <c r="D46" s="1761" t="s">
        <v>190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24435" customFormat="1" customHeight="1" ht="0">
      <c r="A47" s="1741" t="s">
        <v>187</v>
      </c>
      <c r="B47" s="1741" t="s">
        <v>188</v>
      </c>
      <c r="C47" s="1741" t="s">
        <v>189</v>
      </c>
      <c r="D47" s="1741" t="s">
        <v>190</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187</v>
      </c>
      <c r="B48" s="1761" t="s">
        <v>188</v>
      </c>
      <c r="C48" s="1761" t="s">
        <v>189</v>
      </c>
      <c r="D48" s="1761" t="s">
        <v>190</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187</v>
      </c>
      <c r="B49" s="1761" t="s">
        <v>188</v>
      </c>
      <c r="C49" s="1761" t="s">
        <v>189</v>
      </c>
      <c r="D49" s="1761" t="s">
        <v>190</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457</v>
      </c>
      <c r="AN49" s="909">
        <f>STRCHECKDATE(V50:AL50)</f>
      </c>
      <c r="AO49" s="898"/>
      <c r="AP49" s="898" t="str">
        <f>IF(T49="","",T49)</f>
        <v/>
      </c>
      <c r="AQ49" s="898"/>
      <c r="AR49" s="898"/>
      <c r="AS49" s="1553">
        <v>21</v>
      </c>
    </row>
    <row customHeight="1" ht="1.05">
      <c r="A50" s="1761" t="s">
        <v>187</v>
      </c>
      <c r="B50" s="1761" t="s">
        <v>188</v>
      </c>
      <c r="C50" s="1761" t="s">
        <v>189</v>
      </c>
      <c r="D50" s="1761" t="s">
        <v>190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187</v>
      </c>
      <c r="B51" s="1761" t="s">
        <v>188</v>
      </c>
      <c r="C51" s="1761" t="s">
        <v>189</v>
      </c>
      <c r="D51" s="1761" t="s">
        <v>190</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187</v>
      </c>
      <c r="B52" s="1761" t="s">
        <v>188</v>
      </c>
      <c r="C52" s="1761" t="s">
        <v>189</v>
      </c>
      <c r="D52" s="1761" t="s">
        <v>190</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187</v>
      </c>
      <c r="B53" s="1761" t="s">
        <v>188</v>
      </c>
      <c r="C53" s="1761" t="s">
        <v>189</v>
      </c>
      <c r="D53" s="1761" t="s">
        <v>190</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4435" customFormat="1" customHeight="1" ht="1.05">
      <c r="A54" s="1741" t="s">
        <v>187</v>
      </c>
      <c r="B54" s="1741" t="s">
        <v>188</v>
      </c>
      <c r="C54" s="1741" t="s">
        <v>189</v>
      </c>
      <c r="D54" s="1712"/>
      <c r="E54" s="2657"/>
      <c r="F54" s="2657"/>
      <c r="G54" s="2656"/>
      <c r="H54" s="1712"/>
      <c r="I54" s="1712"/>
      <c r="J54" s="1712"/>
      <c r="K54" s="1712"/>
      <c r="L54" s="1737"/>
      <c r="M54" s="1713"/>
      <c r="N54" s="171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4435" customFormat="1" customHeight="1" ht="1.05">
      <c r="A55" s="1741" t="s">
        <v>187</v>
      </c>
      <c r="B55" s="1741" t="s">
        <v>188</v>
      </c>
      <c r="C55" s="1712"/>
      <c r="D55" s="1712"/>
      <c r="E55" s="2657"/>
      <c r="F55" s="2656"/>
      <c r="G55" s="1712"/>
      <c r="H55" s="1712"/>
      <c r="I55" s="1712"/>
      <c r="J55" s="1712"/>
      <c r="K55" s="1712"/>
      <c r="L55" s="1737"/>
      <c r="M55" s="1719"/>
      <c r="N55" s="171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4435" customFormat="1" customHeight="1" ht="1.05">
      <c r="A56" s="1741" t="s">
        <v>187</v>
      </c>
      <c r="B56" s="1741"/>
      <c r="C56" s="1741"/>
      <c r="D56" s="1741"/>
      <c r="E56" s="2656"/>
      <c r="F56" s="1741"/>
      <c r="G56" s="1741"/>
      <c r="H56" s="1741"/>
      <c r="I56" s="1741"/>
      <c r="J56" s="1741"/>
      <c r="K56" s="1741"/>
      <c r="L56" s="1744"/>
      <c r="M56" s="1719"/>
      <c r="N56" s="1719"/>
      <c r="O56" s="916"/>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44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4EB4C-F6F5-AE65-8E74-89CDFFB214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3" width="3.7109375" hidden="1" customWidth="1"/>
    <col min="17" max="18" style="26194" width="3.00390625" customWidth="1"/>
    <col min="19" max="19" style="26195" width="12.00390625" customWidth="1"/>
    <col min="20" max="20" style="24354" width="31.00390625" customWidth="1"/>
    <col min="21" max="21" style="24354" width="0.140625" customWidth="1"/>
    <col min="22" max="22" style="24354" width="24.7109375" hidden="1" customWidth="1"/>
    <col min="23" max="23" style="24354" width="0.140625" hidden="1" customWidth="1"/>
    <col min="24" max="25" style="24354" width="24.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24.7109375" customWidth="1"/>
    <col min="31" max="31" style="24354" width="0.140625" customWidth="1"/>
    <col min="32" max="33" style="24354" width="24.00390625" customWidth="1"/>
    <col min="34" max="34" style="24354" width="11.00390625" customWidth="1"/>
    <col min="35" max="35" style="24354" width="3.7109375" customWidth="1"/>
    <col min="36" max="36" style="24354" width="11.00390625" customWidth="1"/>
    <col min="37" max="37" style="24354" width="8.57421875" hidden="1" customWidth="1"/>
    <col min="38" max="38" style="24354" width="4.00390625" customWidth="1"/>
    <col min="39" max="39" style="24354" width="115.00390625" customWidth="1"/>
    <col min="40" max="44" style="24435" width="10.00390625" customWidth="1"/>
    <col min="45" max="45" style="24354"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4435"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163</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4435"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164</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4435"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165</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44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24434" customFormat="1" customHeight="1" ht="14.25" hidden="1">
      <c r="L21" s="1727"/>
      <c r="M21" s="1760"/>
      <c r="N21" s="1760"/>
      <c r="O21" s="1760"/>
      <c r="P21" s="1760"/>
      <c r="Q21" s="1769"/>
      <c r="R21" s="1769"/>
      <c r="S21" s="1127"/>
      <c r="AC21" s="1764"/>
      <c r="AK21" s="1764"/>
      <c r="AN21" s="909"/>
      <c r="AO21" s="909"/>
      <c r="AP21" s="909"/>
      <c r="AQ21" s="909"/>
      <c r="AR21" s="909"/>
      <c r="AS21" s="1558">
        <v>0</v>
      </c>
    </row>
    <row s="244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ООО "Новая Энергетика"</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45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45649.66804398148</v>
      </c>
      <c r="W30" s="2662"/>
      <c r="X30" s="2662"/>
      <c r="Y30" s="2662"/>
      <c r="Z30" s="2662"/>
      <c r="AA30" s="2662"/>
      <c r="AB30" s="2662"/>
      <c r="AC30" s="724"/>
      <c r="AD30" s="2662" t="str">
        <f>IF(TITLE_DATE_PR_CHANGE="",IF(TITLE_DATE_PR="","",TITLE_DATE_PR),TITLE_DATE_PR_CHANGE)</f>
        <v>45649.66804398148</v>
      </c>
      <c r="AE30" s="2662"/>
      <c r="AF30" s="2662"/>
      <c r="AG30" s="2662"/>
      <c r="AH30" s="2662"/>
      <c r="AI30" s="2662"/>
      <c r="AJ30" s="2662"/>
      <c r="AK30" s="724"/>
      <c r="AL30" s="724"/>
      <c r="AM30" s="678"/>
      <c r="AN30" s="766"/>
      <c r="AO30" s="766"/>
      <c r="AP30" s="766"/>
      <c r="AQ30" s="766"/>
      <c r="AR30" s="766"/>
      <c r="AS30" s="816">
        <v>0</v>
      </c>
    </row>
    <row s="245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27/6419</v>
      </c>
      <c r="W31" s="2649"/>
      <c r="X31" s="2649"/>
      <c r="Y31" s="2649"/>
      <c r="Z31" s="2649"/>
      <c r="AA31" s="2649"/>
      <c r="AB31" s="2649"/>
      <c r="AC31" s="724"/>
      <c r="AD31" s="2649" t="str">
        <f>IF(TITLE_NUMBER_PR_CHANGE="",IF(TITLE_NUMBER_PR="","",TITLE_NUMBER_PR),TITLE_NUMBER_PR_CHANGE)</f>
        <v>27/6419</v>
      </c>
      <c r="AE31" s="2649"/>
      <c r="AF31" s="2649"/>
      <c r="AG31" s="2649"/>
      <c r="AH31" s="2649"/>
      <c r="AI31" s="2649"/>
      <c r="AJ31" s="2649"/>
      <c r="AK31" s="724"/>
      <c r="AL31" s="724"/>
      <c r="AM31" s="678"/>
      <c r="AN31" s="766"/>
      <c r="AO31" s="766"/>
      <c r="AP31" s="766"/>
      <c r="AQ31" s="766"/>
      <c r="AR31" s="766"/>
      <c r="AS31" s="816">
        <v>0</v>
      </c>
    </row>
    <row s="245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45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45649.66804398148</v>
      </c>
      <c r="W34" s="2662"/>
      <c r="X34" s="2662"/>
      <c r="Y34" s="2662"/>
      <c r="Z34" s="2662"/>
      <c r="AA34" s="2662"/>
      <c r="AB34" s="2662"/>
      <c r="AC34" s="724"/>
      <c r="AD34" s="2662" t="str">
        <f>IF(TITLE_DATE_PR_CHANGE="",IF(TITLE_DATE_PR="","",TITLE_DATE_PR),TITLE_DATE_PR_CHANGE)</f>
        <v>45649.66804398148</v>
      </c>
      <c r="AE34" s="2662"/>
      <c r="AF34" s="2662"/>
      <c r="AG34" s="2662"/>
      <c r="AH34" s="2662"/>
      <c r="AI34" s="2662"/>
      <c r="AJ34" s="2662"/>
      <c r="AK34" s="724"/>
      <c r="AL34" s="724"/>
      <c r="AM34" s="678"/>
      <c r="AN34" s="766"/>
      <c r="AO34" s="766"/>
      <c r="AP34" s="766"/>
      <c r="AQ34" s="766"/>
      <c r="AR34" s="766"/>
      <c r="AS34" s="816">
        <v>0</v>
      </c>
    </row>
    <row s="24561" customFormat="1" customHeight="1" ht="25.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27/6419</v>
      </c>
      <c r="W35" s="2649"/>
      <c r="X35" s="2649"/>
      <c r="Y35" s="2649"/>
      <c r="Z35" s="2649"/>
      <c r="AA35" s="2649"/>
      <c r="AB35" s="2649"/>
      <c r="AC35" s="724"/>
      <c r="AD35" s="2649" t="str">
        <f>IF(TITLE_NUMBER_PR_CHANGE="",IF(TITLE_NUMBER_PR="","",TITLE_NUMBER_PR),TITLE_NUMBER_PR_CHANGE)</f>
        <v>27/6419</v>
      </c>
      <c r="AE35" s="2649"/>
      <c r="AF35" s="2649"/>
      <c r="AG35" s="2649"/>
      <c r="AH35" s="2649"/>
      <c r="AI35" s="2649"/>
      <c r="AJ35" s="2649"/>
      <c r="AK35" s="724"/>
      <c r="AL35" s="724"/>
      <c r="AM35" s="678"/>
      <c r="AN35" s="766"/>
      <c r="AO35" s="766"/>
      <c r="AP35" s="766"/>
      <c r="AQ35" s="766"/>
      <c r="AR35" s="766"/>
      <c r="AS35" s="816">
        <v>0</v>
      </c>
    </row>
    <row s="245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431</v>
      </c>
      <c r="U39" s="699"/>
      <c r="V39" s="2672" t="s">
        <v>432</v>
      </c>
      <c r="W39" s="2673"/>
      <c r="X39" s="2673"/>
      <c r="Y39" s="2673"/>
      <c r="Z39" s="2673"/>
      <c r="AA39" s="2673"/>
      <c r="AB39" s="2674"/>
      <c r="AC39" s="2675" t="s">
        <v>433</v>
      </c>
      <c r="AD39" s="2672" t="s">
        <v>432</v>
      </c>
      <c r="AE39" s="2673"/>
      <c r="AF39" s="2673"/>
      <c r="AG39" s="2673"/>
      <c r="AH39" s="2673"/>
      <c r="AI39" s="2673"/>
      <c r="AJ39" s="2674"/>
      <c r="AK39" s="2675" t="s">
        <v>434</v>
      </c>
      <c r="AL39" s="2678" t="s">
        <v>435</v>
      </c>
      <c r="AM39" s="2525"/>
      <c r="AS39" s="1553">
        <v>14</v>
      </c>
    </row>
    <row customHeight="1" ht="35.699999999999996">
      <c r="Q40" s="774"/>
      <c r="R40" s="774"/>
      <c r="S40" s="2671"/>
      <c r="T40" s="2607"/>
      <c r="U40" s="1429"/>
      <c r="V40" s="2658" t="s">
        <v>436</v>
      </c>
      <c r="W40" s="2681"/>
      <c r="X40" s="2660" t="s">
        <v>438</v>
      </c>
      <c r="Y40" s="2661"/>
      <c r="Z40" s="2660" t="s">
        <v>439</v>
      </c>
      <c r="AA40" s="2667"/>
      <c r="AB40" s="2661"/>
      <c r="AC40" s="2676"/>
      <c r="AD40" s="2658" t="s">
        <v>456</v>
      </c>
      <c r="AE40" s="2681"/>
      <c r="AF40" s="2660" t="s">
        <v>438</v>
      </c>
      <c r="AG40" s="2661"/>
      <c r="AH40" s="2660" t="s">
        <v>439</v>
      </c>
      <c r="AI40" s="2667"/>
      <c r="AJ40" s="2661"/>
      <c r="AK40" s="2676"/>
      <c r="AL40" s="2679"/>
      <c r="AM40" s="2525"/>
      <c r="AS40" s="1553">
        <v>34</v>
      </c>
    </row>
    <row customHeight="1" ht="35.699999999999996">
      <c r="A41" s="1768"/>
      <c r="B41" s="1768" t="s">
        <v>136</v>
      </c>
      <c r="C41" s="1768" t="s">
        <v>137</v>
      </c>
      <c r="D41" s="1768" t="s">
        <v>138</v>
      </c>
      <c r="E41" s="1762" t="s">
        <v>440</v>
      </c>
      <c r="F41" s="1762" t="s">
        <v>441</v>
      </c>
      <c r="G41" s="1762" t="s">
        <v>442</v>
      </c>
      <c r="H41" s="1762" t="s">
        <v>443</v>
      </c>
      <c r="I41" s="1762" t="s">
        <v>444</v>
      </c>
      <c r="J41" s="1762" t="s">
        <v>445</v>
      </c>
      <c r="K41" s="1762" t="s">
        <v>446</v>
      </c>
      <c r="L41" s="1762" t="s">
        <v>420</v>
      </c>
      <c r="Q41" s="774"/>
      <c r="R41" s="774"/>
      <c r="S41" s="2671"/>
      <c r="T41" s="2607"/>
      <c r="U41" s="700"/>
      <c r="V41" s="2659"/>
      <c r="W41" s="2682"/>
      <c r="X41" s="1620" t="s">
        <v>447</v>
      </c>
      <c r="Y41" s="1620" t="s">
        <v>448</v>
      </c>
      <c r="Z41" s="1736" t="s">
        <v>449</v>
      </c>
      <c r="AA41" s="2668" t="s">
        <v>450</v>
      </c>
      <c r="AB41" s="2669"/>
      <c r="AC41" s="2677"/>
      <c r="AD41" s="2659"/>
      <c r="AE41" s="2682"/>
      <c r="AF41" s="1620" t="s">
        <v>447</v>
      </c>
      <c r="AG41" s="1620" t="s">
        <v>448</v>
      </c>
      <c r="AH41" s="1736" t="s">
        <v>449</v>
      </c>
      <c r="AI41" s="2668" t="s">
        <v>450</v>
      </c>
      <c r="AJ41" s="2669"/>
      <c r="AK41" s="2677"/>
      <c r="AL41" s="2680"/>
      <c r="AM41" s="2525"/>
      <c r="AS41" s="1553">
        <v>34</v>
      </c>
    </row>
    <row s="250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193</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193</v>
      </c>
      <c r="B44" s="1761" t="s">
        <v>194</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193</v>
      </c>
      <c r="B45" s="1761" t="s">
        <v>194</v>
      </c>
      <c r="C45" s="1761" t="s">
        <v>195</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193</v>
      </c>
      <c r="B46" s="1761" t="s">
        <v>194</v>
      </c>
      <c r="C46" s="1761" t="s">
        <v>195</v>
      </c>
      <c r="D46" s="1761" t="s">
        <v>196</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24435" customFormat="1" customHeight="1" ht="0">
      <c r="A47" s="1741" t="s">
        <v>193</v>
      </c>
      <c r="B47" s="1741" t="s">
        <v>194</v>
      </c>
      <c r="C47" s="1741" t="s">
        <v>195</v>
      </c>
      <c r="D47" s="1741" t="s">
        <v>196</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193</v>
      </c>
      <c r="B48" s="1761" t="s">
        <v>194</v>
      </c>
      <c r="C48" s="1761" t="s">
        <v>195</v>
      </c>
      <c r="D48" s="1761" t="s">
        <v>196</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193</v>
      </c>
      <c r="B49" s="1761" t="s">
        <v>194</v>
      </c>
      <c r="C49" s="1761" t="s">
        <v>195</v>
      </c>
      <c r="D49" s="1761" t="s">
        <v>196</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457</v>
      </c>
      <c r="AN49" s="909">
        <f>STRCHECKDATE(V50:AL50)</f>
      </c>
      <c r="AO49" s="898"/>
      <c r="AP49" s="898" t="str">
        <f>IF(T49="","",T49)</f>
        <v/>
      </c>
      <c r="AQ49" s="898"/>
      <c r="AR49" s="898"/>
      <c r="AS49" s="1553">
        <v>21</v>
      </c>
    </row>
    <row customHeight="1" ht="0">
      <c r="A50" s="1761" t="s">
        <v>193</v>
      </c>
      <c r="B50" s="1761" t="s">
        <v>194</v>
      </c>
      <c r="C50" s="1761" t="s">
        <v>195</v>
      </c>
      <c r="D50" s="1761" t="s">
        <v>196</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193</v>
      </c>
      <c r="B51" s="1761" t="s">
        <v>194</v>
      </c>
      <c r="C51" s="1761" t="s">
        <v>195</v>
      </c>
      <c r="D51" s="1761" t="s">
        <v>196</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193</v>
      </c>
      <c r="B52" s="1761" t="s">
        <v>194</v>
      </c>
      <c r="C52" s="1761" t="s">
        <v>195</v>
      </c>
      <c r="D52" s="1761" t="s">
        <v>196</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193</v>
      </c>
      <c r="B53" s="1761" t="s">
        <v>194</v>
      </c>
      <c r="C53" s="1761" t="s">
        <v>195</v>
      </c>
      <c r="D53" s="1761" t="s">
        <v>196</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4435" customFormat="1" customHeight="1" ht="0">
      <c r="A54" s="1741" t="s">
        <v>193</v>
      </c>
      <c r="B54" s="1741" t="s">
        <v>194</v>
      </c>
      <c r="C54" s="1741" t="s">
        <v>195</v>
      </c>
      <c r="D54" s="1712"/>
      <c r="E54" s="2657"/>
      <c r="F54" s="2657"/>
      <c r="G54" s="2656"/>
      <c r="H54" s="1712"/>
      <c r="I54" s="1712"/>
      <c r="J54" s="1712"/>
      <c r="K54" s="1712"/>
      <c r="L54" s="1737"/>
      <c r="M54" s="1713"/>
      <c r="N54" s="1713"/>
      <c r="P54" s="1714"/>
      <c r="Q54" s="1715"/>
      <c r="R54" s="1714"/>
      <c r="S54" s="1720"/>
      <c r="T54" s="1723" t="s">
        <v>163</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4435" customFormat="1" customHeight="1" ht="0">
      <c r="A55" s="1741" t="s">
        <v>193</v>
      </c>
      <c r="B55" s="1741" t="s">
        <v>194</v>
      </c>
      <c r="C55" s="1712"/>
      <c r="D55" s="1712"/>
      <c r="E55" s="2657"/>
      <c r="F55" s="2656"/>
      <c r="G55" s="1712"/>
      <c r="H55" s="1712"/>
      <c r="I55" s="1712"/>
      <c r="J55" s="1712"/>
      <c r="K55" s="1712"/>
      <c r="L55" s="1737"/>
      <c r="M55" s="1719"/>
      <c r="N55" s="1719"/>
      <c r="P55" s="1714"/>
      <c r="Q55" s="1715"/>
      <c r="R55" s="1714"/>
      <c r="S55" s="1720"/>
      <c r="T55" s="1723" t="s">
        <v>164</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4435" customFormat="1" customHeight="1" ht="0">
      <c r="A56" s="1741" t="s">
        <v>193</v>
      </c>
      <c r="B56" s="1741"/>
      <c r="C56" s="1741"/>
      <c r="D56" s="1741"/>
      <c r="E56" s="2656"/>
      <c r="F56" s="1741"/>
      <c r="G56" s="1741"/>
      <c r="H56" s="1741"/>
      <c r="I56" s="1741"/>
      <c r="J56" s="1741"/>
      <c r="K56" s="1741"/>
      <c r="L56" s="1744"/>
      <c r="M56" s="1719"/>
      <c r="N56" s="1719"/>
      <c r="O56" s="916"/>
      <c r="P56" s="778"/>
      <c r="Q56" s="1742"/>
      <c r="R56" s="778"/>
      <c r="S56" s="1720"/>
      <c r="T56" s="1723" t="s">
        <v>165</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4435"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166</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1358C-6D32-6EDD-22E6-6E0CFED899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4354" width="10.57421875" hidden="1"/>
    <col min="2" max="2" style="24354" width="11.00390625" hidden="1" customWidth="1"/>
    <col min="3" max="3" style="24354" width="10.57421875" hidden="1"/>
    <col min="4" max="4" style="24354" width="11.8515625" hidden="1" customWidth="1"/>
    <col min="5" max="5" style="24354" width="10.00390625" hidden="1" customWidth="1"/>
    <col min="6" max="6" style="24354" width="8.7109375" hidden="1" customWidth="1"/>
    <col min="7" max="7" style="24354" width="7.57421875" hidden="1" customWidth="1"/>
    <col min="8" max="8" style="24354" width="11.421875" hidden="1" customWidth="1"/>
    <col min="9" max="9" style="24354" width="12.00390625" hidden="1" customWidth="1"/>
    <col min="10" max="10" style="24354" width="9.8515625" hidden="1" customWidth="1"/>
    <col min="11" max="12" style="24354" width="11.421875" hidden="1" customWidth="1"/>
    <col min="13" max="13" style="24432" width="19.140625" hidden="1" customWidth="1"/>
    <col min="14" max="15" style="26193" width="12.28125" hidden="1" customWidth="1"/>
    <col min="16" max="16" style="26193" width="23.421875" hidden="1" customWidth="1"/>
    <col min="17" max="17" style="26193" width="3.7109375" hidden="1" customWidth="1"/>
    <col min="18" max="20" style="26194" width="3.00390625" customWidth="1"/>
    <col min="21" max="21" style="26195" width="12.00390625" customWidth="1"/>
    <col min="22" max="22" style="24354" width="31.00390625" customWidth="1"/>
    <col min="23" max="23" style="24354" width="0.140625" customWidth="1"/>
    <col min="24" max="28" style="24354" width="21.7109375" hidden="1" customWidth="1"/>
    <col min="29" max="29" style="24354" width="11.7109375" hidden="1" customWidth="1"/>
    <col min="30" max="30" style="24354" width="3.7109375" hidden="1" customWidth="1"/>
    <col min="31" max="31" style="24354" width="11.7109375" hidden="1" customWidth="1"/>
    <col min="32" max="32" style="24354" width="8.57421875" hidden="1" customWidth="1"/>
    <col min="33" max="33" style="24354" width="21.7109375" customWidth="1"/>
    <col min="34" max="37" style="24354" width="21.00390625" customWidth="1"/>
    <col min="38" max="38" style="24354" width="11.00390625" customWidth="1"/>
    <col min="39" max="39" style="24354" width="3.7109375" customWidth="1"/>
    <col min="40" max="40" style="24354" width="11.00390625" customWidth="1"/>
    <col min="41" max="41" style="24354" width="8.57421875" hidden="1" customWidth="1"/>
    <col min="42" max="42" style="24354" width="4.00390625" customWidth="1"/>
    <col min="43" max="43" style="24354" width="115.00390625" customWidth="1"/>
    <col min="44" max="48" style="24435" width="10.00390625" customWidth="1"/>
    <col min="49" max="49" style="24354"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124</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401</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402</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403</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404</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405</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406</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407</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408</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411</v>
      </c>
      <c r="N7" s="907"/>
      <c r="O7" s="725"/>
      <c r="Q7" s="2655"/>
      <c r="R7" s="2655">
        <v>1</v>
      </c>
      <c r="S7" s="916"/>
      <c r="T7" s="755"/>
      <c r="U7" s="1734">
        <f>$J7</f>
      </c>
      <c r="V7" s="684" t="s">
        <v>412</v>
      </c>
      <c r="W7" s="698"/>
      <c r="X7" s="2643"/>
      <c r="Y7" s="2644"/>
      <c r="Z7" s="2644"/>
      <c r="AA7" s="2644"/>
      <c r="AB7" s="2644"/>
      <c r="AC7" s="2633"/>
      <c r="AD7" s="2633"/>
      <c r="AE7" s="2633"/>
      <c r="AF7" s="2706"/>
      <c r="AG7" s="2643"/>
      <c r="AH7" s="2644"/>
      <c r="AI7" s="2644"/>
      <c r="AJ7" s="2644"/>
      <c r="AK7" s="2644"/>
      <c r="AL7" s="2644"/>
      <c r="AM7" s="2644"/>
      <c r="AN7" s="2644"/>
      <c r="AO7" s="2644"/>
      <c r="AP7" s="2645"/>
      <c r="AQ7" s="1656" t="s">
        <v>413</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414</v>
      </c>
      <c r="N8" s="907"/>
      <c r="O8" s="725"/>
      <c r="P8" s="725"/>
      <c r="Q8" s="2655"/>
      <c r="R8" s="2655"/>
      <c r="S8" s="2655">
        <v>1</v>
      </c>
      <c r="T8" s="755"/>
      <c r="U8" s="1734">
        <f>$K8</f>
      </c>
      <c r="V8" s="1745"/>
      <c r="W8" s="698"/>
      <c r="X8" s="1149"/>
      <c r="Y8" s="1149"/>
      <c r="Z8" s="1149"/>
      <c r="AA8" s="1149"/>
      <c r="AB8" s="1803"/>
      <c r="AC8" s="2663"/>
      <c r="AD8" s="2505" t="s">
        <v>67</v>
      </c>
      <c r="AE8" s="2663"/>
      <c r="AF8" s="2505" t="s">
        <v>67</v>
      </c>
      <c r="AG8" s="1805"/>
      <c r="AH8" s="1149"/>
      <c r="AI8" s="1149"/>
      <c r="AJ8" s="1149"/>
      <c r="AK8" s="1655"/>
      <c r="AL8" s="2663"/>
      <c r="AM8" s="2505" t="s">
        <v>67</v>
      </c>
      <c r="AN8" s="2663"/>
      <c r="AO8" s="2505" t="s">
        <v>67</v>
      </c>
      <c r="AP8" s="723"/>
      <c r="AQ8" s="1705" t="s">
        <v>458</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459</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460</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416</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417</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4435"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163</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4435"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164</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4435"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165</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67</v>
      </c>
      <c r="AN19" s="2665"/>
      <c r="AO19" s="2666" t="s">
        <v>67</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4434" customFormat="1" customHeight="1" ht="22.5" hidden="1">
      <c r="A24" s="1553"/>
      <c r="B24" s="1553"/>
      <c r="C24" s="1553"/>
      <c r="D24" s="1553"/>
      <c r="E24" s="1553"/>
      <c r="F24" s="1553"/>
      <c r="G24" s="1553"/>
      <c r="H24" s="1553"/>
      <c r="I24" s="1553"/>
      <c r="J24" s="1553"/>
      <c r="K24" s="1553"/>
      <c r="L24" s="1553"/>
      <c r="M24" s="1725"/>
      <c r="N24" s="1726"/>
      <c r="O24" s="1726"/>
      <c r="P24" s="1743" t="s">
        <v>419</v>
      </c>
      <c r="Q24" s="1760"/>
      <c r="R24" s="1769"/>
      <c r="S24" s="1769"/>
      <c r="T24" s="1769"/>
      <c r="U24" s="1127"/>
      <c r="AC24" s="1765"/>
      <c r="AE24" s="1765"/>
      <c r="AF24" s="1764"/>
      <c r="AL24" s="1765"/>
      <c r="AN24" s="1765"/>
      <c r="AO24" s="1764"/>
      <c r="AR24" s="909"/>
      <c r="AS24" s="909"/>
      <c r="AT24" s="909"/>
      <c r="AU24" s="909"/>
      <c r="AV24" s="909"/>
      <c r="AW24" s="1558">
        <v>0</v>
      </c>
    </row>
    <row s="24434"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4434" customFormat="1" customHeight="1" ht="14.25" hidden="1">
      <c r="A26" s="1553"/>
      <c r="B26" s="1553"/>
      <c r="C26" s="1553"/>
      <c r="D26" s="1553"/>
      <c r="E26" s="1553"/>
      <c r="F26" s="1553"/>
      <c r="G26" s="1553"/>
      <c r="H26" s="1553"/>
      <c r="I26" s="1553"/>
      <c r="J26" s="1553"/>
      <c r="K26" s="1553"/>
      <c r="L26" s="1553"/>
      <c r="M26" s="1725"/>
      <c r="N26" s="1726"/>
      <c r="O26" s="1726"/>
      <c r="P26" s="1708" t="s">
        <v>420</v>
      </c>
      <c r="Q26" s="1760"/>
      <c r="R26" s="1769"/>
      <c r="S26" s="1769"/>
      <c r="T26" s="1769"/>
      <c r="U26" s="1127"/>
      <c r="V26" s="1558" t="s">
        <v>421</v>
      </c>
      <c r="AD26" s="584" t="s">
        <v>422</v>
      </c>
      <c r="AF26" s="584" t="s">
        <v>423</v>
      </c>
      <c r="AG26" s="1558" t="s">
        <v>421</v>
      </c>
      <c r="AM26" s="584" t="s">
        <v>424</v>
      </c>
      <c r="AO26" s="584" t="s">
        <v>423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ООО "Новая Энергетика"</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4561"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4561" customFormat="1" customHeight="1" ht="18.75" hidden="1">
      <c r="A34" s="1646"/>
      <c r="B34" s="1646"/>
      <c r="C34" s="1646"/>
      <c r="D34" s="1646"/>
      <c r="E34" s="1646"/>
      <c r="F34" s="1646"/>
      <c r="G34" s="1646"/>
      <c r="H34" s="1646"/>
      <c r="I34" s="1646"/>
      <c r="J34" s="1646"/>
      <c r="K34" s="1646"/>
      <c r="L34" s="1646"/>
      <c r="M34" s="1778"/>
      <c r="N34" s="1646"/>
      <c r="O34" s="1646"/>
      <c r="P34" s="1646"/>
      <c r="U34" s="2648" t="s">
        <v>425</v>
      </c>
      <c r="V34" s="2648"/>
      <c r="W34" s="1770"/>
      <c r="X34" s="2662" t="str">
        <f>IF(TITLE_DATE_PR_CHANGE="",IF(TITLE_DATE_PR="","",TITLE_DATE_PR),TITLE_DATE_PR_CHANGE)</f>
        <v>45649.66804398148</v>
      </c>
      <c r="Y34" s="2662"/>
      <c r="Z34" s="2662"/>
      <c r="AA34" s="2662"/>
      <c r="AB34" s="2662"/>
      <c r="AC34" s="2662"/>
      <c r="AD34" s="2662"/>
      <c r="AE34" s="2662"/>
      <c r="AF34" s="724"/>
      <c r="AG34" s="2662" t="str">
        <f>IF(TITLE_DATE_PR_CHANGE="",IF(TITLE_DATE_PR="","",TITLE_DATE_PR),TITLE_DATE_PR_CHANGE)</f>
        <v>45649.66804398148</v>
      </c>
      <c r="AH34" s="2662"/>
      <c r="AI34" s="2662"/>
      <c r="AJ34" s="2662"/>
      <c r="AK34" s="2662"/>
      <c r="AL34" s="2662"/>
      <c r="AM34" s="2662"/>
      <c r="AN34" s="2662"/>
      <c r="AO34" s="724"/>
      <c r="AP34" s="724"/>
      <c r="AQ34" s="678"/>
      <c r="AR34" s="766"/>
      <c r="AS34" s="766"/>
      <c r="AT34" s="766"/>
      <c r="AU34" s="766"/>
      <c r="AV34" s="766"/>
      <c r="AW34" s="816">
        <v>0</v>
      </c>
    </row>
    <row s="24561" customFormat="1" customHeight="1" ht="18.75" hidden="1">
      <c r="A35" s="1646"/>
      <c r="B35" s="1646"/>
      <c r="C35" s="1646"/>
      <c r="D35" s="1646"/>
      <c r="E35" s="1646"/>
      <c r="F35" s="1646"/>
      <c r="G35" s="1646"/>
      <c r="H35" s="1646"/>
      <c r="I35" s="1646"/>
      <c r="J35" s="1646"/>
      <c r="K35" s="1646"/>
      <c r="L35" s="1646"/>
      <c r="M35" s="1778"/>
      <c r="N35" s="1646"/>
      <c r="O35" s="1646"/>
      <c r="P35" s="1646"/>
      <c r="U35" s="2648" t="s">
        <v>426</v>
      </c>
      <c r="V35" s="2648"/>
      <c r="W35" s="1770"/>
      <c r="X35" s="2649" t="str">
        <f>IF(TITLE_NUMBER_PR_CHANGE="",IF(TITLE_NUMBER_PR="","",TITLE_NUMBER_PR),TITLE_NUMBER_PR_CHANGE)</f>
        <v>27/6419</v>
      </c>
      <c r="Y35" s="2649"/>
      <c r="Z35" s="2649"/>
      <c r="AA35" s="2649"/>
      <c r="AB35" s="2649"/>
      <c r="AC35" s="2649"/>
      <c r="AD35" s="2649"/>
      <c r="AE35" s="2649"/>
      <c r="AF35" s="724"/>
      <c r="AG35" s="2649" t="str">
        <f>IF(TITLE_NUMBER_PR_CHANGE="",IF(TITLE_NUMBER_PR="","",TITLE_NUMBER_PR),TITLE_NUMBER_PR_CHANGE)</f>
        <v>27/6419</v>
      </c>
      <c r="AH35" s="2649"/>
      <c r="AI35" s="2649"/>
      <c r="AJ35" s="2649"/>
      <c r="AK35" s="2649"/>
      <c r="AL35" s="2649"/>
      <c r="AM35" s="2649"/>
      <c r="AN35" s="2649"/>
      <c r="AO35" s="724"/>
      <c r="AP35" s="724"/>
      <c r="AQ35" s="678"/>
      <c r="AR35" s="766"/>
      <c r="AS35" s="766"/>
      <c r="AT35" s="766"/>
      <c r="AU35" s="766"/>
      <c r="AV35" s="766"/>
      <c r="AW35" s="816">
        <v>0</v>
      </c>
    </row>
    <row s="24561"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4561" customFormat="1" customHeight="1" ht="18.75">
      <c r="A38" s="1646"/>
      <c r="B38" s="1646"/>
      <c r="C38" s="1646"/>
      <c r="D38" s="1646"/>
      <c r="E38" s="1646"/>
      <c r="F38" s="1646"/>
      <c r="G38" s="1646"/>
      <c r="H38" s="1646"/>
      <c r="I38" s="1646"/>
      <c r="J38" s="1646"/>
      <c r="K38" s="1646"/>
      <c r="L38" s="1646"/>
      <c r="M38" s="1778"/>
      <c r="N38" s="1646"/>
      <c r="O38" s="1646"/>
      <c r="P38" s="1646"/>
      <c r="U38" s="2648" t="s">
        <v>427</v>
      </c>
      <c r="V38" s="2648"/>
      <c r="W38" s="1770"/>
      <c r="X38" s="2662" t="str">
        <f>IF(TITLE_DATE_PR_CHANGE="",IF(TITLE_DATE_PR="","",TITLE_DATE_PR),TITLE_DATE_PR_CHANGE)</f>
        <v>45649.66804398148</v>
      </c>
      <c r="Y38" s="2662"/>
      <c r="Z38" s="2662"/>
      <c r="AA38" s="2662"/>
      <c r="AB38" s="2662"/>
      <c r="AC38" s="2662"/>
      <c r="AD38" s="2662"/>
      <c r="AE38" s="2662"/>
      <c r="AF38" s="724"/>
      <c r="AG38" s="2662" t="str">
        <f>IF(TITLE_DATE_PR_CHANGE="",IF(TITLE_DATE_PR="","",TITLE_DATE_PR),TITLE_DATE_PR_CHANGE)</f>
        <v>45649.66804398148</v>
      </c>
      <c r="AH38" s="2662"/>
      <c r="AI38" s="2662"/>
      <c r="AJ38" s="2662"/>
      <c r="AK38" s="2662"/>
      <c r="AL38" s="2662"/>
      <c r="AM38" s="2662"/>
      <c r="AN38" s="2662"/>
      <c r="AO38" s="724"/>
      <c r="AP38" s="724"/>
      <c r="AQ38" s="678"/>
      <c r="AR38" s="766"/>
      <c r="AS38" s="766"/>
      <c r="AT38" s="766"/>
      <c r="AU38" s="766"/>
      <c r="AV38" s="766"/>
      <c r="AW38" s="816">
        <v>0</v>
      </c>
    </row>
    <row s="24561" customFormat="1" customHeight="1" ht="18.75">
      <c r="A39" s="1646"/>
      <c r="B39" s="1646"/>
      <c r="C39" s="1646"/>
      <c r="D39" s="1646"/>
      <c r="E39" s="1646"/>
      <c r="F39" s="1646"/>
      <c r="G39" s="1646"/>
      <c r="H39" s="1646"/>
      <c r="I39" s="1646"/>
      <c r="J39" s="1646"/>
      <c r="K39" s="1646"/>
      <c r="L39" s="1646"/>
      <c r="M39" s="1778"/>
      <c r="N39" s="1646"/>
      <c r="O39" s="1646"/>
      <c r="P39" s="1646"/>
      <c r="U39" s="2648" t="s">
        <v>428</v>
      </c>
      <c r="V39" s="2648"/>
      <c r="W39" s="1770"/>
      <c r="X39" s="2649" t="str">
        <f>IF(TITLE_NUMBER_PR_CHANGE="",IF(TITLE_NUMBER_PR="","",TITLE_NUMBER_PR),TITLE_NUMBER_PR_CHANGE)</f>
        <v>27/6419</v>
      </c>
      <c r="Y39" s="2649"/>
      <c r="Z39" s="2649"/>
      <c r="AA39" s="2649"/>
      <c r="AB39" s="2649"/>
      <c r="AC39" s="2649"/>
      <c r="AD39" s="2649"/>
      <c r="AE39" s="2649"/>
      <c r="AF39" s="724"/>
      <c r="AG39" s="2649" t="str">
        <f>IF(TITLE_NUMBER_PR_CHANGE="",IF(TITLE_NUMBER_PR="","",TITLE_NUMBER_PR),TITLE_NUMBER_PR_CHANGE)</f>
        <v>27/6419</v>
      </c>
      <c r="AH39" s="2649"/>
      <c r="AI39" s="2649"/>
      <c r="AJ39" s="2649"/>
      <c r="AK39" s="2649"/>
      <c r="AL39" s="2649"/>
      <c r="AM39" s="2649"/>
      <c r="AN39" s="2649"/>
      <c r="AO39" s="724"/>
      <c r="AP39" s="724"/>
      <c r="AQ39" s="678"/>
      <c r="AR39" s="766"/>
      <c r="AS39" s="766"/>
      <c r="AT39" s="766"/>
      <c r="AU39" s="766"/>
      <c r="AV39" s="766"/>
      <c r="AW39" s="816">
        <v>0</v>
      </c>
    </row>
    <row s="24561"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429</v>
      </c>
      <c r="AG40" s="724"/>
      <c r="AH40" s="724"/>
      <c r="AI40" s="724"/>
      <c r="AJ40" s="724"/>
      <c r="AK40" s="724"/>
      <c r="AL40" s="724"/>
      <c r="AM40" s="724"/>
      <c r="AN40" s="724"/>
      <c r="AO40" s="676" t="s">
        <v>429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305</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306</v>
      </c>
      <c r="AW42" s="1553">
        <v>14</v>
      </c>
    </row>
    <row customHeight="1" ht="14.699999999999998">
      <c r="R43" s="774"/>
      <c r="S43" s="774"/>
      <c r="T43" s="774"/>
      <c r="U43" s="2671" t="s">
        <v>89</v>
      </c>
      <c r="V43" s="2607" t="s">
        <v>431</v>
      </c>
      <c r="W43" s="699"/>
      <c r="X43" s="2672" t="s">
        <v>432</v>
      </c>
      <c r="Y43" s="2689"/>
      <c r="Z43" s="2689"/>
      <c r="AA43" s="2689"/>
      <c r="AB43" s="2689"/>
      <c r="AC43" s="2673"/>
      <c r="AD43" s="2673"/>
      <c r="AE43" s="2674"/>
      <c r="AF43" s="2675" t="s">
        <v>433</v>
      </c>
      <c r="AG43" s="2672" t="s">
        <v>432</v>
      </c>
      <c r="AH43" s="2689"/>
      <c r="AI43" s="2689"/>
      <c r="AJ43" s="2689"/>
      <c r="AK43" s="2689"/>
      <c r="AL43" s="2673"/>
      <c r="AM43" s="2673"/>
      <c r="AN43" s="2674"/>
      <c r="AO43" s="2675" t="s">
        <v>434</v>
      </c>
      <c r="AP43" s="2678" t="s">
        <v>435</v>
      </c>
      <c r="AQ43" s="2525"/>
      <c r="AW43" s="1553">
        <v>14</v>
      </c>
    </row>
    <row customHeight="1" ht="35.699999999999996">
      <c r="R44" s="774"/>
      <c r="S44" s="774"/>
      <c r="T44" s="774"/>
      <c r="U44" s="2671"/>
      <c r="V44" s="2607"/>
      <c r="W44" s="1429"/>
      <c r="X44" s="2692" t="s">
        <v>461</v>
      </c>
      <c r="Y44" s="2710" t="s">
        <v>462</v>
      </c>
      <c r="Z44" s="2710"/>
      <c r="AA44" s="2710"/>
      <c r="AB44" s="2710"/>
      <c r="AC44" s="2692" t="s">
        <v>439</v>
      </c>
      <c r="AD44" s="3009"/>
      <c r="AE44" s="2712"/>
      <c r="AF44" s="2676"/>
      <c r="AG44" s="2692" t="s">
        <v>461</v>
      </c>
      <c r="AH44" s="2710" t="s">
        <v>462</v>
      </c>
      <c r="AI44" s="2710"/>
      <c r="AJ44" s="2710"/>
      <c r="AK44" s="2710"/>
      <c r="AL44" s="2692" t="s">
        <v>439</v>
      </c>
      <c r="AM44" s="3009"/>
      <c r="AN44" s="2712"/>
      <c r="AO44" s="2676"/>
      <c r="AP44" s="2679"/>
      <c r="AQ44" s="2525"/>
      <c r="AW44" s="1553">
        <v>34</v>
      </c>
    </row>
    <row customHeight="1" ht="14.699999999999998">
      <c r="R45" s="774"/>
      <c r="S45" s="774"/>
      <c r="T45" s="774"/>
      <c r="U45" s="2671"/>
      <c r="V45" s="2607"/>
      <c r="W45" s="1429"/>
      <c r="X45" s="2723"/>
      <c r="Y45" s="2715" t="s">
        <v>463</v>
      </c>
      <c r="Z45" s="2668" t="s">
        <v>464</v>
      </c>
      <c r="AA45" s="2718"/>
      <c r="AB45" s="2669"/>
      <c r="AC45" s="2693"/>
      <c r="AD45" s="3010"/>
      <c r="AE45" s="2714"/>
      <c r="AF45" s="2676"/>
      <c r="AG45" s="2723"/>
      <c r="AH45" s="2715" t="s">
        <v>463</v>
      </c>
      <c r="AI45" s="2668" t="s">
        <v>464</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465</v>
      </c>
      <c r="AA46" s="2668" t="s">
        <v>466</v>
      </c>
      <c r="AB46" s="2669"/>
      <c r="AC46" s="2715" t="s">
        <v>449</v>
      </c>
      <c r="AD46" s="2719" t="s">
        <v>450</v>
      </c>
      <c r="AE46" s="2720"/>
      <c r="AF46" s="2676"/>
      <c r="AG46" s="2723"/>
      <c r="AH46" s="2716"/>
      <c r="AI46" s="2715" t="s">
        <v>465</v>
      </c>
      <c r="AJ46" s="2668" t="s">
        <v>466</v>
      </c>
      <c r="AK46" s="2669"/>
      <c r="AL46" s="2715" t="s">
        <v>449</v>
      </c>
      <c r="AM46" s="2719" t="s">
        <v>450</v>
      </c>
      <c r="AN46" s="2720"/>
      <c r="AO46" s="2676"/>
      <c r="AP46" s="2679"/>
      <c r="AQ46" s="2525"/>
      <c r="AW46" s="1553">
        <v>26</v>
      </c>
    </row>
    <row customHeight="1" ht="65.25">
      <c r="A47" s="1657"/>
      <c r="B47" s="1657" t="s">
        <v>136</v>
      </c>
      <c r="C47" s="1657" t="s">
        <v>137</v>
      </c>
      <c r="D47" s="1657" t="s">
        <v>138</v>
      </c>
      <c r="E47" s="1708" t="s">
        <v>440</v>
      </c>
      <c r="F47" s="1708" t="s">
        <v>441</v>
      </c>
      <c r="G47" s="1708" t="s">
        <v>442</v>
      </c>
      <c r="H47" s="1708" t="s">
        <v>443</v>
      </c>
      <c r="I47" s="1708" t="s">
        <v>444</v>
      </c>
      <c r="J47" s="1708" t="s">
        <v>445</v>
      </c>
      <c r="K47" s="1708" t="s">
        <v>446</v>
      </c>
      <c r="L47" s="1708" t="s">
        <v>467</v>
      </c>
      <c r="M47" s="1708" t="s">
        <v>420</v>
      </c>
      <c r="R47" s="774"/>
      <c r="S47" s="774"/>
      <c r="T47" s="774"/>
      <c r="U47" s="2671"/>
      <c r="V47" s="2607"/>
      <c r="W47" s="700"/>
      <c r="X47" s="2693"/>
      <c r="Y47" s="2717"/>
      <c r="Z47" s="2717"/>
      <c r="AA47" s="1620" t="s">
        <v>468</v>
      </c>
      <c r="AB47" s="1620" t="s">
        <v>469</v>
      </c>
      <c r="AC47" s="2717"/>
      <c r="AD47" s="2721"/>
      <c r="AE47" s="2722"/>
      <c r="AF47" s="2677"/>
      <c r="AG47" s="2693"/>
      <c r="AH47" s="2717"/>
      <c r="AI47" s="2717"/>
      <c r="AJ47" s="1620" t="s">
        <v>468</v>
      </c>
      <c r="AK47" s="1620" t="s">
        <v>469</v>
      </c>
      <c r="AL47" s="2717"/>
      <c r="AM47" s="2721"/>
      <c r="AN47" s="2722"/>
      <c r="AO47" s="2677"/>
      <c r="AP47" s="2680"/>
      <c r="AQ47" s="2525"/>
      <c r="AW47" s="1553">
        <v>62</v>
      </c>
    </row>
    <row s="25006"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110</v>
      </c>
      <c r="V48" s="1653" t="s">
        <v>111</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181</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124</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181</v>
      </c>
      <c r="B50" s="1665" t="s">
        <v>182</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402</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403</v>
      </c>
      <c r="AS50" s="898"/>
      <c r="AT50" s="898" t="str">
        <f>IF(V50="","",V50)</f>
        <v>Территория действия тарифа</v>
      </c>
      <c r="AU50" s="898"/>
      <c r="AV50" s="898"/>
      <c r="AW50" s="1553">
        <v>21</v>
      </c>
    </row>
    <row customHeight="1" ht="24">
      <c r="A51" s="1665" t="s">
        <v>181</v>
      </c>
      <c r="B51" s="1665" t="s">
        <v>182</v>
      </c>
      <c r="C51" s="1665" t="s">
        <v>183</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404</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405</v>
      </c>
      <c r="AS51" s="898"/>
      <c r="AT51" s="898" t="str">
        <f>IF(V51="","",V51)</f>
        <v>Наименование системы теплоснабжения </v>
      </c>
      <c r="AU51" s="898"/>
      <c r="AV51" s="898"/>
      <c r="AW51" s="1553">
        <v>23</v>
      </c>
    </row>
    <row customHeight="1" ht="22.049999999999997">
      <c r="A52" s="1665" t="s">
        <v>181</v>
      </c>
      <c r="B52" s="1665" t="s">
        <v>182</v>
      </c>
      <c r="C52" s="1665" t="s">
        <v>183</v>
      </c>
      <c r="D52" s="1665" t="s">
        <v>184</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406</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407</v>
      </c>
      <c r="AS52" s="898"/>
      <c r="AT52" s="898" t="str">
        <f>IF(V52="","",V52)</f>
        <v>Источник тепловой энергии  </v>
      </c>
      <c r="AU52" s="898"/>
      <c r="AV52" s="898"/>
      <c r="AW52" s="1553">
        <v>21</v>
      </c>
    </row>
    <row s="24435" customFormat="1" customHeight="1" ht="0">
      <c r="A53" s="1773" t="s">
        <v>181</v>
      </c>
      <c r="B53" s="1773" t="s">
        <v>182</v>
      </c>
      <c r="C53" s="1773" t="s">
        <v>183</v>
      </c>
      <c r="D53" s="1773" t="s">
        <v>184</v>
      </c>
      <c r="E53" s="2688"/>
      <c r="F53" s="2688"/>
      <c r="G53" s="2688"/>
      <c r="H53" s="2709"/>
      <c r="I53" s="2525" t="str">
        <f>U52&amp;".1"</f>
        <v>....1</v>
      </c>
      <c r="J53" s="1773"/>
      <c r="K53" s="1773"/>
      <c r="L53" s="1773"/>
      <c r="M53" s="1779" t="s">
        <v>408</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181</v>
      </c>
      <c r="B54" s="1665" t="s">
        <v>182</v>
      </c>
      <c r="C54" s="1665" t="s">
        <v>183</v>
      </c>
      <c r="D54" s="1665" t="s">
        <v>184</v>
      </c>
      <c r="E54" s="2688"/>
      <c r="F54" s="2688"/>
      <c r="G54" s="2688"/>
      <c r="H54" s="2709"/>
      <c r="I54" s="2499"/>
      <c r="J54" s="2525" t="str">
        <f>I53&amp;".1"</f>
        <v>....1.1</v>
      </c>
      <c r="K54" s="1665"/>
      <c r="L54" s="1665"/>
      <c r="M54" s="1708" t="s">
        <v>411</v>
      </c>
      <c r="Q54" s="2655"/>
      <c r="R54" s="2655">
        <v>1</v>
      </c>
      <c r="S54" s="916"/>
      <c r="T54" s="755"/>
      <c r="U54" s="1734" t="str">
        <f>$J54</f>
        <v>....1.1</v>
      </c>
      <c r="V54" s="684" t="s">
        <v>412</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413</v>
      </c>
      <c r="AS54" s="898"/>
      <c r="AT54" s="898" t="str">
        <f>IF(V54="","",V54)</f>
        <v>Группа потребителей</v>
      </c>
      <c r="AU54" s="898"/>
      <c r="AV54" s="898"/>
      <c r="AW54" s="1553">
        <v>21</v>
      </c>
    </row>
    <row customHeight="1" ht="22.049999999999997">
      <c r="A55" s="1665" t="s">
        <v>181</v>
      </c>
      <c r="B55" s="1665" t="s">
        <v>182</v>
      </c>
      <c r="C55" s="1665" t="s">
        <v>183</v>
      </c>
      <c r="D55" s="1665" t="s">
        <v>184</v>
      </c>
      <c r="E55" s="2688"/>
      <c r="F55" s="2688"/>
      <c r="G55" s="2688"/>
      <c r="H55" s="2709"/>
      <c r="I55" s="2499"/>
      <c r="J55" s="2499"/>
      <c r="K55" s="2525" t="str">
        <f>J54&amp;".1"</f>
        <v>....1.1.1</v>
      </c>
      <c r="L55" s="537"/>
      <c r="M55" s="1708" t="s">
        <v>414</v>
      </c>
      <c r="Q55" s="2655"/>
      <c r="R55" s="2655"/>
      <c r="S55" s="916">
        <v>1</v>
      </c>
      <c r="T55" s="755"/>
      <c r="U55" s="1734" t="str">
        <f>$K55</f>
        <v>....1.1.1</v>
      </c>
      <c r="V55" s="1745"/>
      <c r="W55" s="698"/>
      <c r="X55" s="1149"/>
      <c r="Y55" s="1149"/>
      <c r="Z55" s="1149"/>
      <c r="AA55" s="1149"/>
      <c r="AB55" s="1803"/>
      <c r="AC55" s="2663"/>
      <c r="AD55" s="2505" t="s">
        <v>67</v>
      </c>
      <c r="AE55" s="2663"/>
      <c r="AF55" s="2505" t="s">
        <v>67</v>
      </c>
      <c r="AG55" s="1805"/>
      <c r="AH55" s="1149"/>
      <c r="AI55" s="1149"/>
      <c r="AJ55" s="1149"/>
      <c r="AK55" s="1655"/>
      <c r="AL55" s="2663"/>
      <c r="AM55" s="2505" t="s">
        <v>67</v>
      </c>
      <c r="AN55" s="2663"/>
      <c r="AO55" s="2505" t="s">
        <v>67</v>
      </c>
      <c r="AP55" s="1746"/>
      <c r="AQ55" s="1705" t="s">
        <v>458</v>
      </c>
      <c r="AR55" s="909">
        <f>STRCHECKDATE(X57:AP57)</f>
      </c>
      <c r="AS55" s="898"/>
      <c r="AT55" s="898" t="str">
        <f>IF(V55="","",V55)</f>
        <v/>
      </c>
      <c r="AU55" s="898"/>
      <c r="AV55" s="898"/>
      <c r="AW55" s="1553">
        <v>21</v>
      </c>
    </row>
    <row customHeight="1" ht="11.549999999999999">
      <c r="A56" s="1665" t="s">
        <v>181</v>
      </c>
      <c r="B56" s="1665" t="s">
        <v>182</v>
      </c>
      <c r="C56" s="1665" t="s">
        <v>183</v>
      </c>
      <c r="D56" s="1665" t="s">
        <v>184</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459</v>
      </c>
      <c r="AR56" s="909">
        <f>STRCHECKDATE(X58:AP58)</f>
      </c>
      <c r="AS56" s="898"/>
      <c r="AT56" s="898" t="str">
        <f>IF(V56="","",V56)</f>
        <v/>
      </c>
      <c r="AU56" s="898"/>
      <c r="AV56" s="898"/>
      <c r="AW56" s="1553">
        <v>11</v>
      </c>
    </row>
    <row customHeight="1" ht="0">
      <c r="A57" s="1665" t="s">
        <v>181</v>
      </c>
      <c r="B57" s="1665" t="s">
        <v>182</v>
      </c>
      <c r="C57" s="1665" t="s">
        <v>183</v>
      </c>
      <c r="D57" s="1665" t="s">
        <v>184</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181</v>
      </c>
      <c r="B58" s="1665" t="s">
        <v>182</v>
      </c>
      <c r="C58" s="1665" t="s">
        <v>183</v>
      </c>
      <c r="D58" s="1665" t="s">
        <v>184</v>
      </c>
      <c r="E58" s="2688"/>
      <c r="F58" s="2688"/>
      <c r="G58" s="2688"/>
      <c r="H58" s="2709"/>
      <c r="I58" s="2499"/>
      <c r="J58" s="2499"/>
      <c r="K58" s="2525"/>
      <c r="L58" s="1665"/>
      <c r="M58" s="1708"/>
      <c r="Q58" s="2655"/>
      <c r="R58" s="2655"/>
      <c r="S58" s="1729"/>
      <c r="T58" s="754"/>
      <c r="U58" s="1676"/>
      <c r="V58" s="686" t="s">
        <v>460</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181</v>
      </c>
      <c r="B59" s="1665" t="s">
        <v>182</v>
      </c>
      <c r="C59" s="1665" t="s">
        <v>183</v>
      </c>
      <c r="D59" s="1665" t="s">
        <v>184</v>
      </c>
      <c r="E59" s="2688"/>
      <c r="F59" s="2688"/>
      <c r="G59" s="2688"/>
      <c r="H59" s="2709"/>
      <c r="I59" s="2499"/>
      <c r="J59" s="2525"/>
      <c r="K59" s="1665"/>
      <c r="L59" s="1665"/>
      <c r="M59" s="1708"/>
      <c r="Q59" s="2655"/>
      <c r="R59" s="2655"/>
      <c r="S59" s="1729"/>
      <c r="T59" s="754"/>
      <c r="U59" s="1676"/>
      <c r="V59" s="685" t="s">
        <v>416</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181</v>
      </c>
      <c r="B60" s="1665" t="s">
        <v>182</v>
      </c>
      <c r="C60" s="1665" t="s">
        <v>183</v>
      </c>
      <c r="D60" s="1665" t="s">
        <v>184</v>
      </c>
      <c r="E60" s="2688"/>
      <c r="F60" s="2688"/>
      <c r="G60" s="2688"/>
      <c r="H60" s="2709"/>
      <c r="I60" s="2525"/>
      <c r="J60" s="1665"/>
      <c r="K60" s="1665"/>
      <c r="L60" s="1665"/>
      <c r="M60" s="1708"/>
      <c r="Q60" s="2655"/>
      <c r="R60" s="1729"/>
      <c r="S60" s="1729"/>
      <c r="T60" s="754"/>
      <c r="U60" s="1676"/>
      <c r="V60" s="763" t="s">
        <v>417</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181</v>
      </c>
      <c r="B61" s="1665" t="s">
        <v>182</v>
      </c>
      <c r="C61" s="1665" t="s">
        <v>183</v>
      </c>
      <c r="D61" s="1665" t="s">
        <v>184</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4435" customFormat="1" customHeight="1" ht="0">
      <c r="A62" s="1773" t="s">
        <v>181</v>
      </c>
      <c r="B62" s="1773" t="s">
        <v>182</v>
      </c>
      <c r="C62" s="1773" t="s">
        <v>183</v>
      </c>
      <c r="D62" s="1772"/>
      <c r="E62" s="2688"/>
      <c r="F62" s="2688"/>
      <c r="G62" s="2687"/>
      <c r="H62" s="1772"/>
      <c r="I62" s="1772"/>
      <c r="J62" s="1772"/>
      <c r="K62" s="1772"/>
      <c r="L62" s="1772"/>
      <c r="M62" s="1775"/>
      <c r="N62" s="1776"/>
      <c r="O62" s="1776"/>
      <c r="P62" s="749"/>
      <c r="Q62" s="1714"/>
      <c r="R62" s="1715"/>
      <c r="S62" s="1714"/>
      <c r="T62" s="1714"/>
      <c r="U62" s="1720"/>
      <c r="V62" s="1723" t="s">
        <v>163</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4435" customFormat="1" customHeight="1" ht="0">
      <c r="A63" s="1773" t="s">
        <v>181</v>
      </c>
      <c r="B63" s="1773" t="s">
        <v>182</v>
      </c>
      <c r="C63" s="1772"/>
      <c r="D63" s="1772"/>
      <c r="E63" s="2688"/>
      <c r="F63" s="2687"/>
      <c r="G63" s="1772"/>
      <c r="H63" s="1772"/>
      <c r="I63" s="1772"/>
      <c r="J63" s="1772"/>
      <c r="K63" s="1772"/>
      <c r="L63" s="1772"/>
      <c r="M63" s="1775"/>
      <c r="N63" s="1777"/>
      <c r="O63" s="1777"/>
      <c r="P63" s="749"/>
      <c r="Q63" s="1714"/>
      <c r="R63" s="1715"/>
      <c r="S63" s="1714"/>
      <c r="T63" s="1714"/>
      <c r="U63" s="1720"/>
      <c r="V63" s="1723" t="s">
        <v>164</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4435" customFormat="1" customHeight="1" ht="0">
      <c r="A64" s="1773" t="s">
        <v>181</v>
      </c>
      <c r="B64" s="1773"/>
      <c r="C64" s="1773"/>
      <c r="D64" s="1773"/>
      <c r="E64" s="2687"/>
      <c r="F64" s="1773"/>
      <c r="G64" s="1773"/>
      <c r="H64" s="1773"/>
      <c r="I64" s="1773"/>
      <c r="J64" s="1773"/>
      <c r="K64" s="1773"/>
      <c r="L64" s="1773"/>
      <c r="M64" s="1779"/>
      <c r="N64" s="1777"/>
      <c r="O64" s="1777"/>
      <c r="P64" s="749"/>
      <c r="Q64" s="778"/>
      <c r="R64" s="1742"/>
      <c r="S64" s="778"/>
      <c r="T64" s="778"/>
      <c r="U64" s="1720"/>
      <c r="V64" s="1723" t="s">
        <v>165</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4435"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166</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83</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58D3-7933-C814-8D5D-843C6D27C61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2" width="3.00390625" customWidth="1"/>
    <col min="17" max="17" style="26380" width="3.00390625" customWidth="1"/>
    <col min="18" max="18" style="26194" width="3.00390625" customWidth="1"/>
    <col min="19" max="19" style="26195" width="12.00390625" customWidth="1"/>
    <col min="20" max="20" style="24354" width="31.00390625" customWidth="1"/>
    <col min="21" max="21" style="24354" width="0.140625" customWidth="1"/>
    <col min="22" max="23" style="24354" width="21.7109375" hidden="1" customWidth="1"/>
    <col min="24" max="24" style="24354" width="11.7109375" hidden="1" customWidth="1"/>
    <col min="25" max="25" style="24354" width="3.7109375" hidden="1" customWidth="1"/>
    <col min="26" max="26" style="24354" width="11.7109375" hidden="1" customWidth="1"/>
    <col min="27" max="27" style="24354" width="8.57421875" hidden="1" customWidth="1"/>
    <col min="28" max="28" style="24354" width="5.421875" customWidth="1"/>
    <col min="29" max="30" style="24354" width="3.00390625" customWidth="1"/>
    <col min="31" max="31" style="24354" width="24.00390625" customWidth="1"/>
    <col min="32" max="32" style="24354" width="3.7109375" customWidth="1"/>
    <col min="33" max="34" style="24354" width="3.00390625" customWidth="1"/>
    <col min="35" max="35" style="24354" width="24.00390625" customWidth="1"/>
    <col min="36" max="36" style="24354" width="3.7109375" customWidth="1"/>
    <col min="37" max="38" style="24354" width="3.00390625" customWidth="1"/>
    <col min="39" max="39" style="24354" width="18.00390625" customWidth="1"/>
    <col min="40" max="41" style="24354" width="21.00390625" customWidth="1"/>
    <col min="42" max="42" style="24354" width="11.00390625" customWidth="1"/>
    <col min="43" max="43" style="24354" width="3.7109375" customWidth="1"/>
    <col min="44" max="44" style="24354" width="11.00390625" customWidth="1"/>
    <col min="45" max="45" style="24354" width="8.57421875" hidden="1" customWidth="1"/>
    <col min="46" max="46" style="24354" width="4.00390625" customWidth="1"/>
    <col min="47" max="47" style="24354" width="115.00390625" customWidth="1"/>
    <col min="48" max="52" style="24435" width="10.00390625" customWidth="1"/>
    <col min="53" max="53" style="24354"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124</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401</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402</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403</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404</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405</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406</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407</v>
      </c>
      <c r="AW5" s="898"/>
      <c r="AX5" s="898" t="str">
        <f>IF(T5="","",T5)</f>
        <v>Источник тепловой энергии  </v>
      </c>
      <c r="AY5" s="898"/>
      <c r="AZ5" s="898"/>
      <c r="BA5" s="1553">
        <v>0</v>
      </c>
    </row>
    <row s="24435" customFormat="1" customHeight="1" ht="0.75" hidden="1">
      <c r="A6" s="1741"/>
      <c r="B6" s="1741"/>
      <c r="C6" s="1741"/>
      <c r="D6" s="1741"/>
      <c r="E6" s="2657"/>
      <c r="F6" s="2657"/>
      <c r="G6" s="2657"/>
      <c r="H6" s="2657"/>
      <c r="I6" s="2654">
        <f>S5&amp;".1"</f>
      </c>
      <c r="J6" s="1741"/>
      <c r="K6" s="1741"/>
      <c r="L6" s="1744" t="s">
        <v>408</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4435"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67</v>
      </c>
      <c r="Z8" s="2663"/>
      <c r="AA8" s="2505" t="s">
        <v>67</v>
      </c>
      <c r="AB8" s="2505" t="s">
        <v>19</v>
      </c>
      <c r="AC8" s="2724"/>
      <c r="AD8" s="2603">
        <v>1</v>
      </c>
      <c r="AE8" s="2725"/>
      <c r="AF8" s="2505" t="s">
        <v>19</v>
      </c>
      <c r="AG8" s="2724"/>
      <c r="AH8" s="2603">
        <v>1</v>
      </c>
      <c r="AI8" s="2725"/>
      <c r="AJ8" s="2505" t="s">
        <v>19</v>
      </c>
      <c r="AK8" s="709"/>
      <c r="AL8" s="1735">
        <v>1</v>
      </c>
      <c r="AM8" s="1796"/>
      <c r="AN8" s="1149"/>
      <c r="AO8" s="1655"/>
      <c r="AP8" s="2132"/>
      <c r="AQ8" s="1857" t="s">
        <v>67</v>
      </c>
      <c r="AR8" s="2132"/>
      <c r="AS8" s="1857" t="s">
        <v>67</v>
      </c>
      <c r="AT8" s="1746"/>
      <c r="AU8" s="2651" t="s">
        <v>470</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471</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472</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473</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474</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4435"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4435"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4435"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163</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4435"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164</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4435"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165</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67</v>
      </c>
      <c r="AR19" s="2134"/>
      <c r="AS19" s="1858" t="s">
        <v>67</v>
      </c>
      <c r="BA19" s="1553">
        <v>0</v>
      </c>
    </row>
    <row customHeight="1" ht="14.25" hidden="1">
      <c r="AV20" s="894"/>
      <c r="AW20" s="894"/>
      <c r="AX20" s="894"/>
      <c r="AY20" s="894"/>
      <c r="AZ20" s="894"/>
      <c r="BA20" s="1553">
        <v>0</v>
      </c>
    </row>
    <row customHeight="1" ht="14.25" hidden="1">
      <c r="O21" s="1765" t="s">
        <v>419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6351" customFormat="1" customHeight="1" ht="14.25" hidden="1">
      <c r="M23" s="1906"/>
      <c r="N23" s="1906"/>
      <c r="O23" s="1907" t="s">
        <v>420</v>
      </c>
      <c r="P23" s="1906"/>
      <c r="Q23" s="1908"/>
      <c r="R23" s="1908"/>
      <c r="Y23" s="1905" t="s">
        <v>422</v>
      </c>
      <c r="AA23" s="1905" t="s">
        <v>423</v>
      </c>
      <c r="AB23" s="1905" t="s">
        <v>475</v>
      </c>
      <c r="AE23" s="1905" t="s">
        <v>476</v>
      </c>
      <c r="AF23" s="1905" t="s">
        <v>475</v>
      </c>
      <c r="AI23" s="1905" t="s">
        <v>477</v>
      </c>
      <c r="AJ23" s="1905" t="s">
        <v>475</v>
      </c>
      <c r="AM23" s="1905" t="s">
        <v>478</v>
      </c>
      <c r="AQ23" s="1905" t="s">
        <v>422</v>
      </c>
      <c r="AS23" s="1905" t="s">
        <v>423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ООО "Новая Энергетика"</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4561"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4561"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425</v>
      </c>
      <c r="T31" s="2648"/>
      <c r="U31" s="1770"/>
      <c r="V31" s="2662" t="str">
        <f>IF(TITLE_DATE_PR_CHANGE="",IF(TITLE_DATE_PR="","",TITLE_DATE_PR),TITLE_DATE_PR_CHANGE)</f>
        <v>45649.66804398148</v>
      </c>
      <c r="W31" s="2662"/>
      <c r="X31" s="2662"/>
      <c r="Y31" s="2662"/>
      <c r="Z31" s="2662"/>
      <c r="AA31" s="724"/>
      <c r="AB31" s="2662" t="str">
        <f>IF(TITLE_DATE_PR_CHANGE="",IF(TITLE_DATE_PR="","",TITLE_DATE_PR),TITLE_DATE_PR_CHANGE)</f>
        <v>45649.66804398148</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45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426</v>
      </c>
      <c r="T32" s="2648"/>
      <c r="U32" s="1770"/>
      <c r="V32" s="2649" t="str">
        <f>IF(TITLE_NUMBER_PR_CHANGE="",IF(TITLE_NUMBER_PR="","",TITLE_NUMBER_PR),TITLE_NUMBER_PR_CHANGE)</f>
        <v>27/6419</v>
      </c>
      <c r="W32" s="2649"/>
      <c r="X32" s="2649"/>
      <c r="Y32" s="2649"/>
      <c r="Z32" s="2649"/>
      <c r="AA32" s="724"/>
      <c r="AB32" s="2649" t="str">
        <f>IF(TITLE_NUMBER_PR_CHANGE="",IF(TITLE_NUMBER_PR="","",TITLE_NUMBER_PR),TITLE_NUMBER_PR_CHANGE)</f>
        <v>27/6419</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45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4561" customFormat="1" customHeight="1" ht="18.75">
      <c r="A35" s="1766"/>
      <c r="B35" s="1766"/>
      <c r="C35" s="1766"/>
      <c r="D35" s="1766"/>
      <c r="E35" s="1766"/>
      <c r="F35" s="1766"/>
      <c r="G35" s="1766"/>
      <c r="H35" s="1766"/>
      <c r="I35" s="1766"/>
      <c r="J35" s="1766"/>
      <c r="K35" s="1766"/>
      <c r="L35" s="1767"/>
      <c r="M35" s="1766"/>
      <c r="N35" s="1766"/>
      <c r="O35" s="1766"/>
      <c r="P35" s="1766"/>
      <c r="Q35" s="1766"/>
      <c r="S35" s="2648" t="s">
        <v>425</v>
      </c>
      <c r="T35" s="2648"/>
      <c r="U35" s="1770"/>
      <c r="V35" s="2662" t="str">
        <f>IF(TITLE_DATE_PR_CHANGE="",IF(TITLE_DATE_PR="","",TITLE_DATE_PR),TITLE_DATE_PR_CHANGE)</f>
        <v>45649.66804398148</v>
      </c>
      <c r="W35" s="2662"/>
      <c r="X35" s="2662"/>
      <c r="Y35" s="2662"/>
      <c r="Z35" s="2662"/>
      <c r="AA35" s="724"/>
      <c r="AB35" s="2662" t="str">
        <f>IF(TITLE_DATE_PR_CHANGE="",IF(TITLE_DATE_PR="","",TITLE_DATE_PR),TITLE_DATE_PR_CHANGE)</f>
        <v>45649.66804398148</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4561" customFormat="1" customHeight="1" ht="18">
      <c r="A36" s="1766"/>
      <c r="B36" s="1766"/>
      <c r="C36" s="1766"/>
      <c r="D36" s="1766"/>
      <c r="E36" s="1766"/>
      <c r="F36" s="1766"/>
      <c r="G36" s="1766"/>
      <c r="H36" s="1766"/>
      <c r="I36" s="1766"/>
      <c r="J36" s="1766"/>
      <c r="K36" s="1766"/>
      <c r="L36" s="1767"/>
      <c r="M36" s="1766"/>
      <c r="N36" s="1766"/>
      <c r="O36" s="1766"/>
      <c r="P36" s="1766"/>
      <c r="Q36" s="1766"/>
      <c r="S36" s="2648" t="s">
        <v>426</v>
      </c>
      <c r="T36" s="2648"/>
      <c r="U36" s="1770"/>
      <c r="V36" s="2649" t="str">
        <f>IF(TITLE_NUMBER_PR_CHANGE="",IF(TITLE_NUMBER_PR="","",TITLE_NUMBER_PR),TITLE_NUMBER_PR_CHANGE)</f>
        <v>27/6419</v>
      </c>
      <c r="W36" s="2649"/>
      <c r="X36" s="2649"/>
      <c r="Y36" s="2649"/>
      <c r="Z36" s="2649"/>
      <c r="AA36" s="724"/>
      <c r="AB36" s="2649" t="str">
        <f>IF(TITLE_NUMBER_PR_CHANGE="",IF(TITLE_NUMBER_PR="","",TITLE_NUMBER_PR),TITLE_NUMBER_PR_CHANGE)</f>
        <v>27/6419</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4561"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429</v>
      </c>
      <c r="AB37" s="724"/>
      <c r="AC37" s="724"/>
      <c r="AD37" s="724"/>
      <c r="AE37" s="724"/>
      <c r="AF37" s="724"/>
      <c r="AG37" s="724"/>
      <c r="AH37" s="724"/>
      <c r="AI37" s="724"/>
      <c r="AJ37" s="724"/>
      <c r="AK37" s="724"/>
      <c r="AL37" s="724"/>
      <c r="AM37" s="724"/>
      <c r="AN37" s="724"/>
      <c r="AO37" s="724"/>
      <c r="AP37" s="724"/>
      <c r="AQ37" s="724"/>
      <c r="AR37" s="724"/>
      <c r="AS37" s="676" t="s">
        <v>429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305</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306</v>
      </c>
      <c r="BA39" s="1553">
        <v>14</v>
      </c>
    </row>
    <row customHeight="1" ht="14.699999999999998">
      <c r="Q40" s="689"/>
      <c r="R40" s="774"/>
      <c r="S40" s="2671" t="s">
        <v>89</v>
      </c>
      <c r="T40" s="2607" t="s">
        <v>479</v>
      </c>
      <c r="U40" s="699"/>
      <c r="V40" s="2673"/>
      <c r="W40" s="2673"/>
      <c r="X40" s="2673"/>
      <c r="Y40" s="2673"/>
      <c r="Z40" s="2674"/>
      <c r="AA40" s="2734" t="s">
        <v>433</v>
      </c>
      <c r="AB40" s="2726" t="s">
        <v>480</v>
      </c>
      <c r="AC40" s="2689"/>
      <c r="AD40" s="2689"/>
      <c r="AE40" s="2727"/>
      <c r="AF40" s="2689" t="s">
        <v>481</v>
      </c>
      <c r="AG40" s="2689"/>
      <c r="AH40" s="2689"/>
      <c r="AI40" s="2727"/>
      <c r="AJ40" s="2726" t="s">
        <v>482</v>
      </c>
      <c r="AK40" s="2689"/>
      <c r="AL40" s="2689"/>
      <c r="AM40" s="2727"/>
      <c r="AN40" s="2726" t="s">
        <v>432</v>
      </c>
      <c r="AO40" s="2689"/>
      <c r="AP40" s="2673"/>
      <c r="AQ40" s="2673"/>
      <c r="AR40" s="2674"/>
      <c r="AS40" s="2675" t="s">
        <v>433</v>
      </c>
      <c r="AT40" s="2678" t="s">
        <v>435</v>
      </c>
      <c r="AU40" s="2525"/>
      <c r="BA40" s="1553">
        <v>14</v>
      </c>
    </row>
    <row customHeight="1" ht="35.699999999999996">
      <c r="Q41" s="689"/>
      <c r="R41" s="774"/>
      <c r="S41" s="2671"/>
      <c r="T41" s="2607"/>
      <c r="U41" s="1429"/>
      <c r="V41" s="2525" t="s">
        <v>483</v>
      </c>
      <c r="W41" s="2525"/>
      <c r="X41" s="2692" t="s">
        <v>439</v>
      </c>
      <c r="Y41" s="2711"/>
      <c r="Z41" s="2712"/>
      <c r="AA41" s="2735"/>
      <c r="AB41" s="2728"/>
      <c r="AC41" s="2729"/>
      <c r="AD41" s="2729"/>
      <c r="AE41" s="2730"/>
      <c r="AF41" s="2729"/>
      <c r="AG41" s="2729"/>
      <c r="AH41" s="2729"/>
      <c r="AI41" s="2730"/>
      <c r="AJ41" s="2728"/>
      <c r="AK41" s="2729"/>
      <c r="AL41" s="2729"/>
      <c r="AM41" s="2729"/>
      <c r="AN41" s="2525" t="s">
        <v>483</v>
      </c>
      <c r="AO41" s="2525"/>
      <c r="AP41" s="2711" t="s">
        <v>439</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136</v>
      </c>
      <c r="C43" s="1768" t="s">
        <v>137</v>
      </c>
      <c r="D43" s="1768" t="s">
        <v>138</v>
      </c>
      <c r="E43" s="1762" t="s">
        <v>440</v>
      </c>
      <c r="F43" s="1762" t="s">
        <v>441</v>
      </c>
      <c r="G43" s="1762" t="s">
        <v>442</v>
      </c>
      <c r="H43" s="1762" t="s">
        <v>443</v>
      </c>
      <c r="I43" s="1762" t="s">
        <v>444</v>
      </c>
      <c r="J43" s="1762" t="s">
        <v>445</v>
      </c>
      <c r="K43" s="1762" t="s">
        <v>446</v>
      </c>
      <c r="L43" s="1762" t="s">
        <v>420</v>
      </c>
      <c r="Q43" s="689"/>
      <c r="R43" s="774"/>
      <c r="S43" s="2671"/>
      <c r="T43" s="2607"/>
      <c r="U43" s="700"/>
      <c r="V43" s="1728" t="s">
        <v>484</v>
      </c>
      <c r="W43" s="1728" t="s">
        <v>485</v>
      </c>
      <c r="X43" s="1736" t="s">
        <v>449</v>
      </c>
      <c r="Y43" s="2668" t="s">
        <v>450</v>
      </c>
      <c r="Z43" s="2669"/>
      <c r="AA43" s="2736"/>
      <c r="AB43" s="2731"/>
      <c r="AC43" s="2732"/>
      <c r="AD43" s="2732"/>
      <c r="AE43" s="2733"/>
      <c r="AF43" s="2732"/>
      <c r="AG43" s="2732"/>
      <c r="AH43" s="2732"/>
      <c r="AI43" s="2733"/>
      <c r="AJ43" s="2731"/>
      <c r="AK43" s="2732"/>
      <c r="AL43" s="2732"/>
      <c r="AM43" s="2733"/>
      <c r="AN43" s="2258" t="s">
        <v>484</v>
      </c>
      <c r="AO43" s="2258" t="s">
        <v>485</v>
      </c>
      <c r="AP43" s="1736" t="s">
        <v>449</v>
      </c>
      <c r="AQ43" s="2668" t="s">
        <v>450</v>
      </c>
      <c r="AR43" s="2669"/>
      <c r="AS43" s="2677"/>
      <c r="AT43" s="2680"/>
      <c r="AU43" s="2525"/>
      <c r="BA43" s="1553">
        <v>14</v>
      </c>
    </row>
    <row s="25006"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110</v>
      </c>
      <c r="T44" s="1653" t="s">
        <v>111</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205</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124</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205</v>
      </c>
      <c r="B46" s="1761" t="s">
        <v>206</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402</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403</v>
      </c>
      <c r="AW46" s="898"/>
      <c r="AX46" s="898" t="str">
        <f>IF(T46="","",T46)</f>
        <v>Территория действия тарифа</v>
      </c>
      <c r="AY46" s="898"/>
      <c r="AZ46" s="898"/>
      <c r="BA46" s="1553">
        <v>21</v>
      </c>
    </row>
    <row customHeight="1" ht="24">
      <c r="A47" s="1761" t="s">
        <v>205</v>
      </c>
      <c r="B47" s="1761" t="s">
        <v>206</v>
      </c>
      <c r="C47" s="1761" t="s">
        <v>207</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404</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405</v>
      </c>
      <c r="AW47" s="898"/>
      <c r="AX47" s="898" t="str">
        <f>IF(T47="","",T47)</f>
        <v>Наименование системы теплоснабжения </v>
      </c>
      <c r="AY47" s="898"/>
      <c r="AZ47" s="898"/>
      <c r="BA47" s="1553">
        <v>23</v>
      </c>
    </row>
    <row customHeight="1" ht="21">
      <c r="A48" s="1761" t="s">
        <v>205</v>
      </c>
      <c r="B48" s="1761" t="s">
        <v>206</v>
      </c>
      <c r="C48" s="1761" t="s">
        <v>207</v>
      </c>
      <c r="D48" s="1761" t="s">
        <v>208</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406</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407</v>
      </c>
      <c r="AW48" s="898"/>
      <c r="AX48" s="898" t="str">
        <f>IF(T48="","",T48)</f>
        <v>Источник тепловой энергии  </v>
      </c>
      <c r="AY48" s="898"/>
      <c r="AZ48" s="898"/>
      <c r="BA48" s="1553">
        <v>20</v>
      </c>
    </row>
    <row s="24435" customFormat="1" customHeight="1" ht="1.05">
      <c r="A49" s="1741" t="s">
        <v>205</v>
      </c>
      <c r="B49" s="1741" t="s">
        <v>206</v>
      </c>
      <c r="C49" s="1741" t="s">
        <v>207</v>
      </c>
      <c r="D49" s="1741" t="s">
        <v>208</v>
      </c>
      <c r="E49" s="2657"/>
      <c r="F49" s="2657"/>
      <c r="G49" s="2657"/>
      <c r="H49" s="2657"/>
      <c r="I49" s="2654" t="str">
        <f>S48&amp;".1"</f>
        <v>....1</v>
      </c>
      <c r="J49" s="1741"/>
      <c r="K49" s="1741"/>
      <c r="L49" s="1744" t="s">
        <v>408</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4435" customFormat="1" customHeight="1" ht="1.05">
      <c r="A50" s="1741" t="s">
        <v>205</v>
      </c>
      <c r="B50" s="1741" t="s">
        <v>206</v>
      </c>
      <c r="C50" s="1741" t="s">
        <v>207</v>
      </c>
      <c r="D50" s="1741" t="s">
        <v>208</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205</v>
      </c>
      <c r="B51" s="1761" t="s">
        <v>206</v>
      </c>
      <c r="C51" s="1761" t="s">
        <v>207</v>
      </c>
      <c r="D51" s="1761" t="s">
        <v>208</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67</v>
      </c>
      <c r="Z51" s="2132"/>
      <c r="AA51" s="1857" t="s">
        <v>67</v>
      </c>
      <c r="AB51" s="2505" t="s">
        <v>19</v>
      </c>
      <c r="AC51" s="2724"/>
      <c r="AD51" s="2603">
        <v>1</v>
      </c>
      <c r="AE51" s="2746" t="s">
        <v>28</v>
      </c>
      <c r="AF51" s="2505" t="s">
        <v>19</v>
      </c>
      <c r="AG51" s="2724"/>
      <c r="AH51" s="2603">
        <v>1</v>
      </c>
      <c r="AI51" s="2746" t="s">
        <v>28</v>
      </c>
      <c r="AJ51" s="2505" t="s">
        <v>19</v>
      </c>
      <c r="AK51" s="709"/>
      <c r="AL51" s="1735">
        <v>1</v>
      </c>
      <c r="AM51" s="1800"/>
      <c r="AN51" s="1149"/>
      <c r="AO51" s="1655"/>
      <c r="AP51" s="2132"/>
      <c r="AQ51" s="1857" t="s">
        <v>67</v>
      </c>
      <c r="AR51" s="2132"/>
      <c r="AS51" s="1857" t="s">
        <v>67</v>
      </c>
      <c r="AT51" s="1746"/>
      <c r="AU51" s="2651" t="s">
        <v>486</v>
      </c>
      <c r="AV51" s="909">
        <f>STRCHECKDATE(V54:AT54)</f>
      </c>
      <c r="AW51" s="898"/>
      <c r="AX51" s="898" t="str">
        <f>IF(T51="","",T51)</f>
        <v/>
      </c>
      <c r="AY51" s="898"/>
      <c r="AZ51" s="898"/>
      <c r="BA51" s="1553">
        <v>21</v>
      </c>
    </row>
    <row customHeight="1" ht="11.549999999999999">
      <c r="A52" s="1761" t="s">
        <v>205</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471</v>
      </c>
      <c r="AN52" s="1791"/>
      <c r="AO52" s="1894"/>
      <c r="AP52" s="1791"/>
      <c r="AQ52" s="1791"/>
      <c r="AR52" s="1791"/>
      <c r="AS52" s="1791"/>
      <c r="AT52" s="1788"/>
      <c r="AU52" s="2652"/>
      <c r="AW52" s="898"/>
      <c r="AX52" s="898"/>
      <c r="AY52" s="898"/>
      <c r="AZ52" s="898"/>
      <c r="BA52" s="1553">
        <v>11</v>
      </c>
    </row>
    <row customHeight="1" ht="11.549999999999999">
      <c r="A53" s="1761" t="s">
        <v>205</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472</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205</v>
      </c>
      <c r="B54" s="1761" t="s">
        <v>206</v>
      </c>
      <c r="C54" s="1761" t="s">
        <v>207</v>
      </c>
      <c r="D54" s="1761" t="s">
        <v>208</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473</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205</v>
      </c>
      <c r="B55" s="1761" t="s">
        <v>206</v>
      </c>
      <c r="C55" s="1761" t="s">
        <v>207</v>
      </c>
      <c r="D55" s="1761" t="s">
        <v>208</v>
      </c>
      <c r="E55" s="2657"/>
      <c r="F55" s="2657"/>
      <c r="G55" s="2657"/>
      <c r="H55" s="2657"/>
      <c r="I55" s="2684"/>
      <c r="J55" s="2654"/>
      <c r="K55" s="1761"/>
      <c r="L55" s="1762"/>
      <c r="P55" s="2655"/>
      <c r="Q55" s="2655"/>
      <c r="R55" s="754"/>
      <c r="S55" s="1676"/>
      <c r="T55" s="685" t="s">
        <v>474</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4435" customFormat="1" customHeight="1" ht="1.05">
      <c r="A56" s="1741" t="s">
        <v>205</v>
      </c>
      <c r="B56" s="1741" t="s">
        <v>206</v>
      </c>
      <c r="C56" s="1741" t="s">
        <v>207</v>
      </c>
      <c r="D56" s="1741" t="s">
        <v>208</v>
      </c>
      <c r="E56" s="2657"/>
      <c r="F56" s="2657"/>
      <c r="G56" s="2657"/>
      <c r="H56" s="2657"/>
      <c r="I56" s="2654"/>
      <c r="J56" s="1741"/>
      <c r="K56" s="1741"/>
      <c r="L56" s="1744"/>
      <c r="M56" s="908"/>
      <c r="N56" s="908"/>
      <c r="O56" s="908"/>
      <c r="P56" s="2655"/>
      <c r="Q56" s="1729"/>
      <c r="R56" s="754"/>
      <c r="S56" s="1784"/>
      <c r="T56" s="1785" t="s">
        <v>417</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5006" customFormat="1" customHeight="1" ht="1.05">
      <c r="A57" s="1741" t="s">
        <v>205</v>
      </c>
      <c r="B57" s="1741" t="s">
        <v>206</v>
      </c>
      <c r="C57" s="1741" t="s">
        <v>207</v>
      </c>
      <c r="D57" s="1741" t="s">
        <v>208</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4435" customFormat="1" customHeight="1" ht="1.05">
      <c r="A58" s="1741" t="s">
        <v>205</v>
      </c>
      <c r="B58" s="1741" t="s">
        <v>206</v>
      </c>
      <c r="C58" s="1741" t="s">
        <v>207</v>
      </c>
      <c r="D58" s="1712"/>
      <c r="E58" s="2657"/>
      <c r="F58" s="2657"/>
      <c r="G58" s="2656"/>
      <c r="H58" s="1712"/>
      <c r="I58" s="1712"/>
      <c r="J58" s="1712"/>
      <c r="K58" s="1712"/>
      <c r="L58" s="1737"/>
      <c r="M58" s="1713"/>
      <c r="N58" s="1713"/>
      <c r="P58" s="1714"/>
      <c r="Q58" s="1715"/>
      <c r="R58" s="1714"/>
      <c r="S58" s="1720"/>
      <c r="T58" s="1723" t="s">
        <v>163</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4435" customFormat="1" customHeight="1" ht="1.05">
      <c r="A59" s="1741" t="s">
        <v>205</v>
      </c>
      <c r="B59" s="1741" t="s">
        <v>206</v>
      </c>
      <c r="C59" s="1712"/>
      <c r="D59" s="1712"/>
      <c r="E59" s="2657"/>
      <c r="F59" s="2656"/>
      <c r="G59" s="1712"/>
      <c r="H59" s="1712"/>
      <c r="I59" s="1712"/>
      <c r="J59" s="1712"/>
      <c r="K59" s="1712"/>
      <c r="L59" s="1737"/>
      <c r="M59" s="1719"/>
      <c r="N59" s="1719"/>
      <c r="P59" s="1714"/>
      <c r="Q59" s="1715"/>
      <c r="R59" s="1714"/>
      <c r="S59" s="1720"/>
      <c r="T59" s="1723" t="s">
        <v>164</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4435" customFormat="1" customHeight="1" ht="1.05">
      <c r="A60" s="1741" t="s">
        <v>205</v>
      </c>
      <c r="B60" s="1741"/>
      <c r="C60" s="1741"/>
      <c r="D60" s="1741"/>
      <c r="E60" s="2657"/>
      <c r="F60" s="1741"/>
      <c r="G60" s="1741"/>
      <c r="H60" s="1741"/>
      <c r="I60" s="1741"/>
      <c r="J60" s="1741"/>
      <c r="K60" s="1741"/>
      <c r="L60" s="1744"/>
      <c r="M60" s="1719"/>
      <c r="N60" s="1719"/>
      <c r="O60" s="916"/>
      <c r="P60" s="778"/>
      <c r="Q60" s="1742"/>
      <c r="R60" s="778"/>
      <c r="S60" s="1720"/>
      <c r="T60" s="1723" t="s">
        <v>165</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4435" customFormat="1" customHeight="1" ht="1.05">
      <c r="A61" s="1741" t="s">
        <v>205</v>
      </c>
      <c r="B61" s="1741"/>
      <c r="C61" s="1741"/>
      <c r="D61" s="1741"/>
      <c r="E61" s="2656"/>
      <c r="F61" s="1741"/>
      <c r="G61" s="1741"/>
      <c r="H61" s="1741"/>
      <c r="I61" s="1741"/>
      <c r="J61" s="1741"/>
      <c r="K61" s="1741"/>
      <c r="L61" s="1744"/>
      <c r="M61" s="1719"/>
      <c r="N61" s="1719"/>
      <c r="O61" s="916"/>
      <c r="P61" s="778"/>
      <c r="Q61" s="1742"/>
      <c r="R61" s="778"/>
      <c r="S61" s="1720"/>
      <c r="T61" s="1723" t="s">
        <v>165</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4435"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166</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83</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4A5E-88A5-EF57-B1DE-15F209B58B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487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23">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19"/>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19"/>
      <c r="M19" s="1760"/>
      <c r="N19" s="1760"/>
      <c r="O19" s="1760"/>
      <c r="P19" s="1760"/>
      <c r="Q19" s="1769"/>
      <c r="R19" s="1769"/>
      <c r="S19" s="1127"/>
      <c r="AB19" s="1764"/>
      <c r="AI19" s="1764"/>
      <c r="AL19" s="909"/>
      <c r="AM19" s="909"/>
      <c r="AN19" s="909"/>
      <c r="AO19" s="909"/>
      <c r="AP19" s="909"/>
      <c r="AQ19" s="1558">
        <v>0</v>
      </c>
    </row>
    <row s="24434" customFormat="1" customHeight="1" ht="12" hidden="1">
      <c r="L20" s="1819"/>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750" t="s">
        <v>495</v>
      </c>
      <c r="W38" s="2660" t="s">
        <v>438</v>
      </c>
      <c r="X38" s="2661"/>
      <c r="Y38" s="2660" t="s">
        <v>439</v>
      </c>
      <c r="Z38" s="2667"/>
      <c r="AA38" s="2661"/>
      <c r="AB38" s="2676"/>
      <c r="AC38" s="1750" t="s">
        <v>495</v>
      </c>
      <c r="AD38" s="2660" t="s">
        <v>438</v>
      </c>
      <c r="AE38" s="2661"/>
      <c r="AF38" s="2660" t="s">
        <v>439</v>
      </c>
      <c r="AG38" s="2667"/>
      <c r="AH38" s="2661"/>
      <c r="AI38" s="2676"/>
      <c r="AJ38" s="2679"/>
      <c r="AK38" s="2525"/>
      <c r="AQ38" s="1553">
        <v>34</v>
      </c>
    </row>
    <row customHeight="1" ht="35.699999999999996">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750" t="s">
        <v>498</v>
      </c>
      <c r="W39" s="1620" t="s">
        <v>499</v>
      </c>
      <c r="X39" s="1620" t="s">
        <v>500</v>
      </c>
      <c r="Y39" s="1755" t="s">
        <v>449</v>
      </c>
      <c r="Z39" s="2668" t="s">
        <v>450</v>
      </c>
      <c r="AA39" s="2669"/>
      <c r="AB39" s="2677"/>
      <c r="AC39" s="1750" t="s">
        <v>498</v>
      </c>
      <c r="AD39" s="1620" t="s">
        <v>499</v>
      </c>
      <c r="AE39" s="1620" t="s">
        <v>500</v>
      </c>
      <c r="AF39" s="1755" t="s">
        <v>449</v>
      </c>
      <c r="AG39" s="2668" t="s">
        <v>450</v>
      </c>
      <c r="AH39" s="2669"/>
      <c r="AI39" s="2677"/>
      <c r="AJ39" s="2680"/>
      <c r="AK39" s="2525"/>
      <c r="AQ39" s="1553">
        <v>34</v>
      </c>
    </row>
    <row s="25006"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231</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231</v>
      </c>
      <c r="B42" s="1761" t="s">
        <v>232</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231</v>
      </c>
      <c r="B43" s="1761" t="s">
        <v>232</v>
      </c>
      <c r="C43" s="1761" t="s">
        <v>233</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487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488</v>
      </c>
      <c r="AM43" s="898"/>
      <c r="AN43" s="898" t="str">
        <f>IF(T43="","",T43)</f>
        <v>Наименование централизованной системы холодного водоснабжения</v>
      </c>
      <c r="AO43" s="898"/>
      <c r="AP43" s="898"/>
      <c r="AQ43" s="1553">
        <v>23</v>
      </c>
    </row>
    <row customHeight="1" ht="24">
      <c r="A44" s="1761" t="s">
        <v>231</v>
      </c>
      <c r="B44" s="1761" t="s">
        <v>232</v>
      </c>
      <c r="C44" s="1761" t="s">
        <v>233</v>
      </c>
      <c r="D44" s="1761" t="s">
        <v>501</v>
      </c>
      <c r="E44" s="2657"/>
      <c r="F44" s="2657"/>
      <c r="G44" s="2657"/>
      <c r="H44" s="2657"/>
      <c r="I44" s="2654" t="str">
        <f>S43&amp;".1"</f>
        <v>...1</v>
      </c>
      <c r="J44" s="1761"/>
      <c r="K44" s="1761"/>
      <c r="L44" s="1762"/>
      <c r="P44" s="2655">
        <v>1</v>
      </c>
      <c r="Q44" s="1752"/>
      <c r="R44" s="754"/>
      <c r="S44" s="1756"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231</v>
      </c>
      <c r="B45" s="1761" t="s">
        <v>232</v>
      </c>
      <c r="C45" s="1761" t="s">
        <v>233</v>
      </c>
      <c r="D45" s="1761" t="s">
        <v>501</v>
      </c>
      <c r="E45" s="2657"/>
      <c r="F45" s="2657"/>
      <c r="G45" s="2657"/>
      <c r="H45" s="2657"/>
      <c r="I45" s="2684"/>
      <c r="J45" s="2654" t="str">
        <f>I44&amp;".1"</f>
        <v>...1.1</v>
      </c>
      <c r="K45" s="1761"/>
      <c r="L45" s="1762" t="s">
        <v>411</v>
      </c>
      <c r="P45" s="2655"/>
      <c r="Q45" s="2655">
        <v>1</v>
      </c>
      <c r="R45" s="755"/>
      <c r="S45" s="1756"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231</v>
      </c>
      <c r="B46" s="1761" t="s">
        <v>232</v>
      </c>
      <c r="C46" s="1761" t="s">
        <v>233</v>
      </c>
      <c r="D46" s="1761" t="s">
        <v>501</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231</v>
      </c>
      <c r="B47" s="1761" t="s">
        <v>232</v>
      </c>
      <c r="C47" s="1761" t="s">
        <v>233</v>
      </c>
      <c r="D47" s="1761" t="s">
        <v>501</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231</v>
      </c>
      <c r="B48" s="1761" t="s">
        <v>232</v>
      </c>
      <c r="C48" s="1761" t="s">
        <v>233</v>
      </c>
      <c r="D48" s="1761" t="s">
        <v>501</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231</v>
      </c>
      <c r="B49" s="1761" t="s">
        <v>232</v>
      </c>
      <c r="C49" s="1761" t="s">
        <v>233</v>
      </c>
      <c r="D49" s="1761" t="s">
        <v>501</v>
      </c>
      <c r="E49" s="2657"/>
      <c r="F49" s="2657"/>
      <c r="G49" s="2657"/>
      <c r="H49" s="2657"/>
      <c r="I49" s="2654"/>
      <c r="J49" s="1761"/>
      <c r="K49" s="1761"/>
      <c r="L49" s="1762"/>
      <c r="P49" s="2655"/>
      <c r="Q49" s="1752"/>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231</v>
      </c>
      <c r="B50" s="1761" t="s">
        <v>232</v>
      </c>
      <c r="C50" s="1761" t="s">
        <v>233</v>
      </c>
      <c r="D50" s="1761" t="s">
        <v>501</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231</v>
      </c>
      <c r="B51" s="1741" t="s">
        <v>232</v>
      </c>
      <c r="C51" s="1712"/>
      <c r="D51" s="1712"/>
      <c r="E51" s="2657"/>
      <c r="F51" s="2656"/>
      <c r="G51" s="1712"/>
      <c r="H51" s="1712"/>
      <c r="I51" s="1712"/>
      <c r="J51" s="1712"/>
      <c r="K51" s="1712"/>
      <c r="L51" s="1824"/>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231</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A00A4-D9DF-DE8A-068D-3A33E068CD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45"/>
      <c r="M19" s="1760"/>
      <c r="N19" s="1760"/>
      <c r="O19" s="1760"/>
      <c r="P19" s="1760"/>
      <c r="Q19" s="1769"/>
      <c r="R19" s="1769"/>
      <c r="S19" s="1127"/>
      <c r="AB19" s="1764"/>
      <c r="AI19" s="1764"/>
      <c r="AL19" s="909"/>
      <c r="AM19" s="909"/>
      <c r="AN19" s="909"/>
      <c r="AO19" s="909"/>
      <c r="AP19" s="909"/>
      <c r="AQ19" s="1558">
        <v>0</v>
      </c>
    </row>
    <row s="244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850" t="s">
        <v>495</v>
      </c>
      <c r="W38" s="2660" t="s">
        <v>438</v>
      </c>
      <c r="X38" s="2661"/>
      <c r="Y38" s="2660" t="s">
        <v>439</v>
      </c>
      <c r="Z38" s="2667"/>
      <c r="AA38" s="2661"/>
      <c r="AB38" s="2676"/>
      <c r="AC38" s="1850" t="s">
        <v>495</v>
      </c>
      <c r="AD38" s="2660" t="s">
        <v>438</v>
      </c>
      <c r="AE38" s="2661"/>
      <c r="AF38" s="2660" t="s">
        <v>439</v>
      </c>
      <c r="AG38" s="2667"/>
      <c r="AH38" s="2661"/>
      <c r="AI38" s="2676"/>
      <c r="AJ38" s="2679"/>
      <c r="AK38" s="2525"/>
      <c r="AQ38" s="1553">
        <v>34</v>
      </c>
    </row>
    <row customHeight="1" ht="35.699999999999996">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850" t="s">
        <v>498</v>
      </c>
      <c r="W39" s="1620" t="s">
        <v>499</v>
      </c>
      <c r="X39" s="1620" t="s">
        <v>500</v>
      </c>
      <c r="Y39" s="1853" t="s">
        <v>449</v>
      </c>
      <c r="Z39" s="2668" t="s">
        <v>450</v>
      </c>
      <c r="AA39" s="2669"/>
      <c r="AB39" s="2677"/>
      <c r="AC39" s="1850" t="s">
        <v>498</v>
      </c>
      <c r="AD39" s="1620" t="s">
        <v>499</v>
      </c>
      <c r="AE39" s="1620" t="s">
        <v>500</v>
      </c>
      <c r="AF39" s="1853" t="s">
        <v>449</v>
      </c>
      <c r="AG39" s="2668" t="s">
        <v>450</v>
      </c>
      <c r="AH39" s="2669"/>
      <c r="AI39" s="2677"/>
      <c r="AJ39" s="2680"/>
      <c r="AK39" s="2525"/>
      <c r="AQ39" s="1553">
        <v>34</v>
      </c>
    </row>
    <row s="250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236</v>
      </c>
      <c r="B42" s="1761" t="s">
        <v>237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236</v>
      </c>
      <c r="B43" s="1761" t="s">
        <v>237</v>
      </c>
      <c r="C43" s="1761" t="s">
        <v>238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488</v>
      </c>
      <c r="AM43" s="898"/>
      <c r="AN43" s="898" t="str">
        <f>IF(T43="","",T43)</f>
        <v>Наименование централизованной системы холодного водоснабжения</v>
      </c>
      <c r="AO43" s="898"/>
      <c r="AP43" s="898"/>
      <c r="AQ43" s="1553">
        <v>23</v>
      </c>
    </row>
    <row customHeight="1" ht="24">
      <c r="A44" s="1761" t="s">
        <v>236</v>
      </c>
      <c r="B44" s="1761" t="s">
        <v>237</v>
      </c>
      <c r="C44" s="1761" t="s">
        <v>238</v>
      </c>
      <c r="D44" s="1761" t="s">
        <v>502</v>
      </c>
      <c r="E44" s="2657"/>
      <c r="F44" s="2657"/>
      <c r="G44" s="2657"/>
      <c r="H44" s="2657"/>
      <c r="I44" s="2654" t="str">
        <f>S43&amp;".1"</f>
        <v>...1</v>
      </c>
      <c r="J44" s="1761"/>
      <c r="K44" s="1761"/>
      <c r="L44" s="1762"/>
      <c r="P44" s="2655">
        <v>1</v>
      </c>
      <c r="Q44" s="1848"/>
      <c r="R44" s="754"/>
      <c r="S44" s="1855"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236</v>
      </c>
      <c r="B45" s="1761" t="s">
        <v>237</v>
      </c>
      <c r="C45" s="1761" t="s">
        <v>238</v>
      </c>
      <c r="D45" s="1761" t="s">
        <v>502</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236</v>
      </c>
      <c r="B46" s="1761" t="s">
        <v>237</v>
      </c>
      <c r="C46" s="1761" t="s">
        <v>238</v>
      </c>
      <c r="D46" s="1761" t="s">
        <v>502</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236</v>
      </c>
      <c r="B47" s="1761" t="s">
        <v>237</v>
      </c>
      <c r="C47" s="1761" t="s">
        <v>238</v>
      </c>
      <c r="D47" s="1761" t="s">
        <v>502</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236</v>
      </c>
      <c r="B48" s="1761" t="s">
        <v>237</v>
      </c>
      <c r="C48" s="1761" t="s">
        <v>238</v>
      </c>
      <c r="D48" s="1761" t="s">
        <v>502</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236</v>
      </c>
      <c r="B49" s="1761" t="s">
        <v>237</v>
      </c>
      <c r="C49" s="1761" t="s">
        <v>238</v>
      </c>
      <c r="D49" s="1761" t="s">
        <v>502</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236</v>
      </c>
      <c r="B50" s="1761" t="s">
        <v>237</v>
      </c>
      <c r="C50" s="1761" t="s">
        <v>238</v>
      </c>
      <c r="D50" s="1761" t="s">
        <v>502</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236</v>
      </c>
      <c r="B51" s="1741" t="s">
        <v>237</v>
      </c>
      <c r="C51" s="1712"/>
      <c r="D51" s="1712"/>
      <c r="E51" s="2657"/>
      <c r="F51" s="2656"/>
      <c r="G51" s="1712"/>
      <c r="H51" s="1712"/>
      <c r="I51" s="1712"/>
      <c r="J51" s="1712"/>
      <c r="K51" s="1712"/>
      <c r="L51" s="1856"/>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236</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3BCC-3F44-A1AA-26CB-E8D59AA6C1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45"/>
      <c r="M19" s="1760"/>
      <c r="N19" s="1760"/>
      <c r="O19" s="1760"/>
      <c r="P19" s="1760"/>
      <c r="Q19" s="1769"/>
      <c r="R19" s="1769"/>
      <c r="S19" s="1127"/>
      <c r="AB19" s="1764"/>
      <c r="AI19" s="1764"/>
      <c r="AL19" s="909"/>
      <c r="AM19" s="909"/>
      <c r="AN19" s="909"/>
      <c r="AO19" s="909"/>
      <c r="AP19" s="909"/>
      <c r="AQ19" s="1558">
        <v>0</v>
      </c>
    </row>
    <row s="244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850" t="s">
        <v>495</v>
      </c>
      <c r="W38" s="2660" t="s">
        <v>438</v>
      </c>
      <c r="X38" s="2661"/>
      <c r="Y38" s="2660" t="s">
        <v>439</v>
      </c>
      <c r="Z38" s="2667"/>
      <c r="AA38" s="2661"/>
      <c r="AB38" s="2676"/>
      <c r="AC38" s="1850" t="s">
        <v>495</v>
      </c>
      <c r="AD38" s="2660" t="s">
        <v>438</v>
      </c>
      <c r="AE38" s="2661"/>
      <c r="AF38" s="2660" t="s">
        <v>439</v>
      </c>
      <c r="AG38" s="2667"/>
      <c r="AH38" s="2661"/>
      <c r="AI38" s="2676"/>
      <c r="AJ38" s="2679"/>
      <c r="AK38" s="2525"/>
      <c r="AQ38" s="1553">
        <v>34</v>
      </c>
    </row>
    <row customHeight="1" ht="35.699999999999996">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850" t="s">
        <v>498</v>
      </c>
      <c r="W39" s="1620" t="s">
        <v>499</v>
      </c>
      <c r="X39" s="1620" t="s">
        <v>500</v>
      </c>
      <c r="Y39" s="1853" t="s">
        <v>449</v>
      </c>
      <c r="Z39" s="2668" t="s">
        <v>450</v>
      </c>
      <c r="AA39" s="2669"/>
      <c r="AB39" s="2677"/>
      <c r="AC39" s="1850" t="s">
        <v>498</v>
      </c>
      <c r="AD39" s="1620" t="s">
        <v>499</v>
      </c>
      <c r="AE39" s="1620" t="s">
        <v>500</v>
      </c>
      <c r="AF39" s="1853" t="s">
        <v>449</v>
      </c>
      <c r="AG39" s="2668" t="s">
        <v>450</v>
      </c>
      <c r="AH39" s="2669"/>
      <c r="AI39" s="2677"/>
      <c r="AJ39" s="2680"/>
      <c r="AK39" s="2525"/>
      <c r="AQ39" s="1553">
        <v>34</v>
      </c>
    </row>
    <row s="250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241</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241</v>
      </c>
      <c r="B42" s="1761" t="s">
        <v>242</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241</v>
      </c>
      <c r="B43" s="1761" t="s">
        <v>242</v>
      </c>
      <c r="C43" s="1761" t="s">
        <v>243</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488</v>
      </c>
      <c r="AM43" s="898"/>
      <c r="AN43" s="898" t="str">
        <f>IF(T43="","",T43)</f>
        <v>Наименование централизованной системы холодного водоснабжения</v>
      </c>
      <c r="AO43" s="898"/>
      <c r="AP43" s="898"/>
      <c r="AQ43" s="1553">
        <v>23</v>
      </c>
    </row>
    <row customHeight="1" ht="24">
      <c r="A44" s="1761" t="s">
        <v>241</v>
      </c>
      <c r="B44" s="1761" t="s">
        <v>242</v>
      </c>
      <c r="C44" s="1761" t="s">
        <v>243</v>
      </c>
      <c r="D44" s="1761" t="s">
        <v>503</v>
      </c>
      <c r="E44" s="2657"/>
      <c r="F44" s="2657"/>
      <c r="G44" s="2657"/>
      <c r="H44" s="2657"/>
      <c r="I44" s="2654" t="str">
        <f>S43&amp;".1"</f>
        <v>...1</v>
      </c>
      <c r="J44" s="1761"/>
      <c r="K44" s="1761"/>
      <c r="L44" s="1762"/>
      <c r="P44" s="2655">
        <v>1</v>
      </c>
      <c r="Q44" s="1848"/>
      <c r="R44" s="754"/>
      <c r="S44" s="1855"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241</v>
      </c>
      <c r="B45" s="1761" t="s">
        <v>242</v>
      </c>
      <c r="C45" s="1761" t="s">
        <v>243</v>
      </c>
      <c r="D45" s="1761" t="s">
        <v>503</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241</v>
      </c>
      <c r="B46" s="1761" t="s">
        <v>242</v>
      </c>
      <c r="C46" s="1761" t="s">
        <v>243</v>
      </c>
      <c r="D46" s="1761" t="s">
        <v>503</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241</v>
      </c>
      <c r="B47" s="1761" t="s">
        <v>242</v>
      </c>
      <c r="C47" s="1761" t="s">
        <v>243</v>
      </c>
      <c r="D47" s="1761" t="s">
        <v>503</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241</v>
      </c>
      <c r="B48" s="1761" t="s">
        <v>242</v>
      </c>
      <c r="C48" s="1761" t="s">
        <v>243</v>
      </c>
      <c r="D48" s="1761" t="s">
        <v>503</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241</v>
      </c>
      <c r="B49" s="1761" t="s">
        <v>242</v>
      </c>
      <c r="C49" s="1761" t="s">
        <v>243</v>
      </c>
      <c r="D49" s="1761" t="s">
        <v>503</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241</v>
      </c>
      <c r="B50" s="1761" t="s">
        <v>242</v>
      </c>
      <c r="C50" s="1761" t="s">
        <v>243</v>
      </c>
      <c r="D50" s="1761" t="s">
        <v>503</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241</v>
      </c>
      <c r="B51" s="1741" t="s">
        <v>242</v>
      </c>
      <c r="C51" s="1712"/>
      <c r="D51" s="1712"/>
      <c r="E51" s="2657"/>
      <c r="F51" s="2656"/>
      <c r="G51" s="1712"/>
      <c r="H51" s="1712"/>
      <c r="I51" s="1712"/>
      <c r="J51" s="1712"/>
      <c r="K51" s="1712"/>
      <c r="L51" s="1856"/>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241</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76F97-413A-A2AC-4453-C5DC05A9E4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487</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488</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45"/>
      <c r="M19" s="1760"/>
      <c r="N19" s="1760"/>
      <c r="O19" s="1760"/>
      <c r="P19" s="1760"/>
      <c r="Q19" s="1769"/>
      <c r="R19" s="1769"/>
      <c r="S19" s="1127"/>
      <c r="AB19" s="1764"/>
      <c r="AI19" s="1764"/>
      <c r="AL19" s="909"/>
      <c r="AM19" s="909"/>
      <c r="AN19" s="909"/>
      <c r="AO19" s="909"/>
      <c r="AP19" s="909"/>
      <c r="AQ19" s="1558">
        <v>0</v>
      </c>
    </row>
    <row s="244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850" t="s">
        <v>495</v>
      </c>
      <c r="W38" s="2660" t="s">
        <v>438</v>
      </c>
      <c r="X38" s="2661"/>
      <c r="Y38" s="2660" t="s">
        <v>439</v>
      </c>
      <c r="Z38" s="2667"/>
      <c r="AA38" s="2661"/>
      <c r="AB38" s="2676"/>
      <c r="AC38" s="1850" t="s">
        <v>495</v>
      </c>
      <c r="AD38" s="2660" t="s">
        <v>438</v>
      </c>
      <c r="AE38" s="2661"/>
      <c r="AF38" s="2660" t="s">
        <v>439</v>
      </c>
      <c r="AG38" s="2667"/>
      <c r="AH38" s="2661"/>
      <c r="AI38" s="2676"/>
      <c r="AJ38" s="2679"/>
      <c r="AK38" s="2525"/>
      <c r="AQ38" s="1553">
        <v>34</v>
      </c>
    </row>
    <row customHeight="1" ht="35.699999999999996">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850" t="s">
        <v>498</v>
      </c>
      <c r="W39" s="1620" t="s">
        <v>499</v>
      </c>
      <c r="X39" s="1620" t="s">
        <v>500</v>
      </c>
      <c r="Y39" s="1853" t="s">
        <v>449</v>
      </c>
      <c r="Z39" s="2668" t="s">
        <v>450</v>
      </c>
      <c r="AA39" s="2669"/>
      <c r="AB39" s="2677"/>
      <c r="AC39" s="1850" t="s">
        <v>498</v>
      </c>
      <c r="AD39" s="1620" t="s">
        <v>499</v>
      </c>
      <c r="AE39" s="1620" t="s">
        <v>500</v>
      </c>
      <c r="AF39" s="1853" t="s">
        <v>449</v>
      </c>
      <c r="AG39" s="2668" t="s">
        <v>450</v>
      </c>
      <c r="AH39" s="2669"/>
      <c r="AI39" s="2677"/>
      <c r="AJ39" s="2680"/>
      <c r="AK39" s="2525"/>
      <c r="AQ39" s="1553">
        <v>34</v>
      </c>
    </row>
    <row s="250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246</v>
      </c>
      <c r="B42" s="1761" t="s">
        <v>247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246</v>
      </c>
      <c r="B43" s="1761" t="s">
        <v>247</v>
      </c>
      <c r="C43" s="1761" t="s">
        <v>248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487</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488</v>
      </c>
      <c r="AM43" s="898"/>
      <c r="AN43" s="898" t="str">
        <f>IF(T43="","",T43)</f>
        <v>Наименование централизованной системы холодного водоснабжения</v>
      </c>
      <c r="AO43" s="898"/>
      <c r="AP43" s="898"/>
      <c r="AQ43" s="1553">
        <v>23</v>
      </c>
    </row>
    <row customHeight="1" ht="24">
      <c r="A44" s="1761" t="s">
        <v>246</v>
      </c>
      <c r="B44" s="1761" t="s">
        <v>247</v>
      </c>
      <c r="C44" s="1761" t="s">
        <v>248</v>
      </c>
      <c r="D44" s="1761" t="s">
        <v>504</v>
      </c>
      <c r="E44" s="2657"/>
      <c r="F44" s="2657"/>
      <c r="G44" s="2657"/>
      <c r="H44" s="2657"/>
      <c r="I44" s="2654" t="str">
        <f>S43&amp;".1"</f>
        <v>...1</v>
      </c>
      <c r="J44" s="1761"/>
      <c r="K44" s="1761"/>
      <c r="L44" s="1762"/>
      <c r="P44" s="2655">
        <v>1</v>
      </c>
      <c r="Q44" s="1848"/>
      <c r="R44" s="754"/>
      <c r="S44" s="1855"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246</v>
      </c>
      <c r="B45" s="1761" t="s">
        <v>247</v>
      </c>
      <c r="C45" s="1761" t="s">
        <v>248</v>
      </c>
      <c r="D45" s="1761" t="s">
        <v>504</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246</v>
      </c>
      <c r="B46" s="1761" t="s">
        <v>247</v>
      </c>
      <c r="C46" s="1761" t="s">
        <v>248</v>
      </c>
      <c r="D46" s="1761" t="s">
        <v>504</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246</v>
      </c>
      <c r="B47" s="1761" t="s">
        <v>247</v>
      </c>
      <c r="C47" s="1761" t="s">
        <v>248</v>
      </c>
      <c r="D47" s="1761" t="s">
        <v>504</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246</v>
      </c>
      <c r="B48" s="1761" t="s">
        <v>247</v>
      </c>
      <c r="C48" s="1761" t="s">
        <v>248</v>
      </c>
      <c r="D48" s="1761" t="s">
        <v>504</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246</v>
      </c>
      <c r="B49" s="1761" t="s">
        <v>247</v>
      </c>
      <c r="C49" s="1761" t="s">
        <v>248</v>
      </c>
      <c r="D49" s="1761" t="s">
        <v>504</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246</v>
      </c>
      <c r="B50" s="1761" t="s">
        <v>247</v>
      </c>
      <c r="C50" s="1761" t="s">
        <v>248</v>
      </c>
      <c r="D50" s="1761" t="s">
        <v>504</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246</v>
      </c>
      <c r="B51" s="1741" t="s">
        <v>247</v>
      </c>
      <c r="C51" s="1712"/>
      <c r="D51" s="1712"/>
      <c r="E51" s="2657"/>
      <c r="F51" s="2656"/>
      <c r="G51" s="1712"/>
      <c r="H51" s="1712"/>
      <c r="I51" s="1712"/>
      <c r="J51" s="1712"/>
      <c r="K51" s="1712"/>
      <c r="L51" s="1856"/>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246</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3B59D-296F-97CC-83BF-A29D8F060EE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4354" width="10.140625" hidden="1" customWidth="1"/>
    <col min="4" max="4" style="24354" width="11.8515625" hidden="1" customWidth="1"/>
    <col min="5" max="11" style="24354" width="10.140625" hidden="1" customWidth="1"/>
    <col min="12" max="12" style="24432" width="10.140625" hidden="1" customWidth="1"/>
    <col min="13" max="15" style="26193" width="10.140625" hidden="1" customWidth="1"/>
    <col min="16" max="16" style="26192" width="3.00390625" customWidth="1"/>
    <col min="17" max="17" style="26380" width="3.00390625" customWidth="1"/>
    <col min="18" max="18" style="26194" width="3.00390625" customWidth="1"/>
    <col min="19" max="19" style="26195" width="12.00390625" customWidth="1"/>
    <col min="20" max="20" style="24354" width="31.00390625" customWidth="1"/>
    <col min="21" max="21" style="24354" width="0.140625" customWidth="1"/>
    <col min="22" max="23" style="24354" width="21.7109375" hidden="1" customWidth="1"/>
    <col min="24" max="24" style="24354" width="11.7109375" hidden="1" customWidth="1"/>
    <col min="25" max="25" style="24354" width="3.7109375" hidden="1" customWidth="1"/>
    <col min="26" max="26" style="24354" width="11.7109375" hidden="1" customWidth="1"/>
    <col min="27" max="27" style="24354" width="8.57421875" hidden="1" customWidth="1"/>
    <col min="28" max="28" style="24354" width="27.00390625" customWidth="1"/>
    <col min="29" max="29" style="24354" width="24.57421875" customWidth="1"/>
    <col min="30" max="31" style="24354" width="21.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124</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401</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402</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403</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404</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405</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406</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407</v>
      </c>
      <c r="AM5" s="2022"/>
      <c r="AN5" s="2022" t="str">
        <f>IF(T5="","",T5)</f>
        <v>Источник тепловой энергии  </v>
      </c>
      <c r="AO5" s="2022"/>
      <c r="AP5" s="2022"/>
      <c r="AQ5" s="2029">
        <v>0</v>
      </c>
    </row>
    <row s="24435" customFormat="1" customHeight="1" ht="0.75" hidden="1">
      <c r="A6" s="1773"/>
      <c r="B6" s="1773"/>
      <c r="C6" s="1773"/>
      <c r="D6" s="1773"/>
      <c r="E6" s="2688"/>
      <c r="F6" s="2688"/>
      <c r="G6" s="2688"/>
      <c r="H6" s="2688"/>
      <c r="I6" s="2525">
        <f>S5&amp;".1"</f>
      </c>
      <c r="J6" s="1773"/>
      <c r="K6" s="1773"/>
      <c r="L6" s="1779" t="s">
        <v>408</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4435"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67</v>
      </c>
      <c r="Z8" s="2390"/>
      <c r="AA8" s="2388" t="s">
        <v>67</v>
      </c>
      <c r="AB8" s="2394"/>
      <c r="AC8" s="2395" t="s">
        <v>28</v>
      </c>
      <c r="AD8" s="1149"/>
      <c r="AE8" s="1655"/>
      <c r="AF8" s="2353"/>
      <c r="AG8" s="2340" t="s">
        <v>67</v>
      </c>
      <c r="AH8" s="2353"/>
      <c r="AI8" s="2340" t="s">
        <v>67</v>
      </c>
      <c r="AJ8" s="1746"/>
      <c r="AK8" s="2651" t="s">
        <v>470</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474</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4435"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4435"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4435"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163</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4435"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164</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4435"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165</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67</v>
      </c>
      <c r="AH16" s="2134"/>
      <c r="AI16" s="2364" t="s">
        <v>67</v>
      </c>
      <c r="AQ16" s="2029">
        <v>0</v>
      </c>
    </row>
    <row customHeight="1" ht="14.25" hidden="1">
      <c r="AL17" s="2039"/>
      <c r="AM17" s="2039"/>
      <c r="AN17" s="2039"/>
      <c r="AO17" s="2039"/>
      <c r="AP17" s="2039"/>
      <c r="AQ17" s="2029">
        <v>0</v>
      </c>
    </row>
    <row customHeight="1" ht="14.25" hidden="1">
      <c r="O18" s="1743" t="s">
        <v>419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6351" customFormat="1" customHeight="1" ht="14.25" hidden="1">
      <c r="A20" s="2369"/>
      <c r="B20" s="2369"/>
      <c r="C20" s="2369"/>
      <c r="D20" s="2369"/>
      <c r="E20" s="2369"/>
      <c r="F20" s="2369"/>
      <c r="G20" s="2369"/>
      <c r="H20" s="2369"/>
      <c r="I20" s="2369"/>
      <c r="J20" s="2369"/>
      <c r="K20" s="2369"/>
      <c r="L20" s="2369"/>
      <c r="M20" s="2370"/>
      <c r="N20" s="2370"/>
      <c r="O20" s="2371" t="s">
        <v>420</v>
      </c>
      <c r="P20" s="1906"/>
      <c r="Q20" s="1908"/>
      <c r="R20" s="1908"/>
      <c r="Y20" s="1905" t="s">
        <v>422</v>
      </c>
      <c r="AA20" s="1905" t="s">
        <v>423</v>
      </c>
      <c r="AC20" s="1905" t="s">
        <v>476</v>
      </c>
      <c r="AG20" s="1905" t="s">
        <v>422</v>
      </c>
      <c r="AI20" s="1905" t="s">
        <v>423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4561"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4561"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425</v>
      </c>
      <c r="T28" s="2648"/>
      <c r="U28" s="1770"/>
      <c r="V28" s="2662" t="str">
        <f>IF(TITLE_DATE_PR_CHANGE="",IF(TITLE_DATE_PR="","",TITLE_DATE_PR),TITLE_DATE_PR_CHANGE)</f>
        <v>45649.66804398148</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4561"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426</v>
      </c>
      <c r="T29" s="2648"/>
      <c r="U29" s="1770"/>
      <c r="V29" s="2649" t="str">
        <f>IF(TITLE_NUMBER_PR_CHANGE="",IF(TITLE_NUMBER_PR="","",TITLE_NUMBER_PR),TITLE_NUMBER_PR_CHANGE)</f>
        <v>27/6419</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4561"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4561"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425</v>
      </c>
      <c r="T32" s="2648"/>
      <c r="U32" s="1770"/>
      <c r="V32" s="2662" t="str">
        <f>IF(TITLE_DATE_PR_CHANGE="",IF(TITLE_DATE_PR="","",TITLE_DATE_PR),TITLE_DATE_PR_CHANGE)</f>
        <v>45649.66804398148</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4561"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426</v>
      </c>
      <c r="T33" s="2648"/>
      <c r="U33" s="1770"/>
      <c r="V33" s="2649" t="str">
        <f>IF(TITLE_NUMBER_PR_CHANGE="",IF(TITLE_NUMBER_PR="","",TITLE_NUMBER_PR),TITLE_NUMBER_PR_CHANGE)</f>
        <v>27/6419</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4561"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429</v>
      </c>
      <c r="AB34" s="2040"/>
      <c r="AC34" s="2033"/>
      <c r="AD34" s="2033"/>
      <c r="AE34" s="2033"/>
      <c r="AF34" s="2033"/>
      <c r="AG34" s="2033"/>
      <c r="AH34" s="2033"/>
      <c r="AI34" s="2040" t="s">
        <v>429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305</v>
      </c>
      <c r="T36" s="2525"/>
      <c r="U36" s="2525"/>
      <c r="V36" s="2525"/>
      <c r="W36" s="2525"/>
      <c r="X36" s="2525"/>
      <c r="Y36" s="2525"/>
      <c r="Z36" s="2525"/>
      <c r="AA36" s="2573"/>
      <c r="AB36" s="2573"/>
      <c r="AC36" s="2573"/>
      <c r="AD36" s="2525"/>
      <c r="AE36" s="2525"/>
      <c r="AF36" s="2525"/>
      <c r="AG36" s="2525"/>
      <c r="AH36" s="2525"/>
      <c r="AI36" s="2525"/>
      <c r="AJ36" s="2525"/>
      <c r="AK36" s="2525" t="s">
        <v>306</v>
      </c>
      <c r="AQ36" s="2029">
        <v>14</v>
      </c>
    </row>
    <row customHeight="1" ht="14.699999999999998">
      <c r="Q37" s="689"/>
      <c r="R37" s="774"/>
      <c r="S37" s="2671" t="s">
        <v>89</v>
      </c>
      <c r="T37" s="2607" t="s">
        <v>505</v>
      </c>
      <c r="U37" s="735"/>
      <c r="V37" s="2673"/>
      <c r="W37" s="2673"/>
      <c r="X37" s="2673"/>
      <c r="Y37" s="2673"/>
      <c r="Z37" s="2673"/>
      <c r="AA37" s="2607" t="s">
        <v>433</v>
      </c>
      <c r="AB37" s="2606" t="s">
        <v>506</v>
      </c>
      <c r="AC37" s="2606" t="s">
        <v>480</v>
      </c>
      <c r="AD37" s="2689" t="s">
        <v>432</v>
      </c>
      <c r="AE37" s="2689"/>
      <c r="AF37" s="2673"/>
      <c r="AG37" s="2673"/>
      <c r="AH37" s="2674"/>
      <c r="AI37" s="2675" t="s">
        <v>433</v>
      </c>
      <c r="AJ37" s="2678" t="s">
        <v>435</v>
      </c>
      <c r="AK37" s="2525"/>
      <c r="AQ37" s="2029">
        <v>14</v>
      </c>
    </row>
    <row customHeight="1" ht="35.699999999999996">
      <c r="Q38" s="689"/>
      <c r="R38" s="774"/>
      <c r="S38" s="2671"/>
      <c r="T38" s="2607"/>
      <c r="U38" s="1429"/>
      <c r="V38" s="2501" t="s">
        <v>483</v>
      </c>
      <c r="W38" s="2525"/>
      <c r="X38" s="2692" t="s">
        <v>439</v>
      </c>
      <c r="Y38" s="2711"/>
      <c r="Z38" s="2711"/>
      <c r="AA38" s="2607"/>
      <c r="AB38" s="2606"/>
      <c r="AC38" s="2606"/>
      <c r="AD38" s="2501" t="s">
        <v>483</v>
      </c>
      <c r="AE38" s="2525"/>
      <c r="AF38" s="2711" t="s">
        <v>439</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136</v>
      </c>
      <c r="C40" s="1664" t="s">
        <v>137</v>
      </c>
      <c r="D40" s="1664" t="s">
        <v>138</v>
      </c>
      <c r="E40" s="1708" t="s">
        <v>440</v>
      </c>
      <c r="F40" s="1708" t="s">
        <v>441</v>
      </c>
      <c r="G40" s="1708" t="s">
        <v>442</v>
      </c>
      <c r="H40" s="1708" t="s">
        <v>443</v>
      </c>
      <c r="I40" s="1708" t="s">
        <v>444</v>
      </c>
      <c r="J40" s="1708" t="s">
        <v>445</v>
      </c>
      <c r="K40" s="1708" t="s">
        <v>446</v>
      </c>
      <c r="L40" s="1708" t="s">
        <v>420</v>
      </c>
      <c r="Q40" s="689"/>
      <c r="R40" s="774"/>
      <c r="S40" s="2671"/>
      <c r="T40" s="2607"/>
      <c r="U40" s="700"/>
      <c r="V40" s="2348" t="s">
        <v>484</v>
      </c>
      <c r="W40" s="2348" t="s">
        <v>485</v>
      </c>
      <c r="X40" s="2336" t="s">
        <v>449</v>
      </c>
      <c r="Y40" s="2668" t="s">
        <v>450</v>
      </c>
      <c r="Z40" s="2718"/>
      <c r="AA40" s="2607"/>
      <c r="AB40" s="2606"/>
      <c r="AC40" s="2606"/>
      <c r="AD40" s="2366" t="s">
        <v>484</v>
      </c>
      <c r="AE40" s="2357" t="s">
        <v>485</v>
      </c>
      <c r="AF40" s="2336" t="s">
        <v>449</v>
      </c>
      <c r="AG40" s="2668" t="s">
        <v>450</v>
      </c>
      <c r="AH40" s="2669"/>
      <c r="AI40" s="2677"/>
      <c r="AJ40" s="2680"/>
      <c r="AK40" s="2525"/>
      <c r="AQ40" s="2029">
        <v>14</v>
      </c>
    </row>
    <row s="25006"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110</v>
      </c>
      <c r="T41" s="1653" t="s">
        <v>111</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211</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124</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211</v>
      </c>
      <c r="B43" s="1665" t="s">
        <v>212</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402</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403</v>
      </c>
      <c r="AM43" s="2022"/>
      <c r="AN43" s="2022" t="str">
        <f>IF(T43="","",T43)</f>
        <v>Территория действия тарифа</v>
      </c>
      <c r="AO43" s="2022"/>
      <c r="AP43" s="2022"/>
      <c r="AQ43" s="2029">
        <v>21</v>
      </c>
    </row>
    <row customHeight="1" ht="24">
      <c r="A44" s="1665" t="s">
        <v>211</v>
      </c>
      <c r="B44" s="1665" t="s">
        <v>212</v>
      </c>
      <c r="C44" s="1665" t="s">
        <v>213</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404</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405</v>
      </c>
      <c r="AM44" s="2022"/>
      <c r="AN44" s="2022" t="str">
        <f>IF(T44="","",T44)</f>
        <v>Наименование системы теплоснабжения </v>
      </c>
      <c r="AO44" s="2022"/>
      <c r="AP44" s="2022"/>
      <c r="AQ44" s="2029">
        <v>23</v>
      </c>
    </row>
    <row customHeight="1" ht="22.049999999999997">
      <c r="A45" s="1665" t="s">
        <v>211</v>
      </c>
      <c r="B45" s="1665" t="s">
        <v>212</v>
      </c>
      <c r="C45" s="1665" t="s">
        <v>213</v>
      </c>
      <c r="D45" s="1665" t="s">
        <v>214</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406</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407</v>
      </c>
      <c r="AM45" s="2022"/>
      <c r="AN45" s="2022" t="str">
        <f>IF(T45="","",T45)</f>
        <v>Источник тепловой энергии  </v>
      </c>
      <c r="AO45" s="2022"/>
      <c r="AP45" s="2022"/>
      <c r="AQ45" s="2029">
        <v>21</v>
      </c>
    </row>
    <row s="24435" customFormat="1" customHeight="1" ht="0">
      <c r="A46" s="1773" t="s">
        <v>211</v>
      </c>
      <c r="B46" s="1773" t="s">
        <v>212</v>
      </c>
      <c r="C46" s="1773" t="s">
        <v>213</v>
      </c>
      <c r="D46" s="1773" t="s">
        <v>214</v>
      </c>
      <c r="E46" s="2688"/>
      <c r="F46" s="2688"/>
      <c r="G46" s="2688"/>
      <c r="H46" s="2688"/>
      <c r="I46" s="2525" t="str">
        <f>S45&amp;".1"</f>
        <v>....1</v>
      </c>
      <c r="J46" s="1773"/>
      <c r="K46" s="1773"/>
      <c r="L46" s="1779" t="s">
        <v>408</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4435" customFormat="1" customHeight="1" ht="0">
      <c r="A47" s="1773" t="s">
        <v>211</v>
      </c>
      <c r="B47" s="1773" t="s">
        <v>212</v>
      </c>
      <c r="C47" s="1773" t="s">
        <v>213</v>
      </c>
      <c r="D47" s="1773" t="s">
        <v>214</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211</v>
      </c>
      <c r="B48" s="1665" t="s">
        <v>212</v>
      </c>
      <c r="C48" s="1665" t="s">
        <v>213</v>
      </c>
      <c r="D48" s="1665" t="s">
        <v>214</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67</v>
      </c>
      <c r="Z48" s="2353"/>
      <c r="AA48" s="2340" t="s">
        <v>67</v>
      </c>
      <c r="AB48" s="2362"/>
      <c r="AC48" s="2361" t="s">
        <v>28</v>
      </c>
      <c r="AD48" s="1149"/>
      <c r="AE48" s="1655"/>
      <c r="AF48" s="2353"/>
      <c r="AG48" s="2340" t="s">
        <v>67</v>
      </c>
      <c r="AH48" s="2353"/>
      <c r="AI48" s="2340" t="s">
        <v>67</v>
      </c>
      <c r="AJ48" s="1746"/>
      <c r="AK48" s="2651" t="s">
        <v>486</v>
      </c>
      <c r="AL48" s="2034">
        <f>STRCHECKDATE(#REF!)</f>
      </c>
      <c r="AM48" s="2022"/>
      <c r="AN48" s="2022" t="str">
        <f>IF(T48="","",T48)</f>
        <v/>
      </c>
      <c r="AO48" s="2022"/>
      <c r="AP48" s="2022"/>
      <c r="AQ48" s="2029">
        <v>21</v>
      </c>
    </row>
    <row customHeight="1" ht="11.549999999999999">
      <c r="A49" s="1665" t="s">
        <v>211</v>
      </c>
      <c r="B49" s="1665" t="s">
        <v>212</v>
      </c>
      <c r="C49" s="1665" t="s">
        <v>213</v>
      </c>
      <c r="D49" s="1665" t="s">
        <v>214</v>
      </c>
      <c r="E49" s="2688"/>
      <c r="F49" s="2688"/>
      <c r="G49" s="2688"/>
      <c r="H49" s="2688"/>
      <c r="I49" s="2499"/>
      <c r="J49" s="2525"/>
      <c r="K49" s="1665"/>
      <c r="L49" s="1708"/>
      <c r="P49" s="2655"/>
      <c r="Q49" s="2655"/>
      <c r="R49" s="754"/>
      <c r="S49" s="1676"/>
      <c r="T49" s="685" t="s">
        <v>474</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4435" customFormat="1" customHeight="1" ht="1.05">
      <c r="A50" s="1773" t="s">
        <v>211</v>
      </c>
      <c r="B50" s="1773" t="s">
        <v>212</v>
      </c>
      <c r="C50" s="1773" t="s">
        <v>213</v>
      </c>
      <c r="D50" s="1773" t="s">
        <v>214</v>
      </c>
      <c r="E50" s="2688"/>
      <c r="F50" s="2688"/>
      <c r="G50" s="2688"/>
      <c r="H50" s="2688"/>
      <c r="I50" s="2525"/>
      <c r="J50" s="1773"/>
      <c r="K50" s="1773"/>
      <c r="L50" s="1779"/>
      <c r="M50" s="1644"/>
      <c r="N50" s="1644"/>
      <c r="O50" s="1644"/>
      <c r="P50" s="2655"/>
      <c r="Q50" s="2352"/>
      <c r="R50" s="754"/>
      <c r="S50" s="1784"/>
      <c r="T50" s="1785" t="s">
        <v>417</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5006" customFormat="1" customHeight="1" ht="1.05">
      <c r="A51" s="1773" t="s">
        <v>211</v>
      </c>
      <c r="B51" s="1773" t="s">
        <v>212</v>
      </c>
      <c r="C51" s="1773" t="s">
        <v>213</v>
      </c>
      <c r="D51" s="1773" t="s">
        <v>214</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4435" customFormat="1" customHeight="1" ht="1.05">
      <c r="A52" s="1773" t="s">
        <v>211</v>
      </c>
      <c r="B52" s="1773" t="s">
        <v>212</v>
      </c>
      <c r="C52" s="1773" t="s">
        <v>213</v>
      </c>
      <c r="D52" s="1772"/>
      <c r="E52" s="2688"/>
      <c r="F52" s="2688"/>
      <c r="G52" s="2687"/>
      <c r="H52" s="1772"/>
      <c r="I52" s="1772"/>
      <c r="J52" s="1772"/>
      <c r="K52" s="1772"/>
      <c r="L52" s="1775"/>
      <c r="M52" s="1776"/>
      <c r="N52" s="1776"/>
      <c r="O52" s="749"/>
      <c r="P52" s="1714"/>
      <c r="Q52" s="1715"/>
      <c r="R52" s="1714"/>
      <c r="S52" s="1720"/>
      <c r="T52" s="1723" t="s">
        <v>163</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4435" customFormat="1" customHeight="1" ht="1.05">
      <c r="A53" s="1773" t="s">
        <v>211</v>
      </c>
      <c r="B53" s="1773" t="s">
        <v>212</v>
      </c>
      <c r="C53" s="1772"/>
      <c r="D53" s="1772"/>
      <c r="E53" s="2688"/>
      <c r="F53" s="2687"/>
      <c r="G53" s="1772"/>
      <c r="H53" s="1772"/>
      <c r="I53" s="1772"/>
      <c r="J53" s="1772"/>
      <c r="K53" s="1772"/>
      <c r="L53" s="1775"/>
      <c r="M53" s="1777"/>
      <c r="N53" s="1777"/>
      <c r="O53" s="749"/>
      <c r="P53" s="1714"/>
      <c r="Q53" s="1715"/>
      <c r="R53" s="1714"/>
      <c r="S53" s="1720"/>
      <c r="T53" s="1723" t="s">
        <v>164</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4435" customFormat="1" customHeight="1" ht="1.05">
      <c r="A54" s="1773" t="s">
        <v>211</v>
      </c>
      <c r="B54" s="1773"/>
      <c r="C54" s="1773"/>
      <c r="D54" s="1773"/>
      <c r="E54" s="2688"/>
      <c r="F54" s="1773"/>
      <c r="G54" s="1773"/>
      <c r="H54" s="1773"/>
      <c r="I54" s="1773"/>
      <c r="J54" s="1773"/>
      <c r="K54" s="1773"/>
      <c r="L54" s="1779"/>
      <c r="M54" s="1777"/>
      <c r="N54" s="1777"/>
      <c r="O54" s="749"/>
      <c r="P54" s="778"/>
      <c r="Q54" s="1742"/>
      <c r="R54" s="778"/>
      <c r="S54" s="1720"/>
      <c r="T54" s="1723" t="s">
        <v>165</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4435" customFormat="1" customHeight="1" ht="1.05">
      <c r="A55" s="1773" t="s">
        <v>211</v>
      </c>
      <c r="B55" s="1773"/>
      <c r="C55" s="1773"/>
      <c r="D55" s="1773"/>
      <c r="E55" s="2687"/>
      <c r="F55" s="1773"/>
      <c r="G55" s="1773"/>
      <c r="H55" s="1773"/>
      <c r="I55" s="1773"/>
      <c r="J55" s="1773"/>
      <c r="K55" s="1773"/>
      <c r="L55" s="1779"/>
      <c r="M55" s="1777"/>
      <c r="N55" s="1777"/>
      <c r="O55" s="749"/>
      <c r="P55" s="778"/>
      <c r="Q55" s="1742"/>
      <c r="R55" s="778"/>
      <c r="S55" s="1720"/>
      <c r="T55" s="1723" t="s">
        <v>165</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4435"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166</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83</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3AED3-1C1D-08FB-6E92-2880D63DEC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434" width="11.57421875" hidden="1" customWidth="1"/>
    <col min="2" max="2" style="24434" width="11.00390625" hidden="1" customWidth="1"/>
    <col min="3" max="3" style="24434" width="10.57421875" hidden="1"/>
    <col min="4" max="4" style="24434" width="12.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2" width="3.7109375" hidden="1" customWidth="1"/>
    <col min="17" max="17" style="26380" width="3.7109375" hidden="1" customWidth="1"/>
    <col min="18" max="18" style="26194" width="3.00390625" customWidth="1"/>
    <col min="19" max="19" style="26195" width="12.00390625" customWidth="1"/>
    <col min="20" max="20" style="24354" width="31.00390625" customWidth="1"/>
    <col min="21" max="21" style="24354" width="0.140625" customWidth="1"/>
    <col min="22" max="25" style="24354" width="21.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3.7109375" customWidth="1"/>
    <col min="31" max="32" style="24354" width="3.00390625" customWidth="1"/>
    <col min="33" max="33" style="24354" width="24.00390625" customWidth="1"/>
    <col min="34" max="34" style="24354" width="3.7109375" customWidth="1"/>
    <col min="35" max="36" style="24354" width="3.00390625" customWidth="1"/>
    <col min="37" max="37" style="24354" width="24.00390625" customWidth="1"/>
    <col min="38" max="38" style="24354" width="3.7109375" customWidth="1"/>
    <col min="39" max="40" style="24354" width="3.00390625" customWidth="1"/>
    <col min="41" max="41" style="24354" width="18.00390625" customWidth="1"/>
    <col min="42" max="42" style="24354" width="3.7109375" customWidth="1"/>
    <col min="43" max="44" style="24354" width="3.00390625" customWidth="1"/>
    <col min="45" max="45" style="24354" width="18.00390625" customWidth="1"/>
    <col min="46" max="49" style="24354" width="21.00390625" customWidth="1"/>
    <col min="50" max="50" style="24354" width="11.00390625" customWidth="1"/>
    <col min="51" max="51" style="24354" width="3.7109375" customWidth="1"/>
    <col min="52" max="52" style="24354" width="11.00390625" customWidth="1"/>
    <col min="53" max="53" style="24354" width="8.57421875" hidden="1" customWidth="1"/>
    <col min="54" max="54" style="24354" width="4.00390625" customWidth="1"/>
    <col min="55" max="55" style="24354" width="115.00390625" customWidth="1"/>
    <col min="56" max="60" style="24435" width="10.00390625" customWidth="1"/>
    <col min="61" max="61" style="24354"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487</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488</v>
      </c>
      <c r="BE4" s="898"/>
      <c r="BF4" s="898" t="str">
        <f>IF(T4="","",T4)</f>
        <v>Наименование централизованной системы холодного водоснабжения</v>
      </c>
      <c r="BG4" s="898"/>
      <c r="BH4" s="898"/>
      <c r="BI4" s="1553">
        <v>0</v>
      </c>
    </row>
    <row s="244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244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44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67</v>
      </c>
      <c r="AB8" s="2132"/>
      <c r="AC8" s="1857" t="s">
        <v>67</v>
      </c>
      <c r="AD8" s="2583" t="s">
        <v>67</v>
      </c>
      <c r="AE8" s="2724"/>
      <c r="AF8" s="2603">
        <v>1</v>
      </c>
      <c r="AG8" s="2761"/>
      <c r="AH8" s="2505" t="s">
        <v>67</v>
      </c>
      <c r="AI8" s="2724"/>
      <c r="AJ8" s="2603">
        <v>1</v>
      </c>
      <c r="AK8" s="2725" t="s">
        <v>28</v>
      </c>
      <c r="AL8" s="2505" t="s">
        <v>67</v>
      </c>
      <c r="AM8" s="2590"/>
      <c r="AN8" s="2603">
        <v>1</v>
      </c>
      <c r="AO8" s="2755"/>
      <c r="AP8" s="2756" t="s">
        <v>67</v>
      </c>
      <c r="AQ8" s="709"/>
      <c r="AR8" s="1861">
        <v>1</v>
      </c>
      <c r="AS8" s="1864" t="s">
        <v>28</v>
      </c>
      <c r="AT8" s="1149"/>
      <c r="AU8" s="1655"/>
      <c r="AV8" s="1149"/>
      <c r="AW8" s="1655"/>
      <c r="AX8" s="2132"/>
      <c r="AY8" s="1857" t="s">
        <v>67</v>
      </c>
      <c r="AZ8" s="2132"/>
      <c r="BA8" s="1857" t="s">
        <v>67</v>
      </c>
      <c r="BB8" s="1746"/>
      <c r="BC8" s="2651" t="s">
        <v>507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509</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510</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474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4435"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44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4435"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4435"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164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44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165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67</v>
      </c>
      <c r="AZ20" s="2134"/>
      <c r="BA20" s="1858"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6351" customFormat="1" customHeight="1" ht="14.25" hidden="1">
      <c r="M24" s="1906"/>
      <c r="N24" s="1906"/>
      <c r="O24" s="1907" t="s">
        <v>420</v>
      </c>
      <c r="P24" s="1906"/>
      <c r="Q24" s="1908"/>
      <c r="R24" s="1908"/>
      <c r="AA24" s="1905" t="s">
        <v>422</v>
      </c>
      <c r="AC24" s="1905" t="s">
        <v>423</v>
      </c>
      <c r="AD24" s="1905" t="s">
        <v>475</v>
      </c>
      <c r="AH24" s="1905" t="s">
        <v>475</v>
      </c>
      <c r="AK24" s="1905" t="s">
        <v>512</v>
      </c>
      <c r="AL24" s="1905" t="s">
        <v>475</v>
      </c>
      <c r="AP24" s="1905" t="s">
        <v>475</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"Новая Энергетика"</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45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45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45649.66804398148</v>
      </c>
      <c r="W32" s="2662"/>
      <c r="X32" s="2662"/>
      <c r="Y32" s="2662"/>
      <c r="Z32" s="2662"/>
      <c r="AA32" s="2662"/>
      <c r="AB32" s="2662"/>
      <c r="AC32" s="724"/>
      <c r="AD32" s="2662" t="str">
        <f>IF(TITLE_DATE_PR_CHANGE="",IF(TITLE_DATE_PR="","",TITLE_DATE_PR),TITLE_DATE_PR_CHANGE)</f>
        <v>45649.66804398148</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45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27/6419</v>
      </c>
      <c r="W33" s="2649"/>
      <c r="X33" s="2649"/>
      <c r="Y33" s="2649"/>
      <c r="Z33" s="2649"/>
      <c r="AA33" s="2649"/>
      <c r="AB33" s="2649"/>
      <c r="AC33" s="724"/>
      <c r="AD33" s="2649" t="str">
        <f>IF(TITLE_NUMBER_PR_CHANGE="",IF(TITLE_NUMBER_PR="","",TITLE_NUMBER_PR),TITLE_NUMBER_PR_CHANGE)</f>
        <v>27/6419</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45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45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45649.66804398148</v>
      </c>
      <c r="W36" s="2662"/>
      <c r="X36" s="2662"/>
      <c r="Y36" s="2662"/>
      <c r="Z36" s="2662"/>
      <c r="AA36" s="2662"/>
      <c r="AB36" s="2662"/>
      <c r="AC36" s="724"/>
      <c r="AD36" s="2662" t="str">
        <f>IF(TITLE_DATE_PR_CHANGE="",IF(TITLE_DATE_PR="","",TITLE_DATE_PR),TITLE_DATE_PR_CHANGE)</f>
        <v>45649.66804398148</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45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27/6419</v>
      </c>
      <c r="W37" s="2649"/>
      <c r="X37" s="2649"/>
      <c r="Y37" s="2649"/>
      <c r="Z37" s="2649"/>
      <c r="AA37" s="2649"/>
      <c r="AB37" s="2649"/>
      <c r="AC37" s="724"/>
      <c r="AD37" s="2649" t="str">
        <f>IF(TITLE_NUMBER_PR_CHANGE="",IF(TITLE_NUMBER_PR="","",TITLE_NUMBER_PR),TITLE_NUMBER_PR_CHANGE)</f>
        <v>27/6419</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45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513</v>
      </c>
      <c r="U41" s="699"/>
      <c r="V41" s="2672" t="s">
        <v>432</v>
      </c>
      <c r="W41" s="2673"/>
      <c r="X41" s="2673"/>
      <c r="Y41" s="2673"/>
      <c r="Z41" s="2673"/>
      <c r="AA41" s="2673"/>
      <c r="AB41" s="2674"/>
      <c r="AC41" s="2675" t="s">
        <v>433</v>
      </c>
      <c r="AD41" s="2726" t="s">
        <v>514</v>
      </c>
      <c r="AE41" s="2689"/>
      <c r="AF41" s="2689"/>
      <c r="AG41" s="2727"/>
      <c r="AH41" s="2726" t="s">
        <v>515</v>
      </c>
      <c r="AI41" s="2689"/>
      <c r="AJ41" s="2689"/>
      <c r="AK41" s="2727"/>
      <c r="AL41" s="2726" t="s">
        <v>516</v>
      </c>
      <c r="AM41" s="2689"/>
      <c r="AN41" s="2689"/>
      <c r="AO41" s="2727"/>
      <c r="AP41" s="2726" t="s">
        <v>517</v>
      </c>
      <c r="AQ41" s="2689"/>
      <c r="AR41" s="2689"/>
      <c r="AS41" s="2727"/>
      <c r="AT41" s="2672" t="s">
        <v>432</v>
      </c>
      <c r="AU41" s="2673"/>
      <c r="AV41" s="2673"/>
      <c r="AW41" s="2673"/>
      <c r="AX41" s="2673"/>
      <c r="AY41" s="2673"/>
      <c r="AZ41" s="2674"/>
      <c r="BA41" s="2675" t="s">
        <v>433</v>
      </c>
      <c r="BB41" s="2678" t="s">
        <v>435</v>
      </c>
      <c r="BC41" s="2525"/>
      <c r="BI41" s="1553">
        <v>14</v>
      </c>
    </row>
    <row customHeight="1" ht="35.699999999999996">
      <c r="Q42" s="689"/>
      <c r="R42" s="774"/>
      <c r="S42" s="2671"/>
      <c r="T42" s="2607"/>
      <c r="U42" s="1429"/>
      <c r="V42" s="2590" t="s">
        <v>518</v>
      </c>
      <c r="W42" s="2591"/>
      <c r="X42" s="2590" t="s">
        <v>519</v>
      </c>
      <c r="Y42" s="2591"/>
      <c r="Z42" s="2692" t="s">
        <v>520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518</v>
      </c>
      <c r="AU42" s="2591"/>
      <c r="AV42" s="2590" t="s">
        <v>519</v>
      </c>
      <c r="AW42" s="2591"/>
      <c r="AX42" s="2692" t="s">
        <v>520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440</v>
      </c>
      <c r="F44" s="1762" t="s">
        <v>441</v>
      </c>
      <c r="G44" s="1762" t="s">
        <v>442</v>
      </c>
      <c r="H44" s="1762" t="s">
        <v>443</v>
      </c>
      <c r="I44" s="1762" t="s">
        <v>444</v>
      </c>
      <c r="J44" s="1762" t="s">
        <v>445</v>
      </c>
      <c r="K44" s="1762" t="s">
        <v>446</v>
      </c>
      <c r="L44" s="1762" t="s">
        <v>420</v>
      </c>
      <c r="Q44" s="689"/>
      <c r="R44" s="774"/>
      <c r="S44" s="2671"/>
      <c r="T44" s="2607"/>
      <c r="U44" s="700"/>
      <c r="V44" s="1846" t="s">
        <v>484</v>
      </c>
      <c r="W44" s="1846" t="s">
        <v>485</v>
      </c>
      <c r="X44" s="1846" t="s">
        <v>484</v>
      </c>
      <c r="Y44" s="1846" t="s">
        <v>485</v>
      </c>
      <c r="Z44" s="1853" t="s">
        <v>449</v>
      </c>
      <c r="AA44" s="2668" t="s">
        <v>450</v>
      </c>
      <c r="AB44" s="2669"/>
      <c r="AC44" s="2677"/>
      <c r="AD44" s="2731"/>
      <c r="AE44" s="2732"/>
      <c r="AF44" s="2732"/>
      <c r="AG44" s="2733"/>
      <c r="AH44" s="2731"/>
      <c r="AI44" s="2732"/>
      <c r="AJ44" s="2732"/>
      <c r="AK44" s="2733"/>
      <c r="AL44" s="2731"/>
      <c r="AM44" s="2732"/>
      <c r="AN44" s="2732"/>
      <c r="AO44" s="2733"/>
      <c r="AP44" s="2731"/>
      <c r="AQ44" s="2732"/>
      <c r="AR44" s="2732"/>
      <c r="AS44" s="2733"/>
      <c r="AT44" s="1846" t="s">
        <v>484</v>
      </c>
      <c r="AU44" s="1846" t="s">
        <v>485</v>
      </c>
      <c r="AV44" s="1846" t="s">
        <v>484</v>
      </c>
      <c r="AW44" s="1846" t="s">
        <v>485</v>
      </c>
      <c r="AX44" s="1853" t="s">
        <v>449</v>
      </c>
      <c r="AY44" s="2668" t="s">
        <v>450</v>
      </c>
      <c r="AZ44" s="2669"/>
      <c r="BA44" s="2677"/>
      <c r="BB44" s="2680"/>
      <c r="BC44" s="2525"/>
      <c r="BI44" s="1553">
        <v>14</v>
      </c>
    </row>
    <row s="25006"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251</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124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251</v>
      </c>
      <c r="B47" s="1761" t="s">
        <v>252</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43.050000000000004">
      <c r="A48" s="1761" t="s">
        <v>251</v>
      </c>
      <c r="B48" s="1761" t="s">
        <v>252</v>
      </c>
      <c r="C48" s="1761" t="s">
        <v>253</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487</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488</v>
      </c>
      <c r="BE48" s="898"/>
      <c r="BF48" s="898" t="str">
        <f>IF(T48="","",T48)</f>
        <v>Наименование централизованной системы холодного водоснабжения</v>
      </c>
      <c r="BG48" s="898"/>
      <c r="BH48" s="898"/>
      <c r="BI48" s="1553">
        <v>41</v>
      </c>
    </row>
    <row s="24435" customFormat="1" customHeight="1" ht="0">
      <c r="A49" s="1741" t="s">
        <v>251</v>
      </c>
      <c r="B49" s="1741" t="s">
        <v>252</v>
      </c>
      <c r="C49" s="1741" t="s">
        <v>253</v>
      </c>
      <c r="D49" s="1741" t="s">
        <v>521</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24435" customFormat="1" customHeight="1" ht="0">
      <c r="A50" s="1741" t="s">
        <v>251</v>
      </c>
      <c r="B50" s="1741" t="s">
        <v>252</v>
      </c>
      <c r="C50" s="1741" t="s">
        <v>253</v>
      </c>
      <c r="D50" s="1741" t="s">
        <v>521</v>
      </c>
      <c r="E50" s="2657"/>
      <c r="F50" s="2657"/>
      <c r="G50" s="2657"/>
      <c r="H50" s="2657"/>
      <c r="I50" s="2654" t="str">
        <f>S49&amp;".1"</f>
        <v>.1</v>
      </c>
      <c r="J50" s="1741"/>
      <c r="K50" s="1741"/>
      <c r="L50" s="1744" t="s">
        <v>408</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4435" customFormat="1" customHeight="1" ht="0">
      <c r="A51" s="1741" t="s">
        <v>251</v>
      </c>
      <c r="B51" s="1741" t="s">
        <v>252</v>
      </c>
      <c r="C51" s="1741" t="s">
        <v>253</v>
      </c>
      <c r="D51" s="1741" t="s">
        <v>521</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251</v>
      </c>
      <c r="B52" s="1761" t="s">
        <v>252</v>
      </c>
      <c r="C52" s="1761" t="s">
        <v>253</v>
      </c>
      <c r="D52" s="1761" t="s">
        <v>521</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67</v>
      </c>
      <c r="AB52" s="2132"/>
      <c r="AC52" s="185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61">
        <v>1</v>
      </c>
      <c r="AS52" s="1864" t="s">
        <v>28</v>
      </c>
      <c r="AT52" s="1149"/>
      <c r="AU52" s="1655"/>
      <c r="AV52" s="1149"/>
      <c r="AW52" s="1655"/>
      <c r="AX52" s="2132"/>
      <c r="AY52" s="1857" t="s">
        <v>67</v>
      </c>
      <c r="AZ52" s="2132"/>
      <c r="BA52" s="1857" t="s">
        <v>67</v>
      </c>
      <c r="BB52" s="1746"/>
      <c r="BC52" s="2651" t="s">
        <v>507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508</v>
      </c>
      <c r="AT53" s="1791"/>
      <c r="AU53" s="1894"/>
      <c r="AV53" s="1791"/>
      <c r="AW53" s="1894"/>
      <c r="AX53" s="1791"/>
      <c r="AY53" s="1791"/>
      <c r="AZ53" s="1791"/>
      <c r="BA53" s="1791"/>
      <c r="BB53" s="1795"/>
      <c r="BC53" s="2652"/>
      <c r="BE53" s="898"/>
      <c r="BF53" s="898"/>
      <c r="BG53" s="898"/>
      <c r="BH53" s="898"/>
      <c r="BI53" s="1553">
        <v>11</v>
      </c>
    </row>
    <row customHeight="1" ht="11.549999999999999">
      <c r="A54" s="1761" t="s">
        <v>251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509</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510</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251</v>
      </c>
      <c r="B56" s="1761" t="s">
        <v>252</v>
      </c>
      <c r="C56" s="1761" t="s">
        <v>253</v>
      </c>
      <c r="D56" s="1761" t="s">
        <v>521</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251</v>
      </c>
      <c r="B57" s="1761" t="s">
        <v>252</v>
      </c>
      <c r="C57" s="1761" t="s">
        <v>253</v>
      </c>
      <c r="D57" s="1761" t="s">
        <v>521</v>
      </c>
      <c r="E57" s="2657"/>
      <c r="F57" s="2657"/>
      <c r="G57" s="2657"/>
      <c r="H57" s="2657"/>
      <c r="I57" s="2684"/>
      <c r="J57" s="2654"/>
      <c r="K57" s="1761"/>
      <c r="L57" s="1762"/>
      <c r="P57" s="2655"/>
      <c r="Q57" s="2655"/>
      <c r="R57" s="754"/>
      <c r="S57" s="1676"/>
      <c r="T57" s="685" t="s">
        <v>474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4435" customFormat="1" customHeight="1" ht="0">
      <c r="A58" s="1741" t="s">
        <v>251</v>
      </c>
      <c r="B58" s="1741" t="s">
        <v>252</v>
      </c>
      <c r="C58" s="1741" t="s">
        <v>253</v>
      </c>
      <c r="D58" s="1741" t="s">
        <v>521</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4435" customFormat="1" customHeight="1" ht="0">
      <c r="A59" s="1741" t="s">
        <v>251</v>
      </c>
      <c r="B59" s="1741" t="s">
        <v>252</v>
      </c>
      <c r="C59" s="1741" t="s">
        <v>253</v>
      </c>
      <c r="D59" s="1741" t="s">
        <v>521</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4435" customFormat="1" customHeight="1" ht="0">
      <c r="A60" s="1741" t="s">
        <v>251</v>
      </c>
      <c r="B60" s="1741" t="s">
        <v>252</v>
      </c>
      <c r="C60" s="1741" t="s">
        <v>253</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4435" customFormat="1" customHeight="1" ht="0">
      <c r="A61" s="1741" t="s">
        <v>251</v>
      </c>
      <c r="B61" s="1741" t="s">
        <v>252</v>
      </c>
      <c r="C61" s="1712"/>
      <c r="D61" s="1712"/>
      <c r="E61" s="2657"/>
      <c r="F61" s="2656"/>
      <c r="G61" s="1712"/>
      <c r="H61" s="1712"/>
      <c r="I61" s="1712"/>
      <c r="J61" s="1712"/>
      <c r="K61" s="1712"/>
      <c r="L61" s="1862"/>
      <c r="M61" s="1719"/>
      <c r="N61" s="1719"/>
      <c r="P61" s="1714"/>
      <c r="Q61" s="1715"/>
      <c r="R61" s="1714"/>
      <c r="S61" s="1720"/>
      <c r="T61" s="1723" t="s">
        <v>164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4435" customFormat="1" customHeight="1" ht="0">
      <c r="A62" s="1741" t="s">
        <v>251</v>
      </c>
      <c r="B62" s="1741"/>
      <c r="C62" s="1741"/>
      <c r="D62" s="1741"/>
      <c r="E62" s="2656"/>
      <c r="F62" s="1741"/>
      <c r="G62" s="1741"/>
      <c r="H62" s="1741"/>
      <c r="I62" s="1741"/>
      <c r="J62" s="1741"/>
      <c r="K62" s="1741"/>
      <c r="L62" s="1744"/>
      <c r="M62" s="1719"/>
      <c r="N62" s="1719"/>
      <c r="O62" s="916"/>
      <c r="P62" s="778"/>
      <c r="Q62" s="1742"/>
      <c r="R62" s="778"/>
      <c r="S62" s="1720"/>
      <c r="T62" s="1723" t="s">
        <v>165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4435"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166</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3A7A-3EF4-63EF-E7AF-FA58DA719C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523</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76"/>
      <c r="M19" s="1760"/>
      <c r="N19" s="1760"/>
      <c r="O19" s="1760"/>
      <c r="P19" s="1760"/>
      <c r="Q19" s="1769"/>
      <c r="R19" s="1769"/>
      <c r="S19" s="1127"/>
      <c r="AB19" s="1764"/>
      <c r="AI19" s="1764"/>
      <c r="AL19" s="909"/>
      <c r="AM19" s="909"/>
      <c r="AN19" s="909"/>
      <c r="AO19" s="909"/>
      <c r="AP19" s="909"/>
      <c r="AQ19" s="1558">
        <v>0</v>
      </c>
    </row>
    <row s="24434"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881" t="s">
        <v>495</v>
      </c>
      <c r="W38" s="2660" t="s">
        <v>438</v>
      </c>
      <c r="X38" s="2661"/>
      <c r="Y38" s="2660" t="s">
        <v>439</v>
      </c>
      <c r="Z38" s="2667"/>
      <c r="AA38" s="2661"/>
      <c r="AB38" s="2676"/>
      <c r="AC38" s="1881" t="s">
        <v>495</v>
      </c>
      <c r="AD38" s="2660" t="s">
        <v>438</v>
      </c>
      <c r="AE38" s="2661"/>
      <c r="AF38" s="2660" t="s">
        <v>439</v>
      </c>
      <c r="AG38" s="2667"/>
      <c r="AH38" s="2661"/>
      <c r="AI38" s="2676"/>
      <c r="AJ38" s="2679"/>
      <c r="AK38" s="2525"/>
      <c r="AQ38" s="1553">
        <v>34</v>
      </c>
    </row>
    <row customHeight="1" ht="90.3">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881" t="s">
        <v>524</v>
      </c>
      <c r="W39" s="1620" t="s">
        <v>525</v>
      </c>
      <c r="X39" s="1620" t="s">
        <v>500</v>
      </c>
      <c r="Y39" s="1887" t="s">
        <v>449</v>
      </c>
      <c r="Z39" s="2668" t="s">
        <v>450</v>
      </c>
      <c r="AA39" s="2669"/>
      <c r="AB39" s="2677"/>
      <c r="AC39" s="1881" t="s">
        <v>524</v>
      </c>
      <c r="AD39" s="1620" t="s">
        <v>525</v>
      </c>
      <c r="AE39" s="1620" t="s">
        <v>500</v>
      </c>
      <c r="AF39" s="1887" t="s">
        <v>449</v>
      </c>
      <c r="AG39" s="2668" t="s">
        <v>450</v>
      </c>
      <c r="AH39" s="2669"/>
      <c r="AI39" s="2677"/>
      <c r="AJ39" s="2680"/>
      <c r="AK39" s="2525"/>
      <c r="AQ39" s="1553">
        <v>86</v>
      </c>
    </row>
    <row s="25006"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271</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271</v>
      </c>
      <c r="B42" s="1761" t="s">
        <v>272</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271</v>
      </c>
      <c r="B43" s="1761" t="s">
        <v>272</v>
      </c>
      <c r="C43" s="1761" t="s">
        <v>273</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523</v>
      </c>
      <c r="AM43" s="898"/>
      <c r="AN43" s="898" t="str">
        <f>IF(T43="","",T43)</f>
        <v>Наименование централизованной системы водоотведения</v>
      </c>
      <c r="AO43" s="898"/>
      <c r="AP43" s="898"/>
      <c r="AQ43" s="1553">
        <v>23</v>
      </c>
    </row>
    <row customHeight="1" ht="24">
      <c r="A44" s="1761" t="s">
        <v>271</v>
      </c>
      <c r="B44" s="1761" t="s">
        <v>272</v>
      </c>
      <c r="C44" s="1761" t="s">
        <v>273</v>
      </c>
      <c r="D44" s="1761" t="s">
        <v>526</v>
      </c>
      <c r="E44" s="2657"/>
      <c r="F44" s="2657"/>
      <c r="G44" s="2657"/>
      <c r="H44" s="2657"/>
      <c r="I44" s="2654" t="str">
        <f>S43&amp;".1"</f>
        <v>...1</v>
      </c>
      <c r="J44" s="1761"/>
      <c r="K44" s="1761"/>
      <c r="L44" s="1762"/>
      <c r="P44" s="2655">
        <v>1</v>
      </c>
      <c r="Q44" s="1879"/>
      <c r="R44" s="754"/>
      <c r="S44" s="1891"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271</v>
      </c>
      <c r="B45" s="1761" t="s">
        <v>272</v>
      </c>
      <c r="C45" s="1761" t="s">
        <v>273</v>
      </c>
      <c r="D45" s="1761" t="s">
        <v>526</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271</v>
      </c>
      <c r="B46" s="1761" t="s">
        <v>272</v>
      </c>
      <c r="C46" s="1761" t="s">
        <v>273</v>
      </c>
      <c r="D46" s="1761" t="s">
        <v>526</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271</v>
      </c>
      <c r="B47" s="1761" t="s">
        <v>272</v>
      </c>
      <c r="C47" s="1761" t="s">
        <v>273</v>
      </c>
      <c r="D47" s="1761" t="s">
        <v>526</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271</v>
      </c>
      <c r="B48" s="1761" t="s">
        <v>272</v>
      </c>
      <c r="C48" s="1761" t="s">
        <v>273</v>
      </c>
      <c r="D48" s="1761" t="s">
        <v>526</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271</v>
      </c>
      <c r="B49" s="1761" t="s">
        <v>272</v>
      </c>
      <c r="C49" s="1761" t="s">
        <v>273</v>
      </c>
      <c r="D49" s="1761" t="s">
        <v>526</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271</v>
      </c>
      <c r="B50" s="1761" t="s">
        <v>272</v>
      </c>
      <c r="C50" s="1761" t="s">
        <v>273</v>
      </c>
      <c r="D50" s="1761" t="s">
        <v>526</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271</v>
      </c>
      <c r="B51" s="1741" t="s">
        <v>272</v>
      </c>
      <c r="C51" s="1712"/>
      <c r="D51" s="1712"/>
      <c r="E51" s="2657"/>
      <c r="F51" s="2656"/>
      <c r="G51" s="1712"/>
      <c r="H51" s="1712"/>
      <c r="I51" s="1712"/>
      <c r="J51" s="1712"/>
      <c r="K51" s="1712"/>
      <c r="L51" s="1892"/>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271</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7D862-A5F1-AA5E-1D58-7FBA47AB6A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4" style="24354" width="24.7109375" hidden="1" customWidth="1"/>
    <col min="25" max="25" style="24354" width="11.7109375" hidden="1" customWidth="1"/>
    <col min="26" max="26" style="24354" width="3.7109375" hidden="1" customWidth="1"/>
    <col min="27" max="27" style="24354" width="11.7109375" hidden="1" customWidth="1"/>
    <col min="28" max="28" style="24354" width="8.57421875" hidden="1" customWidth="1"/>
    <col min="29" max="29" style="24354" width="24.7109375" customWidth="1"/>
    <col min="30" max="31" style="24354" width="24.00390625" customWidth="1"/>
    <col min="32" max="32" style="24354" width="11.00390625" customWidth="1"/>
    <col min="33" max="33" style="24354" width="3.7109375" customWidth="1"/>
    <col min="34" max="34" style="24354" width="11.00390625" customWidth="1"/>
    <col min="35" max="35" style="24354" width="8.57421875" hidden="1" customWidth="1"/>
    <col min="36" max="36" style="24354" width="4.00390625" customWidth="1"/>
    <col min="37" max="37" style="24354" width="115.00390625" customWidth="1"/>
    <col min="38" max="42" style="24435" width="10.00390625" customWidth="1"/>
    <col min="43" max="43" style="24354"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523</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489</v>
      </c>
      <c r="U5" s="698"/>
      <c r="V5" s="2748"/>
      <c r="W5" s="2749"/>
      <c r="X5" s="2749"/>
      <c r="Y5" s="2749"/>
      <c r="Z5" s="2749"/>
      <c r="AA5" s="2749"/>
      <c r="AB5" s="2750"/>
      <c r="AC5" s="2751"/>
      <c r="AD5" s="2752"/>
      <c r="AE5" s="2752"/>
      <c r="AF5" s="2752"/>
      <c r="AG5" s="2752"/>
      <c r="AH5" s="2752"/>
      <c r="AI5" s="2752"/>
      <c r="AJ5" s="2753"/>
      <c r="AK5" s="1656" t="s">
        <v>490</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491</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765"/>
      <c r="X9" s="765"/>
      <c r="Y9" s="765"/>
      <c r="Z9" s="765"/>
      <c r="AA9" s="765"/>
      <c r="AB9" s="765"/>
      <c r="AC9" s="765"/>
      <c r="AD9" s="765"/>
      <c r="AE9" s="765"/>
      <c r="AF9" s="765"/>
      <c r="AG9" s="765"/>
      <c r="AH9" s="765"/>
      <c r="AI9" s="765"/>
      <c r="AJ9" s="765"/>
      <c r="AK9" s="1656" t="s">
        <v>493</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44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4434"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24434" customFormat="1" customHeight="1" ht="14.25" hidden="1">
      <c r="L19" s="1876"/>
      <c r="M19" s="1760"/>
      <c r="N19" s="1760"/>
      <c r="O19" s="1760"/>
      <c r="P19" s="1760"/>
      <c r="Q19" s="1769"/>
      <c r="R19" s="1769"/>
      <c r="S19" s="1127"/>
      <c r="AB19" s="1764"/>
      <c r="AI19" s="1764"/>
      <c r="AL19" s="909"/>
      <c r="AM19" s="909"/>
      <c r="AN19" s="909"/>
      <c r="AO19" s="909"/>
      <c r="AP19" s="909"/>
      <c r="AQ19" s="1558">
        <v>0</v>
      </c>
    </row>
    <row s="24434"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724"/>
      <c r="AC28" s="2662" t="str">
        <f>IF(TITLE_DATE_PR_CHANGE="",IF(TITLE_DATE_PR="","",TITLE_DATE_PR),TITLE_DATE_PR_CHANGE)</f>
        <v>45649.66804398148</v>
      </c>
      <c r="AD28" s="2662"/>
      <c r="AE28" s="2662"/>
      <c r="AF28" s="2662"/>
      <c r="AG28" s="2662"/>
      <c r="AH28" s="2662"/>
      <c r="AI28" s="724"/>
      <c r="AJ28" s="724"/>
      <c r="AK28" s="678"/>
      <c r="AL28" s="766"/>
      <c r="AM28" s="766"/>
      <c r="AN28" s="766"/>
      <c r="AO28" s="766"/>
      <c r="AP28" s="766"/>
      <c r="AQ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724"/>
      <c r="AC29" s="2649" t="str">
        <f>IF(TITLE_NUMBER_PR_CHANGE="",IF(TITLE_NUMBER_PR="","",TITLE_NUMBER_PR),TITLE_NUMBER_PR_CHANGE)</f>
        <v>27/6419</v>
      </c>
      <c r="AD29" s="2649"/>
      <c r="AE29" s="2649"/>
      <c r="AF29" s="2649"/>
      <c r="AG29" s="2649"/>
      <c r="AH29" s="2649"/>
      <c r="AI29" s="724"/>
      <c r="AJ29" s="724"/>
      <c r="AK29" s="678"/>
      <c r="AL29" s="766"/>
      <c r="AM29" s="766"/>
      <c r="AN29" s="766"/>
      <c r="AO29" s="766"/>
      <c r="AP29" s="766"/>
      <c r="AQ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724"/>
      <c r="AC32" s="2662" t="str">
        <f>IF(TITLE_DATE_PR_CHANGE="",IF(TITLE_DATE_PR="","",TITLE_DATE_PR),TITLE_DATE_PR_CHANGE)</f>
        <v>45649.66804398148</v>
      </c>
      <c r="AD32" s="2662"/>
      <c r="AE32" s="2662"/>
      <c r="AF32" s="2662"/>
      <c r="AG32" s="2662"/>
      <c r="AH32" s="2662"/>
      <c r="AI32" s="724"/>
      <c r="AJ32" s="724"/>
      <c r="AK32" s="678"/>
      <c r="AL32" s="766"/>
      <c r="AM32" s="766"/>
      <c r="AN32" s="766"/>
      <c r="AO32" s="766"/>
      <c r="AP32" s="766"/>
      <c r="AQ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724"/>
      <c r="AC33" s="2649" t="str">
        <f>IF(TITLE_NUMBER_PR_CHANGE="",IF(TITLE_NUMBER_PR="","",TITLE_NUMBER_PR),TITLE_NUMBER_PR_CHANGE)</f>
        <v>27/6419</v>
      </c>
      <c r="AD33" s="2649"/>
      <c r="AE33" s="2649"/>
      <c r="AF33" s="2649"/>
      <c r="AG33" s="2649"/>
      <c r="AH33" s="2649"/>
      <c r="AI33" s="724"/>
      <c r="AJ33" s="724"/>
      <c r="AK33" s="678"/>
      <c r="AL33" s="766"/>
      <c r="AM33" s="766"/>
      <c r="AN33" s="766"/>
      <c r="AO33" s="766"/>
      <c r="AP33" s="766"/>
      <c r="AQ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431</v>
      </c>
      <c r="U37" s="699"/>
      <c r="V37" s="2672" t="s">
        <v>432</v>
      </c>
      <c r="W37" s="2673"/>
      <c r="X37" s="2673"/>
      <c r="Y37" s="2673"/>
      <c r="Z37" s="2673"/>
      <c r="AA37" s="2674"/>
      <c r="AB37" s="2675" t="s">
        <v>433</v>
      </c>
      <c r="AC37" s="2672" t="s">
        <v>432</v>
      </c>
      <c r="AD37" s="2673"/>
      <c r="AE37" s="2673"/>
      <c r="AF37" s="2673"/>
      <c r="AG37" s="2673"/>
      <c r="AH37" s="2674"/>
      <c r="AI37" s="2675" t="s">
        <v>434</v>
      </c>
      <c r="AJ37" s="2678" t="s">
        <v>435</v>
      </c>
      <c r="AK37" s="2525"/>
      <c r="AQ37" s="1553">
        <v>14</v>
      </c>
    </row>
    <row customHeight="1" ht="35.699999999999996">
      <c r="Q38" s="774"/>
      <c r="R38" s="774"/>
      <c r="S38" s="2671"/>
      <c r="T38" s="2607"/>
      <c r="U38" s="1429"/>
      <c r="V38" s="1881" t="s">
        <v>495</v>
      </c>
      <c r="W38" s="2660" t="s">
        <v>438</v>
      </c>
      <c r="X38" s="2661"/>
      <c r="Y38" s="2660" t="s">
        <v>439</v>
      </c>
      <c r="Z38" s="2667"/>
      <c r="AA38" s="2661"/>
      <c r="AB38" s="2676"/>
      <c r="AC38" s="1881" t="s">
        <v>495</v>
      </c>
      <c r="AD38" s="2660" t="s">
        <v>438</v>
      </c>
      <c r="AE38" s="2661"/>
      <c r="AF38" s="2660" t="s">
        <v>439</v>
      </c>
      <c r="AG38" s="2667"/>
      <c r="AH38" s="2661"/>
      <c r="AI38" s="2676"/>
      <c r="AJ38" s="2679"/>
      <c r="AK38" s="2525"/>
      <c r="AQ38" s="1553">
        <v>34</v>
      </c>
    </row>
    <row customHeight="1" ht="90.3">
      <c r="A39" s="1768"/>
      <c r="B39" s="1768" t="s">
        <v>136</v>
      </c>
      <c r="C39" s="1768" t="s">
        <v>137</v>
      </c>
      <c r="D39" s="1768" t="s">
        <v>138</v>
      </c>
      <c r="E39" s="1762" t="s">
        <v>440</v>
      </c>
      <c r="F39" s="1762" t="s">
        <v>441</v>
      </c>
      <c r="G39" s="1762" t="s">
        <v>442</v>
      </c>
      <c r="H39" s="1762"/>
      <c r="I39" s="1762" t="s">
        <v>496</v>
      </c>
      <c r="J39" s="1762" t="s">
        <v>445</v>
      </c>
      <c r="K39" s="1762" t="s">
        <v>497</v>
      </c>
      <c r="L39" s="1762" t="s">
        <v>420</v>
      </c>
      <c r="Q39" s="774"/>
      <c r="R39" s="774"/>
      <c r="S39" s="2671"/>
      <c r="T39" s="2607"/>
      <c r="U39" s="700"/>
      <c r="V39" s="1881" t="s">
        <v>524</v>
      </c>
      <c r="W39" s="1620" t="s">
        <v>525</v>
      </c>
      <c r="X39" s="1620" t="s">
        <v>500</v>
      </c>
      <c r="Y39" s="1887" t="s">
        <v>449</v>
      </c>
      <c r="Z39" s="2668" t="s">
        <v>450</v>
      </c>
      <c r="AA39" s="2669"/>
      <c r="AB39" s="2677"/>
      <c r="AC39" s="1881" t="s">
        <v>524</v>
      </c>
      <c r="AD39" s="1620" t="s">
        <v>525</v>
      </c>
      <c r="AE39" s="1620" t="s">
        <v>500</v>
      </c>
      <c r="AF39" s="1887" t="s">
        <v>449</v>
      </c>
      <c r="AG39" s="2668" t="s">
        <v>450</v>
      </c>
      <c r="AH39" s="2669"/>
      <c r="AI39" s="2677"/>
      <c r="AJ39" s="2680"/>
      <c r="AK39" s="2525"/>
      <c r="AQ39" s="1553">
        <v>86</v>
      </c>
    </row>
    <row s="250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276</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276</v>
      </c>
      <c r="B42" s="1761" t="s">
        <v>277</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276</v>
      </c>
      <c r="B43" s="1761" t="s">
        <v>277</v>
      </c>
      <c r="C43" s="1761" t="s">
        <v>278</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523</v>
      </c>
      <c r="AM43" s="898"/>
      <c r="AN43" s="898" t="str">
        <f>IF(T43="","",T43)</f>
        <v>Наименование централизованной системы водоотведения</v>
      </c>
      <c r="AO43" s="898"/>
      <c r="AP43" s="898"/>
      <c r="AQ43" s="1553">
        <v>23</v>
      </c>
    </row>
    <row customHeight="1" ht="24">
      <c r="A44" s="1761" t="s">
        <v>276</v>
      </c>
      <c r="B44" s="1761" t="s">
        <v>277</v>
      </c>
      <c r="C44" s="1761" t="s">
        <v>278</v>
      </c>
      <c r="D44" s="1761" t="s">
        <v>527</v>
      </c>
      <c r="E44" s="2657"/>
      <c r="F44" s="2657"/>
      <c r="G44" s="2657"/>
      <c r="H44" s="2657"/>
      <c r="I44" s="2654" t="str">
        <f>S43&amp;".1"</f>
        <v>...1</v>
      </c>
      <c r="J44" s="1761"/>
      <c r="K44" s="1761"/>
      <c r="L44" s="1762"/>
      <c r="P44" s="2655">
        <v>1</v>
      </c>
      <c r="Q44" s="1879"/>
      <c r="R44" s="754"/>
      <c r="S44" s="1891" t="str">
        <f>$I44</f>
        <v>...1</v>
      </c>
      <c r="T44" s="683" t="s">
        <v>489</v>
      </c>
      <c r="U44" s="698"/>
      <c r="V44" s="2748"/>
      <c r="W44" s="2749"/>
      <c r="X44" s="2749"/>
      <c r="Y44" s="2749"/>
      <c r="Z44" s="2749"/>
      <c r="AA44" s="2749"/>
      <c r="AB44" s="2750"/>
      <c r="AC44" s="2751"/>
      <c r="AD44" s="2752"/>
      <c r="AE44" s="2752"/>
      <c r="AF44" s="2752"/>
      <c r="AG44" s="2752"/>
      <c r="AH44" s="2752"/>
      <c r="AI44" s="2752"/>
      <c r="AJ44" s="2753"/>
      <c r="AK44" s="1656" t="s">
        <v>490</v>
      </c>
      <c r="AM44" s="898"/>
      <c r="AN44" s="898" t="str">
        <f>IF(T44="","",T44)</f>
        <v>Наименование признака дифференциации</v>
      </c>
      <c r="AO44" s="898"/>
      <c r="AP44" s="898"/>
      <c r="AQ44" s="1553">
        <v>23</v>
      </c>
    </row>
    <row customHeight="1" ht="24">
      <c r="A45" s="1761" t="s">
        <v>276</v>
      </c>
      <c r="B45" s="1761" t="s">
        <v>277</v>
      </c>
      <c r="C45" s="1761" t="s">
        <v>278</v>
      </c>
      <c r="D45" s="1761" t="s">
        <v>527</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491</v>
      </c>
      <c r="AM45" s="898"/>
      <c r="AN45" s="898" t="str">
        <f>IF(T45="","",T45)</f>
        <v>Группа потребителей</v>
      </c>
      <c r="AO45" s="898"/>
      <c r="AP45" s="898"/>
      <c r="AQ45" s="1553">
        <v>23</v>
      </c>
    </row>
    <row customHeight="1" ht="24">
      <c r="A46" s="1761" t="s">
        <v>276</v>
      </c>
      <c r="B46" s="1761" t="s">
        <v>277</v>
      </c>
      <c r="C46" s="1761" t="s">
        <v>278</v>
      </c>
      <c r="D46" s="1761" t="s">
        <v>527</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276</v>
      </c>
      <c r="B47" s="1761" t="s">
        <v>277</v>
      </c>
      <c r="C47" s="1761" t="s">
        <v>278</v>
      </c>
      <c r="D47" s="1761" t="s">
        <v>527</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276</v>
      </c>
      <c r="B48" s="1761" t="s">
        <v>277</v>
      </c>
      <c r="C48" s="1761" t="s">
        <v>278</v>
      </c>
      <c r="D48" s="1761" t="s">
        <v>527</v>
      </c>
      <c r="E48" s="2657"/>
      <c r="F48" s="2657"/>
      <c r="G48" s="2657"/>
      <c r="H48" s="2657"/>
      <c r="I48" s="2684"/>
      <c r="J48" s="2654"/>
      <c r="K48" s="1761"/>
      <c r="L48" s="1762"/>
      <c r="P48" s="2655"/>
      <c r="Q48" s="2655"/>
      <c r="R48" s="754"/>
      <c r="S48" s="1676"/>
      <c r="T48" s="685" t="s">
        <v>492</v>
      </c>
      <c r="U48" s="765"/>
      <c r="V48" s="765"/>
      <c r="W48" s="765"/>
      <c r="X48" s="765"/>
      <c r="Y48" s="765"/>
      <c r="Z48" s="765"/>
      <c r="AA48" s="765"/>
      <c r="AB48" s="765"/>
      <c r="AC48" s="765"/>
      <c r="AD48" s="765"/>
      <c r="AE48" s="765"/>
      <c r="AF48" s="765"/>
      <c r="AG48" s="765"/>
      <c r="AH48" s="765"/>
      <c r="AI48" s="765"/>
      <c r="AJ48" s="765"/>
      <c r="AK48" s="1656" t="s">
        <v>493</v>
      </c>
      <c r="AM48" s="898"/>
      <c r="AN48" s="898" t="str">
        <f>IF(T48="","",T48)</f>
        <v>Добавить значение признака дифференциации</v>
      </c>
      <c r="AO48" s="898"/>
      <c r="AP48" s="898"/>
      <c r="AQ48" s="1553">
        <v>20</v>
      </c>
    </row>
    <row customHeight="1" ht="22.049999999999997">
      <c r="A49" s="1761" t="s">
        <v>276</v>
      </c>
      <c r="B49" s="1761" t="s">
        <v>277</v>
      </c>
      <c r="C49" s="1761" t="s">
        <v>278</v>
      </c>
      <c r="D49" s="1761" t="s">
        <v>527</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276</v>
      </c>
      <c r="B50" s="1761" t="s">
        <v>277</v>
      </c>
      <c r="C50" s="1761" t="s">
        <v>278</v>
      </c>
      <c r="D50" s="1761" t="s">
        <v>527</v>
      </c>
      <c r="E50" s="2657"/>
      <c r="F50" s="2657"/>
      <c r="G50" s="2657"/>
      <c r="H50" s="2656"/>
      <c r="I50" s="1761"/>
      <c r="J50" s="1761"/>
      <c r="K50" s="1761"/>
      <c r="L50" s="1762"/>
      <c r="M50" s="1763"/>
      <c r="N50" s="1763"/>
      <c r="O50" s="935"/>
      <c r="P50" s="758"/>
      <c r="Q50" s="773"/>
      <c r="R50" s="753"/>
      <c r="S50" s="1676"/>
      <c r="T50" s="770" t="s">
        <v>494</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4435" customFormat="1" customHeight="1" ht="0">
      <c r="A51" s="1741" t="s">
        <v>276</v>
      </c>
      <c r="B51" s="1741" t="s">
        <v>277</v>
      </c>
      <c r="C51" s="1712"/>
      <c r="D51" s="1712"/>
      <c r="E51" s="2657"/>
      <c r="F51" s="2656"/>
      <c r="G51" s="1712"/>
      <c r="H51" s="1712"/>
      <c r="I51" s="1712"/>
      <c r="J51" s="1712"/>
      <c r="K51" s="1712"/>
      <c r="L51" s="1892"/>
      <c r="M51" s="1719"/>
      <c r="N51" s="1719"/>
      <c r="P51" s="1714"/>
      <c r="Q51" s="1715"/>
      <c r="R51" s="1714"/>
      <c r="S51" s="1720"/>
      <c r="T51" s="1723" t="s">
        <v>164</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4435" customFormat="1" customHeight="1" ht="0">
      <c r="A52" s="1741" t="s">
        <v>276</v>
      </c>
      <c r="B52" s="1741"/>
      <c r="C52" s="1741"/>
      <c r="D52" s="1741"/>
      <c r="E52" s="2656"/>
      <c r="F52" s="1741"/>
      <c r="G52" s="1741"/>
      <c r="H52" s="1741"/>
      <c r="I52" s="1741"/>
      <c r="J52" s="1741"/>
      <c r="K52" s="1741"/>
      <c r="L52" s="1744"/>
      <c r="M52" s="1719"/>
      <c r="N52" s="1719"/>
      <c r="O52" s="916"/>
      <c r="P52" s="778"/>
      <c r="Q52" s="1742"/>
      <c r="R52" s="778"/>
      <c r="S52" s="1720"/>
      <c r="T52" s="1723" t="s">
        <v>165</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4435"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166</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8274A-7F4B-5C73-6F54-86902672B1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434" width="11.57421875" hidden="1" customWidth="1"/>
    <col min="2" max="2" style="24434" width="11.00390625" hidden="1" customWidth="1"/>
    <col min="3" max="3" style="24434" width="10.57421875" hidden="1"/>
    <col min="4" max="4" style="24434" width="12.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2" width="3.7109375" hidden="1" customWidth="1"/>
    <col min="17" max="17" style="26380" width="3.7109375" hidden="1" customWidth="1"/>
    <col min="18" max="18" style="26194" width="3.00390625" customWidth="1"/>
    <col min="19" max="19" style="26195" width="12.00390625" customWidth="1"/>
    <col min="20" max="20" style="24354" width="31.00390625" customWidth="1"/>
    <col min="21" max="21" style="24354" width="0.140625" customWidth="1"/>
    <col min="22" max="25" style="24354" width="21.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3.7109375" customWidth="1"/>
    <col min="31" max="32" style="24354" width="3.00390625" customWidth="1"/>
    <col min="33" max="33" style="24354" width="24.00390625" customWidth="1"/>
    <col min="34" max="34" style="24354" width="3.7109375" customWidth="1"/>
    <col min="35" max="36" style="24354" width="3.00390625" customWidth="1"/>
    <col min="37" max="37" style="24354" width="24.00390625" customWidth="1"/>
    <col min="38" max="38" style="24354" width="3.7109375" customWidth="1"/>
    <col min="39" max="40" style="24354" width="3.00390625" customWidth="1"/>
    <col min="41" max="41" style="24354" width="18.00390625" customWidth="1"/>
    <col min="42" max="42" style="24354" width="3.7109375" customWidth="1"/>
    <col min="43" max="44" style="24354" width="3.00390625" customWidth="1"/>
    <col min="45" max="45" style="24354" width="18.00390625" customWidth="1"/>
    <col min="46" max="49" style="24354" width="21.00390625" customWidth="1"/>
    <col min="50" max="50" style="24354" width="11.00390625" customWidth="1"/>
    <col min="51" max="51" style="24354" width="3.7109375" customWidth="1"/>
    <col min="52" max="52" style="24354" width="11.00390625" customWidth="1"/>
    <col min="53" max="53" style="24354" width="8.57421875" hidden="1" customWidth="1"/>
    <col min="54" max="54" style="24354" width="4.00390625" customWidth="1"/>
    <col min="55" max="55" style="24354" width="115.00390625" customWidth="1"/>
    <col min="56" max="60" style="24435" width="10.00390625" customWidth="1"/>
    <col min="61" max="61" style="24354"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523</v>
      </c>
      <c r="BE4" s="898"/>
      <c r="BF4" s="898" t="str">
        <f>IF(T4="","",T4)</f>
        <v>Наименование централизованной системы водоотведения</v>
      </c>
      <c r="BG4" s="898"/>
      <c r="BH4" s="898"/>
      <c r="BI4" s="1553">
        <v>0</v>
      </c>
    </row>
    <row s="244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244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44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528</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529</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474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4435"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44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4435"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4435"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164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44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165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6351" customFormat="1" customHeight="1" ht="14.25" hidden="1">
      <c r="M24" s="1906"/>
      <c r="N24" s="1906"/>
      <c r="O24" s="1907" t="s">
        <v>420</v>
      </c>
      <c r="P24" s="1906"/>
      <c r="Q24" s="1908"/>
      <c r="R24" s="1908"/>
      <c r="AA24" s="1905" t="s">
        <v>422</v>
      </c>
      <c r="AC24" s="1905" t="s">
        <v>423</v>
      </c>
      <c r="AD24" s="1905" t="s">
        <v>475</v>
      </c>
      <c r="AH24" s="1905" t="s">
        <v>475</v>
      </c>
      <c r="AK24" s="1905" t="s">
        <v>512</v>
      </c>
      <c r="AL24" s="1905" t="s">
        <v>475</v>
      </c>
      <c r="AP24" s="1905" t="s">
        <v>475</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"Новая Энергетика"</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45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45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45649.66804398148</v>
      </c>
      <c r="W32" s="2662"/>
      <c r="X32" s="2662"/>
      <c r="Y32" s="2662"/>
      <c r="Z32" s="2662"/>
      <c r="AA32" s="2662"/>
      <c r="AB32" s="2662"/>
      <c r="AC32" s="724"/>
      <c r="AD32" s="2662" t="str">
        <f>IF(TITLE_DATE_PR_CHANGE="",IF(TITLE_DATE_PR="","",TITLE_DATE_PR),TITLE_DATE_PR_CHANGE)</f>
        <v>45649.66804398148</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45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27/6419</v>
      </c>
      <c r="W33" s="2649"/>
      <c r="X33" s="2649"/>
      <c r="Y33" s="2649"/>
      <c r="Z33" s="2649"/>
      <c r="AA33" s="2649"/>
      <c r="AB33" s="2649"/>
      <c r="AC33" s="724"/>
      <c r="AD33" s="2649" t="str">
        <f>IF(TITLE_NUMBER_PR_CHANGE="",IF(TITLE_NUMBER_PR="","",TITLE_NUMBER_PR),TITLE_NUMBER_PR_CHANGE)</f>
        <v>27/6419</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45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45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45649.66804398148</v>
      </c>
      <c r="W36" s="2662"/>
      <c r="X36" s="2662"/>
      <c r="Y36" s="2662"/>
      <c r="Z36" s="2662"/>
      <c r="AA36" s="2662"/>
      <c r="AB36" s="2662"/>
      <c r="AC36" s="724"/>
      <c r="AD36" s="2662" t="str">
        <f>IF(TITLE_DATE_PR_CHANGE="",IF(TITLE_DATE_PR="","",TITLE_DATE_PR),TITLE_DATE_PR_CHANGE)</f>
        <v>45649.66804398148</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45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27/6419</v>
      </c>
      <c r="W37" s="2649"/>
      <c r="X37" s="2649"/>
      <c r="Y37" s="2649"/>
      <c r="Z37" s="2649"/>
      <c r="AA37" s="2649"/>
      <c r="AB37" s="2649"/>
      <c r="AC37" s="724"/>
      <c r="AD37" s="2649" t="str">
        <f>IF(TITLE_NUMBER_PR_CHANGE="",IF(TITLE_NUMBER_PR="","",TITLE_NUMBER_PR),TITLE_NUMBER_PR_CHANGE)</f>
        <v>27/6419</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45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513</v>
      </c>
      <c r="U41" s="699"/>
      <c r="V41" s="2672" t="s">
        <v>432</v>
      </c>
      <c r="W41" s="2673"/>
      <c r="X41" s="2673"/>
      <c r="Y41" s="2673"/>
      <c r="Z41" s="2673"/>
      <c r="AA41" s="2673"/>
      <c r="AB41" s="2674"/>
      <c r="AC41" s="2675" t="s">
        <v>433</v>
      </c>
      <c r="AD41" s="2726" t="s">
        <v>530</v>
      </c>
      <c r="AE41" s="2689"/>
      <c r="AF41" s="2689"/>
      <c r="AG41" s="2727"/>
      <c r="AH41" s="2726" t="s">
        <v>531</v>
      </c>
      <c r="AI41" s="2689"/>
      <c r="AJ41" s="2689"/>
      <c r="AK41" s="2727"/>
      <c r="AL41" s="2726" t="s">
        <v>532</v>
      </c>
      <c r="AM41" s="2689"/>
      <c r="AN41" s="2689"/>
      <c r="AO41" s="2727"/>
      <c r="AP41" s="2726" t="s">
        <v>517</v>
      </c>
      <c r="AQ41" s="2689"/>
      <c r="AR41" s="2689"/>
      <c r="AS41" s="2727"/>
      <c r="AT41" s="2672" t="s">
        <v>432</v>
      </c>
      <c r="AU41" s="2673"/>
      <c r="AV41" s="2673"/>
      <c r="AW41" s="2673"/>
      <c r="AX41" s="2673"/>
      <c r="AY41" s="2673"/>
      <c r="AZ41" s="2674"/>
      <c r="BA41" s="2675" t="s">
        <v>433</v>
      </c>
      <c r="BB41" s="2678" t="s">
        <v>435</v>
      </c>
      <c r="BC41" s="2525"/>
      <c r="BI41" s="1553">
        <v>14</v>
      </c>
    </row>
    <row customHeight="1" ht="35.699999999999996">
      <c r="Q42" s="689"/>
      <c r="R42" s="774"/>
      <c r="S42" s="2671"/>
      <c r="T42" s="2607"/>
      <c r="U42" s="1429"/>
      <c r="V42" s="2590" t="s">
        <v>518</v>
      </c>
      <c r="W42" s="2591"/>
      <c r="X42" s="2590" t="s">
        <v>519</v>
      </c>
      <c r="Y42" s="2591"/>
      <c r="Z42" s="2692" t="s">
        <v>520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533</v>
      </c>
      <c r="AU42" s="2591"/>
      <c r="AV42" s="2590" t="s">
        <v>534</v>
      </c>
      <c r="AW42" s="2591"/>
      <c r="AX42" s="2692" t="s">
        <v>520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440</v>
      </c>
      <c r="F44" s="1762" t="s">
        <v>441</v>
      </c>
      <c r="G44" s="1762" t="s">
        <v>442</v>
      </c>
      <c r="H44" s="1762" t="s">
        <v>443</v>
      </c>
      <c r="I44" s="1762" t="s">
        <v>444</v>
      </c>
      <c r="J44" s="1762" t="s">
        <v>445</v>
      </c>
      <c r="K44" s="1762" t="s">
        <v>446</v>
      </c>
      <c r="L44" s="1762" t="s">
        <v>420</v>
      </c>
      <c r="Q44" s="689"/>
      <c r="R44" s="774"/>
      <c r="S44" s="2671"/>
      <c r="T44" s="2607"/>
      <c r="U44" s="700"/>
      <c r="V44" s="1877" t="s">
        <v>484</v>
      </c>
      <c r="W44" s="1877" t="s">
        <v>485</v>
      </c>
      <c r="X44" s="1877" t="s">
        <v>484</v>
      </c>
      <c r="Y44" s="1877" t="s">
        <v>485</v>
      </c>
      <c r="Z44" s="1887" t="s">
        <v>449</v>
      </c>
      <c r="AA44" s="2668" t="s">
        <v>450</v>
      </c>
      <c r="AB44" s="2669"/>
      <c r="AC44" s="2677"/>
      <c r="AD44" s="2731"/>
      <c r="AE44" s="2732"/>
      <c r="AF44" s="2732"/>
      <c r="AG44" s="2733"/>
      <c r="AH44" s="2731"/>
      <c r="AI44" s="2732"/>
      <c r="AJ44" s="2732"/>
      <c r="AK44" s="2733"/>
      <c r="AL44" s="2731"/>
      <c r="AM44" s="2732"/>
      <c r="AN44" s="2732"/>
      <c r="AO44" s="2733"/>
      <c r="AP44" s="2731"/>
      <c r="AQ44" s="2732"/>
      <c r="AR44" s="2732"/>
      <c r="AS44" s="2733"/>
      <c r="AT44" s="1877" t="s">
        <v>484</v>
      </c>
      <c r="AU44" s="1877" t="s">
        <v>485</v>
      </c>
      <c r="AV44" s="1877" t="s">
        <v>484</v>
      </c>
      <c r="AW44" s="1877" t="s">
        <v>485</v>
      </c>
      <c r="AX44" s="1887" t="s">
        <v>449</v>
      </c>
      <c r="AY44" s="2668" t="s">
        <v>450</v>
      </c>
      <c r="AZ44" s="2669"/>
      <c r="BA44" s="2677"/>
      <c r="BB44" s="2680"/>
      <c r="BC44" s="2525"/>
      <c r="BI44" s="1553">
        <v>14</v>
      </c>
    </row>
    <row s="25006"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281</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281</v>
      </c>
      <c r="B47" s="1761" t="s">
        <v>282</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281</v>
      </c>
      <c r="B48" s="1761" t="s">
        <v>282</v>
      </c>
      <c r="C48" s="1761" t="s">
        <v>283</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523</v>
      </c>
      <c r="BE48" s="898"/>
      <c r="BF48" s="898" t="str">
        <f>IF(T48="","",T48)</f>
        <v>Наименование централизованной системы водоотведения</v>
      </c>
      <c r="BG48" s="898"/>
      <c r="BH48" s="898"/>
      <c r="BI48" s="1553">
        <v>34</v>
      </c>
    </row>
    <row s="24435" customFormat="1" customHeight="1" ht="0">
      <c r="A49" s="1741" t="s">
        <v>281</v>
      </c>
      <c r="B49" s="1741" t="s">
        <v>282</v>
      </c>
      <c r="C49" s="1741" t="s">
        <v>283</v>
      </c>
      <c r="D49" s="1741" t="s">
        <v>535</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24435" customFormat="1" customHeight="1" ht="0">
      <c r="A50" s="1741" t="s">
        <v>281</v>
      </c>
      <c r="B50" s="1741" t="s">
        <v>282</v>
      </c>
      <c r="C50" s="1741" t="s">
        <v>283</v>
      </c>
      <c r="D50" s="1741" t="s">
        <v>535</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4435" customFormat="1" customHeight="1" ht="0">
      <c r="A51" s="1741" t="s">
        <v>281</v>
      </c>
      <c r="B51" s="1741" t="s">
        <v>282</v>
      </c>
      <c r="C51" s="1741" t="s">
        <v>283</v>
      </c>
      <c r="D51" s="1741" t="s">
        <v>535</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281</v>
      </c>
      <c r="B52" s="1761" t="s">
        <v>282</v>
      </c>
      <c r="C52" s="1761" t="s">
        <v>283</v>
      </c>
      <c r="D52" s="1761" t="s">
        <v>535</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508</v>
      </c>
      <c r="AT53" s="1791"/>
      <c r="AU53" s="1894"/>
      <c r="AV53" s="1791"/>
      <c r="AW53" s="1894"/>
      <c r="AX53" s="1791"/>
      <c r="AY53" s="1791"/>
      <c r="AZ53" s="1791"/>
      <c r="BA53" s="1791"/>
      <c r="BB53" s="1795"/>
      <c r="BC53" s="2652"/>
      <c r="BE53" s="898"/>
      <c r="BF53" s="898"/>
      <c r="BG53" s="898"/>
      <c r="BH53" s="898"/>
      <c r="BI53" s="1553">
        <v>11</v>
      </c>
    </row>
    <row customHeight="1" ht="11.549999999999999">
      <c r="A54" s="1761" t="s">
        <v>281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528</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529</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281</v>
      </c>
      <c r="B56" s="1761" t="s">
        <v>282</v>
      </c>
      <c r="C56" s="1761" t="s">
        <v>283</v>
      </c>
      <c r="D56" s="1761" t="s">
        <v>535</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281</v>
      </c>
      <c r="B57" s="1761" t="s">
        <v>282</v>
      </c>
      <c r="C57" s="1761" t="s">
        <v>283</v>
      </c>
      <c r="D57" s="1761" t="s">
        <v>535</v>
      </c>
      <c r="E57" s="2657"/>
      <c r="F57" s="2657"/>
      <c r="G57" s="2657"/>
      <c r="H57" s="2657"/>
      <c r="I57" s="2684"/>
      <c r="J57" s="2654"/>
      <c r="K57" s="1761"/>
      <c r="L57" s="1762"/>
      <c r="P57" s="2655"/>
      <c r="Q57" s="2655"/>
      <c r="R57" s="754"/>
      <c r="S57" s="1676"/>
      <c r="T57" s="685" t="s">
        <v>474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4435" customFormat="1" customHeight="1" ht="0">
      <c r="A58" s="1741" t="s">
        <v>281</v>
      </c>
      <c r="B58" s="1741" t="s">
        <v>282</v>
      </c>
      <c r="C58" s="1741" t="s">
        <v>283</v>
      </c>
      <c r="D58" s="1741" t="s">
        <v>535</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4435" customFormat="1" customHeight="1" ht="0">
      <c r="A59" s="1741" t="s">
        <v>281</v>
      </c>
      <c r="B59" s="1741" t="s">
        <v>282</v>
      </c>
      <c r="C59" s="1741" t="s">
        <v>283</v>
      </c>
      <c r="D59" s="1741" t="s">
        <v>535</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4435" customFormat="1" customHeight="1" ht="0">
      <c r="A60" s="1741" t="s">
        <v>281</v>
      </c>
      <c r="B60" s="1741" t="s">
        <v>282</v>
      </c>
      <c r="C60" s="1741" t="s">
        <v>283</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4435" customFormat="1" customHeight="1" ht="0">
      <c r="A61" s="1741" t="s">
        <v>281</v>
      </c>
      <c r="B61" s="1741" t="s">
        <v>282</v>
      </c>
      <c r="C61" s="1712"/>
      <c r="D61" s="1712"/>
      <c r="E61" s="2657"/>
      <c r="F61" s="2656"/>
      <c r="G61" s="1712"/>
      <c r="H61" s="1712"/>
      <c r="I61" s="1712"/>
      <c r="J61" s="1712"/>
      <c r="K61" s="1712"/>
      <c r="L61" s="1892"/>
      <c r="M61" s="1719"/>
      <c r="N61" s="1719"/>
      <c r="P61" s="1714"/>
      <c r="Q61" s="1715"/>
      <c r="R61" s="1714"/>
      <c r="S61" s="1720"/>
      <c r="T61" s="1723" t="s">
        <v>164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4435" customFormat="1" customHeight="1" ht="0">
      <c r="A62" s="1741" t="s">
        <v>281</v>
      </c>
      <c r="B62" s="1741"/>
      <c r="C62" s="1741"/>
      <c r="D62" s="1741"/>
      <c r="E62" s="2656"/>
      <c r="F62" s="1741"/>
      <c r="G62" s="1741"/>
      <c r="H62" s="1741"/>
      <c r="I62" s="1741"/>
      <c r="J62" s="1741"/>
      <c r="K62" s="1741"/>
      <c r="L62" s="1744"/>
      <c r="M62" s="1719"/>
      <c r="N62" s="1719"/>
      <c r="O62" s="916"/>
      <c r="P62" s="778"/>
      <c r="Q62" s="1742"/>
      <c r="R62" s="778"/>
      <c r="S62" s="1720"/>
      <c r="T62" s="1723" t="s">
        <v>165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4435"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166</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A46A3-767E-B9A6-0FA6-9C2DF727A63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8" style="24354" width="19.7109375" hidden="1" customWidth="1"/>
    <col min="29" max="29" style="24354" width="11.7109375" hidden="1" customWidth="1"/>
    <col min="30" max="30" style="24354" width="3.7109375" hidden="1" customWidth="1"/>
    <col min="31" max="31" style="24354" width="11.7109375" hidden="1" customWidth="1"/>
    <col min="32" max="32" style="24354" width="8.57421875" hidden="1" customWidth="1"/>
    <col min="33" max="33" style="24354" width="19.7109375" customWidth="1"/>
    <col min="34" max="39" style="24354" width="19.00390625" customWidth="1"/>
    <col min="40" max="40" style="24354" width="11.00390625" customWidth="1"/>
    <col min="41" max="41" style="24354" width="3.7109375" customWidth="1"/>
    <col min="42" max="42" style="24354" width="11.00390625" customWidth="1"/>
    <col min="43" max="43" style="24354" width="8.57421875" hidden="1" customWidth="1"/>
    <col min="44" max="44" style="24354" width="4.00390625" customWidth="1"/>
    <col min="45" max="45" style="24354" width="115.00390625" customWidth="1"/>
    <col min="46" max="50" style="24435" width="10.00390625" customWidth="1"/>
    <col min="51" max="51" style="24354"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536</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537</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489</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490</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491</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67</v>
      </c>
      <c r="AE7" s="2663"/>
      <c r="AF7" s="2505" t="s">
        <v>67</v>
      </c>
      <c r="AG7" s="1149"/>
      <c r="AH7" s="1149"/>
      <c r="AI7" s="1149"/>
      <c r="AJ7" s="1149"/>
      <c r="AK7" s="1149"/>
      <c r="AL7" s="1149"/>
      <c r="AM7" s="1149"/>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493</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44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67</v>
      </c>
      <c r="AP15" s="2665"/>
      <c r="AQ15" s="2666" t="s">
        <v>67</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4434" customFormat="1" customHeight="1" ht="22.5" hidden="1">
      <c r="L18" s="1876"/>
      <c r="M18" s="1760"/>
      <c r="N18" s="1760"/>
      <c r="O18" s="1765" t="s">
        <v>419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4434"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4434" customFormat="1" customHeight="1" ht="12" hidden="1">
      <c r="L20" s="1876"/>
      <c r="M20" s="1760"/>
      <c r="N20" s="1760"/>
      <c r="O20" s="1762" t="s">
        <v>420</v>
      </c>
      <c r="P20" s="1760"/>
      <c r="Q20" s="1840"/>
      <c r="R20" s="1840"/>
      <c r="S20" s="1127"/>
      <c r="T20" s="1558" t="s">
        <v>421</v>
      </c>
      <c r="W20" s="1764"/>
      <c r="X20" s="1764"/>
      <c r="Y20" s="1764"/>
      <c r="Z20" s="1764"/>
      <c r="AA20" s="1764"/>
      <c r="AB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2662"/>
      <c r="AC28" s="2662"/>
      <c r="AD28" s="2662"/>
      <c r="AE28" s="2662"/>
      <c r="AF28" s="724"/>
      <c r="AG28" s="2662" t="str">
        <f>IF(TITLE_DATE_PR_CHANGE="",IF(TITLE_DATE_PR="","",TITLE_DATE_PR),TITLE_DATE_PR_CHANGE)</f>
        <v>45649.66804398148</v>
      </c>
      <c r="AH28" s="2662"/>
      <c r="AI28" s="2662"/>
      <c r="AJ28" s="2662"/>
      <c r="AK28" s="2662"/>
      <c r="AL28" s="2662"/>
      <c r="AM28" s="2662"/>
      <c r="AN28" s="2662"/>
      <c r="AO28" s="2662"/>
      <c r="AP28" s="2662"/>
      <c r="AQ28" s="724"/>
      <c r="AR28" s="724"/>
      <c r="AS28" s="678"/>
      <c r="AT28" s="766"/>
      <c r="AU28" s="766"/>
      <c r="AV28" s="766"/>
      <c r="AW28" s="766"/>
      <c r="AX28" s="766"/>
      <c r="AY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2649"/>
      <c r="AC29" s="2649"/>
      <c r="AD29" s="2649"/>
      <c r="AE29" s="2649"/>
      <c r="AF29" s="724"/>
      <c r="AG29" s="2649" t="str">
        <f>IF(TITLE_NUMBER_PR_CHANGE="",IF(TITLE_NUMBER_PR="","",TITLE_NUMBER_PR),TITLE_NUMBER_PR_CHANGE)</f>
        <v>27/6419</v>
      </c>
      <c r="AH29" s="2649"/>
      <c r="AI29" s="2649"/>
      <c r="AJ29" s="2649"/>
      <c r="AK29" s="2649"/>
      <c r="AL29" s="2649"/>
      <c r="AM29" s="2649"/>
      <c r="AN29" s="2649"/>
      <c r="AO29" s="2649"/>
      <c r="AP29" s="2649"/>
      <c r="AQ29" s="724"/>
      <c r="AR29" s="724"/>
      <c r="AS29" s="678"/>
      <c r="AT29" s="766"/>
      <c r="AU29" s="766"/>
      <c r="AV29" s="766"/>
      <c r="AW29" s="766"/>
      <c r="AX29" s="766"/>
      <c r="AY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2662"/>
      <c r="AC32" s="2662"/>
      <c r="AD32" s="2662"/>
      <c r="AE32" s="2662"/>
      <c r="AF32" s="724"/>
      <c r="AG32" s="2662" t="str">
        <f>IF(TITLE_DATE_PR_CHANGE="",IF(TITLE_DATE_PR="","",TITLE_DATE_PR),TITLE_DATE_PR_CHANGE)</f>
        <v>45649.66804398148</v>
      </c>
      <c r="AH32" s="2662"/>
      <c r="AI32" s="2662"/>
      <c r="AJ32" s="2662"/>
      <c r="AK32" s="2662"/>
      <c r="AL32" s="2662"/>
      <c r="AM32" s="2662"/>
      <c r="AN32" s="2662"/>
      <c r="AO32" s="2662"/>
      <c r="AP32" s="2662"/>
      <c r="AQ32" s="724"/>
      <c r="AR32" s="724"/>
      <c r="AS32" s="678"/>
      <c r="AT32" s="766"/>
      <c r="AU32" s="766"/>
      <c r="AV32" s="766"/>
      <c r="AW32" s="766"/>
      <c r="AX32" s="766"/>
      <c r="AY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2649"/>
      <c r="AC33" s="2649"/>
      <c r="AD33" s="2649"/>
      <c r="AE33" s="2649"/>
      <c r="AF33" s="724"/>
      <c r="AG33" s="2649" t="str">
        <f>IF(TITLE_NUMBER_PR_CHANGE="",IF(TITLE_NUMBER_PR="","",TITLE_NUMBER_PR),TITLE_NUMBER_PR_CHANGE)</f>
        <v>27/6419</v>
      </c>
      <c r="AH33" s="2649"/>
      <c r="AI33" s="2649"/>
      <c r="AJ33" s="2649"/>
      <c r="AK33" s="2649"/>
      <c r="AL33" s="2649"/>
      <c r="AM33" s="2649"/>
      <c r="AN33" s="2649"/>
      <c r="AO33" s="2649"/>
      <c r="AP33" s="2649"/>
      <c r="AQ33" s="724"/>
      <c r="AR33" s="724"/>
      <c r="AS33" s="678"/>
      <c r="AT33" s="766"/>
      <c r="AU33" s="766"/>
      <c r="AV33" s="766"/>
      <c r="AW33" s="766"/>
      <c r="AX33" s="766"/>
      <c r="AY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431</v>
      </c>
      <c r="U37" s="699"/>
      <c r="V37" s="2672" t="s">
        <v>432</v>
      </c>
      <c r="W37" s="2689"/>
      <c r="X37" s="2689"/>
      <c r="Y37" s="2689"/>
      <c r="Z37" s="2689"/>
      <c r="AA37" s="2689"/>
      <c r="AB37" s="2689"/>
      <c r="AC37" s="2673"/>
      <c r="AD37" s="2673"/>
      <c r="AE37" s="2674"/>
      <c r="AF37" s="2675" t="s">
        <v>433</v>
      </c>
      <c r="AG37" s="2672" t="s">
        <v>432</v>
      </c>
      <c r="AH37" s="2673"/>
      <c r="AI37" s="2673"/>
      <c r="AJ37" s="2673"/>
      <c r="AK37" s="2673"/>
      <c r="AL37" s="2673"/>
      <c r="AM37" s="2673"/>
      <c r="AN37" s="2673"/>
      <c r="AO37" s="2673"/>
      <c r="AP37" s="2674"/>
      <c r="AQ37" s="2675" t="s">
        <v>434</v>
      </c>
      <c r="AR37" s="2678" t="s">
        <v>435</v>
      </c>
      <c r="AS37" s="2525"/>
      <c r="AY37" s="1553">
        <v>14</v>
      </c>
    </row>
    <row customHeight="1" ht="19.95">
      <c r="Q38" s="774"/>
      <c r="R38" s="774"/>
      <c r="S38" s="2671"/>
      <c r="T38" s="2607"/>
      <c r="U38" s="1429"/>
      <c r="V38" s="2764" t="s">
        <v>538</v>
      </c>
      <c r="W38" s="2763" t="s">
        <v>539</v>
      </c>
      <c r="X38" s="2763"/>
      <c r="Y38" s="2763"/>
      <c r="Z38" s="2763" t="s">
        <v>540</v>
      </c>
      <c r="AA38" s="2763"/>
      <c r="AB38" s="2763"/>
      <c r="AC38" s="2692" t="s">
        <v>439</v>
      </c>
      <c r="AD38" s="2711"/>
      <c r="AE38" s="2712"/>
      <c r="AF38" s="2676"/>
      <c r="AG38" s="2764" t="s">
        <v>538</v>
      </c>
      <c r="AH38" s="2763" t="s">
        <v>539</v>
      </c>
      <c r="AI38" s="2763"/>
      <c r="AJ38" s="2763"/>
      <c r="AK38" s="2763" t="s">
        <v>540</v>
      </c>
      <c r="AL38" s="2763"/>
      <c r="AM38" s="2763"/>
      <c r="AN38" s="2692" t="s">
        <v>439</v>
      </c>
      <c r="AO38" s="2711"/>
      <c r="AP38" s="2712"/>
      <c r="AQ38" s="2676"/>
      <c r="AR38" s="2679"/>
      <c r="AS38" s="2525"/>
      <c r="AY38" s="1553">
        <v>19</v>
      </c>
    </row>
    <row s="24354"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541</v>
      </c>
      <c r="X39" s="2763" t="s">
        <v>542</v>
      </c>
      <c r="Y39" s="2763"/>
      <c r="Z39" s="2763" t="s">
        <v>543</v>
      </c>
      <c r="AA39" s="2763" t="s">
        <v>542</v>
      </c>
      <c r="AB39" s="2763"/>
      <c r="AC39" s="2693"/>
      <c r="AD39" s="2713"/>
      <c r="AE39" s="2714"/>
      <c r="AF39" s="2676"/>
      <c r="AG39" s="2764"/>
      <c r="AH39" s="2763" t="s">
        <v>541</v>
      </c>
      <c r="AI39" s="2763" t="s">
        <v>542</v>
      </c>
      <c r="AJ39" s="2763"/>
      <c r="AK39" s="2763" t="s">
        <v>543</v>
      </c>
      <c r="AL39" s="2763" t="s">
        <v>542</v>
      </c>
      <c r="AM39" s="2763"/>
      <c r="AN39" s="2693"/>
      <c r="AO39" s="2713"/>
      <c r="AP39" s="2714"/>
      <c r="AQ39" s="2676"/>
      <c r="AR39" s="2679"/>
      <c r="AS39" s="2525"/>
      <c r="AT39" s="2034"/>
      <c r="AU39" s="2034"/>
      <c r="AV39" s="2034"/>
      <c r="AW39" s="2034"/>
      <c r="AX39" s="2034"/>
      <c r="AY39" s="2029">
        <v>19</v>
      </c>
    </row>
    <row customHeight="1" ht="61.949999999999996">
      <c r="A40" s="1768"/>
      <c r="B40" s="1768" t="s">
        <v>136</v>
      </c>
      <c r="C40" s="1768" t="s">
        <v>137</v>
      </c>
      <c r="D40" s="1768" t="s">
        <v>138</v>
      </c>
      <c r="E40" s="1762" t="s">
        <v>440</v>
      </c>
      <c r="F40" s="1762" t="s">
        <v>441</v>
      </c>
      <c r="G40" s="1762" t="s">
        <v>442</v>
      </c>
      <c r="H40" s="1762"/>
      <c r="I40" s="1762" t="s">
        <v>496</v>
      </c>
      <c r="J40" s="1762" t="s">
        <v>445</v>
      </c>
      <c r="K40" s="1762" t="s">
        <v>497</v>
      </c>
      <c r="L40" s="1762" t="s">
        <v>420</v>
      </c>
      <c r="Q40" s="774"/>
      <c r="R40" s="774"/>
      <c r="S40" s="2671"/>
      <c r="T40" s="2607"/>
      <c r="U40" s="700"/>
      <c r="V40" s="2764"/>
      <c r="W40" s="2763"/>
      <c r="X40" s="2381" t="s">
        <v>544</v>
      </c>
      <c r="Y40" s="2381" t="s">
        <v>545</v>
      </c>
      <c r="Z40" s="2763"/>
      <c r="AA40" s="2381" t="s">
        <v>546</v>
      </c>
      <c r="AB40" s="2381" t="s">
        <v>547</v>
      </c>
      <c r="AC40" s="1887" t="s">
        <v>449</v>
      </c>
      <c r="AD40" s="2668" t="s">
        <v>450</v>
      </c>
      <c r="AE40" s="2669"/>
      <c r="AF40" s="2677"/>
      <c r="AG40" s="2764"/>
      <c r="AH40" s="2763"/>
      <c r="AI40" s="2381" t="s">
        <v>544</v>
      </c>
      <c r="AJ40" s="2381" t="s">
        <v>545</v>
      </c>
      <c r="AK40" s="2763"/>
      <c r="AL40" s="2381" t="s">
        <v>546</v>
      </c>
      <c r="AM40" s="2381" t="s">
        <v>547</v>
      </c>
      <c r="AN40" s="1887" t="s">
        <v>449</v>
      </c>
      <c r="AO40" s="2668" t="s">
        <v>450</v>
      </c>
      <c r="AP40" s="2669"/>
      <c r="AQ40" s="2677"/>
      <c r="AR40" s="2680"/>
      <c r="AS40" s="2525"/>
      <c r="AY40" s="1553">
        <v>59</v>
      </c>
    </row>
    <row s="25006"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110</v>
      </c>
      <c r="T41" s="1653" t="s">
        <v>111</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256</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256</v>
      </c>
      <c r="B43" s="1761" t="s">
        <v>257</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256</v>
      </c>
      <c r="B44" s="1761" t="s">
        <v>257</v>
      </c>
      <c r="C44" s="1761" t="s">
        <v>258</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536</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537</v>
      </c>
      <c r="AU44" s="898"/>
      <c r="AV44" s="898" t="str">
        <f>IF(T44="","",T44)</f>
        <v>Наименование централизованной системы горячего водоснабжения</v>
      </c>
      <c r="AW44" s="898"/>
      <c r="AX44" s="898"/>
      <c r="AY44" s="1553">
        <v>23</v>
      </c>
    </row>
    <row customHeight="1" ht="24">
      <c r="A45" s="1761" t="s">
        <v>256</v>
      </c>
      <c r="B45" s="1761" t="s">
        <v>257</v>
      </c>
      <c r="C45" s="1761" t="s">
        <v>258</v>
      </c>
      <c r="D45" s="1761" t="s">
        <v>548</v>
      </c>
      <c r="E45" s="2657"/>
      <c r="F45" s="2657"/>
      <c r="G45" s="2657"/>
      <c r="H45" s="2657"/>
      <c r="I45" s="2654" t="str">
        <f>S44&amp;".1"</f>
        <v>...1</v>
      </c>
      <c r="J45" s="1761"/>
      <c r="K45" s="1761"/>
      <c r="L45" s="1762"/>
      <c r="P45" s="2655">
        <v>1</v>
      </c>
      <c r="Q45" s="1879"/>
      <c r="R45" s="754"/>
      <c r="S45" s="1891" t="str">
        <f>$I45</f>
        <v>...1</v>
      </c>
      <c r="T45" s="683" t="s">
        <v>489</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490</v>
      </c>
      <c r="AU45" s="898"/>
      <c r="AV45" s="898" t="str">
        <f>IF(T45="","",T45)</f>
        <v>Наименование признака дифференциации</v>
      </c>
      <c r="AW45" s="898"/>
      <c r="AX45" s="898"/>
      <c r="AY45" s="1553">
        <v>23</v>
      </c>
    </row>
    <row customHeight="1" ht="24">
      <c r="A46" s="1761" t="s">
        <v>256</v>
      </c>
      <c r="B46" s="1761" t="s">
        <v>257</v>
      </c>
      <c r="C46" s="1761" t="s">
        <v>258</v>
      </c>
      <c r="D46" s="1761" t="s">
        <v>548</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491</v>
      </c>
      <c r="AU46" s="898"/>
      <c r="AV46" s="898" t="str">
        <f>IF(T46="","",T46)</f>
        <v>Группа потребителей</v>
      </c>
      <c r="AW46" s="898"/>
      <c r="AX46" s="898"/>
      <c r="AY46" s="1553">
        <v>23</v>
      </c>
    </row>
    <row customHeight="1" ht="24">
      <c r="A47" s="1761" t="s">
        <v>256</v>
      </c>
      <c r="B47" s="1761" t="s">
        <v>257</v>
      </c>
      <c r="C47" s="1761" t="s">
        <v>258</v>
      </c>
      <c r="D47" s="1761" t="s">
        <v>548</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67</v>
      </c>
      <c r="AE47" s="2665"/>
      <c r="AF47" s="2666" t="s">
        <v>67</v>
      </c>
      <c r="AG47" s="1149"/>
      <c r="AH47" s="1149"/>
      <c r="AI47" s="1149"/>
      <c r="AJ47" s="1149"/>
      <c r="AK47" s="1149"/>
      <c r="AL47" s="1149"/>
      <c r="AM47" s="1149"/>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256</v>
      </c>
      <c r="B48" s="1761" t="s">
        <v>257</v>
      </c>
      <c r="C48" s="1761" t="s">
        <v>258</v>
      </c>
      <c r="D48" s="1761" t="s">
        <v>548</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256</v>
      </c>
      <c r="B49" s="1761" t="s">
        <v>257</v>
      </c>
      <c r="C49" s="1761" t="s">
        <v>258</v>
      </c>
      <c r="D49" s="1761" t="s">
        <v>548</v>
      </c>
      <c r="E49" s="2657"/>
      <c r="F49" s="2657"/>
      <c r="G49" s="2657"/>
      <c r="H49" s="2657"/>
      <c r="I49" s="2684"/>
      <c r="J49" s="2654"/>
      <c r="K49" s="1761"/>
      <c r="L49" s="1762"/>
      <c r="P49" s="2655"/>
      <c r="Q49" s="2655"/>
      <c r="R49" s="754"/>
      <c r="S49" s="1676"/>
      <c r="T49" s="685" t="s">
        <v>492</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493</v>
      </c>
      <c r="AU49" s="898"/>
      <c r="AV49" s="898" t="str">
        <f>IF(T49="","",T49)</f>
        <v>Добавить значение признака дифференциации</v>
      </c>
      <c r="AW49" s="898"/>
      <c r="AX49" s="898"/>
      <c r="AY49" s="1553">
        <v>20</v>
      </c>
    </row>
    <row customHeight="1" ht="22.049999999999997">
      <c r="A50" s="1761" t="s">
        <v>256</v>
      </c>
      <c r="B50" s="1761" t="s">
        <v>257</v>
      </c>
      <c r="C50" s="1761" t="s">
        <v>258</v>
      </c>
      <c r="D50" s="1761" t="s">
        <v>548</v>
      </c>
      <c r="E50" s="2657"/>
      <c r="F50" s="2657"/>
      <c r="G50" s="2657"/>
      <c r="H50" s="2657"/>
      <c r="I50" s="2654"/>
      <c r="J50" s="1761"/>
      <c r="K50" s="1761"/>
      <c r="L50" s="1762"/>
      <c r="P50" s="2655"/>
      <c r="Q50" s="1879"/>
      <c r="R50" s="754"/>
      <c r="S50" s="1676"/>
      <c r="T50" s="763" t="s">
        <v>417</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256</v>
      </c>
      <c r="B51" s="1761" t="s">
        <v>257</v>
      </c>
      <c r="C51" s="1761" t="s">
        <v>258</v>
      </c>
      <c r="D51" s="1761" t="s">
        <v>548</v>
      </c>
      <c r="E51" s="2657"/>
      <c r="F51" s="2657"/>
      <c r="G51" s="2657"/>
      <c r="H51" s="2656"/>
      <c r="I51" s="1761"/>
      <c r="J51" s="1761"/>
      <c r="K51" s="1761"/>
      <c r="L51" s="1762"/>
      <c r="M51" s="1763"/>
      <c r="N51" s="1763"/>
      <c r="O51" s="935"/>
      <c r="P51" s="758"/>
      <c r="Q51" s="773"/>
      <c r="R51" s="753"/>
      <c r="S51" s="1676"/>
      <c r="T51" s="770" t="s">
        <v>494</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4435" customFormat="1" customHeight="1" ht="0">
      <c r="A52" s="1741" t="s">
        <v>256</v>
      </c>
      <c r="B52" s="1741" t="s">
        <v>257</v>
      </c>
      <c r="C52" s="1712"/>
      <c r="D52" s="1712"/>
      <c r="E52" s="2657"/>
      <c r="F52" s="2656"/>
      <c r="G52" s="1712"/>
      <c r="H52" s="1712"/>
      <c r="I52" s="1712"/>
      <c r="J52" s="1712"/>
      <c r="K52" s="1712"/>
      <c r="L52" s="1892"/>
      <c r="M52" s="1719"/>
      <c r="N52" s="1719"/>
      <c r="P52" s="1714"/>
      <c r="Q52" s="1715"/>
      <c r="R52" s="1714"/>
      <c r="S52" s="1720"/>
      <c r="T52" s="1723" t="s">
        <v>164</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4435" customFormat="1" customHeight="1" ht="0">
      <c r="A53" s="1741" t="s">
        <v>256</v>
      </c>
      <c r="B53" s="1741"/>
      <c r="C53" s="1741"/>
      <c r="D53" s="1741"/>
      <c r="E53" s="2656"/>
      <c r="F53" s="1741"/>
      <c r="G53" s="1741"/>
      <c r="H53" s="1741"/>
      <c r="I53" s="1741"/>
      <c r="J53" s="1741"/>
      <c r="K53" s="1741"/>
      <c r="L53" s="1744"/>
      <c r="M53" s="1719"/>
      <c r="N53" s="1719"/>
      <c r="O53" s="916"/>
      <c r="P53" s="778"/>
      <c r="Q53" s="1742"/>
      <c r="R53" s="778"/>
      <c r="S53" s="1720"/>
      <c r="T53" s="1723" t="s">
        <v>165</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4435"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166</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1E324-C078-F16A-5214-EF268897DE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4.140625" hidden="1" customWidth="1"/>
    <col min="10" max="10" style="24434" width="9.8515625" hidden="1" customWidth="1"/>
    <col min="11" max="11" style="24434" width="14.7109375" hidden="1" customWidth="1"/>
    <col min="12" max="12" style="26191" width="19.140625" hidden="1" customWidth="1"/>
    <col min="13" max="14" style="26192" width="12.28125" hidden="1" customWidth="1"/>
    <col min="15" max="15" style="26192" width="23.421875" hidden="1" customWidth="1"/>
    <col min="16" max="16" style="26193" width="3.00390625" customWidth="1"/>
    <col min="17" max="18" style="26194" width="3.00390625" customWidth="1"/>
    <col min="19" max="19" style="26195" width="12.00390625" customWidth="1"/>
    <col min="20" max="20" style="24354" width="35.00390625" customWidth="1"/>
    <col min="21" max="21" style="24354" width="0.140625" customWidth="1"/>
    <col min="22" max="28" style="24354" width="19.7109375" hidden="1" customWidth="1"/>
    <col min="29" max="29" style="24354" width="11.7109375" hidden="1" customWidth="1"/>
    <col min="30" max="30" style="24354" width="3.7109375" hidden="1" customWidth="1"/>
    <col min="31" max="31" style="24354" width="11.7109375" hidden="1" customWidth="1"/>
    <col min="32" max="32" style="24354" width="8.57421875" hidden="1" customWidth="1"/>
    <col min="33" max="33" style="24354" width="19.7109375" customWidth="1"/>
    <col min="34" max="39" style="24354" width="19.00390625" customWidth="1"/>
    <col min="40" max="40" style="24354" width="11.00390625" customWidth="1"/>
    <col min="41" max="41" style="24354" width="3.7109375" customWidth="1"/>
    <col min="42" max="42" style="24354" width="11.00390625" customWidth="1"/>
    <col min="43" max="43" style="24354" width="8.57421875" hidden="1" customWidth="1"/>
    <col min="44" max="44" style="24354" width="4.00390625" customWidth="1"/>
    <col min="45" max="45" style="24354" width="115.00390625" customWidth="1"/>
    <col min="46" max="50" style="24435" width="10.00390625" customWidth="1"/>
    <col min="51" max="51" style="24354"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536</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537</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489</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490</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491</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67</v>
      </c>
      <c r="AE7" s="2663"/>
      <c r="AF7" s="2505" t="s">
        <v>67</v>
      </c>
      <c r="AG7" s="1149"/>
      <c r="AH7" s="1149"/>
      <c r="AI7" s="1149"/>
      <c r="AJ7" s="1149"/>
      <c r="AK7" s="1149"/>
      <c r="AL7" s="1149"/>
      <c r="AM7" s="1655"/>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492</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493</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494</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44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164</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44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165</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67</v>
      </c>
      <c r="AP15" s="2665"/>
      <c r="AQ15" s="2666" t="s">
        <v>67</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4434" customFormat="1" customHeight="1" ht="22.5" hidden="1">
      <c r="L18" s="1876"/>
      <c r="M18" s="1760"/>
      <c r="N18" s="1760"/>
      <c r="O18" s="1765" t="s">
        <v>419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4434"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4434" customFormat="1" customHeight="1" ht="12" hidden="1">
      <c r="L20" s="1876"/>
      <c r="M20" s="1760"/>
      <c r="N20" s="1760"/>
      <c r="O20" s="1762" t="s">
        <v>420</v>
      </c>
      <c r="P20" s="1760"/>
      <c r="Q20" s="1840"/>
      <c r="R20" s="1840"/>
      <c r="S20" s="1127"/>
      <c r="T20" s="1558" t="s">
        <v>421</v>
      </c>
      <c r="W20" s="1764"/>
      <c r="X20" s="1764"/>
      <c r="Y20" s="1764"/>
      <c r="Z20" s="1764"/>
      <c r="AA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ООО "Новая Энергетика"</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45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45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45649.66804398148</v>
      </c>
      <c r="W28" s="2662"/>
      <c r="X28" s="2662"/>
      <c r="Y28" s="2662"/>
      <c r="Z28" s="2662"/>
      <c r="AA28" s="2662"/>
      <c r="AB28" s="2662"/>
      <c r="AC28" s="2662"/>
      <c r="AD28" s="2662"/>
      <c r="AE28" s="2662"/>
      <c r="AF28" s="724"/>
      <c r="AG28" s="2662" t="str">
        <f>IF(TITLE_DATE_PR_CHANGE="",IF(TITLE_DATE_PR="","",TITLE_DATE_PR),TITLE_DATE_PR_CHANGE)</f>
        <v>45649.66804398148</v>
      </c>
      <c r="AH28" s="2662"/>
      <c r="AI28" s="2662"/>
      <c r="AJ28" s="2662"/>
      <c r="AK28" s="2662"/>
      <c r="AL28" s="2662"/>
      <c r="AM28" s="2662"/>
      <c r="AN28" s="2662"/>
      <c r="AO28" s="2662"/>
      <c r="AP28" s="2662"/>
      <c r="AQ28" s="724"/>
      <c r="AR28" s="724"/>
      <c r="AS28" s="678"/>
      <c r="AT28" s="766"/>
      <c r="AU28" s="766"/>
      <c r="AV28" s="766"/>
      <c r="AW28" s="766"/>
      <c r="AX28" s="766"/>
      <c r="AY28" s="816">
        <v>0</v>
      </c>
    </row>
    <row s="245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27/6419</v>
      </c>
      <c r="W29" s="2649"/>
      <c r="X29" s="2649"/>
      <c r="Y29" s="2649"/>
      <c r="Z29" s="2649"/>
      <c r="AA29" s="2649"/>
      <c r="AB29" s="2649"/>
      <c r="AC29" s="2649"/>
      <c r="AD29" s="2649"/>
      <c r="AE29" s="2649"/>
      <c r="AF29" s="724"/>
      <c r="AG29" s="2649" t="str">
        <f>IF(TITLE_NUMBER_PR_CHANGE="",IF(TITLE_NUMBER_PR="","",TITLE_NUMBER_PR),TITLE_NUMBER_PR_CHANGE)</f>
        <v>27/6419</v>
      </c>
      <c r="AH29" s="2649"/>
      <c r="AI29" s="2649"/>
      <c r="AJ29" s="2649"/>
      <c r="AK29" s="2649"/>
      <c r="AL29" s="2649"/>
      <c r="AM29" s="2649"/>
      <c r="AN29" s="2649"/>
      <c r="AO29" s="2649"/>
      <c r="AP29" s="2649"/>
      <c r="AQ29" s="724"/>
      <c r="AR29" s="724"/>
      <c r="AS29" s="678"/>
      <c r="AT29" s="766"/>
      <c r="AU29" s="766"/>
      <c r="AV29" s="766"/>
      <c r="AW29" s="766"/>
      <c r="AX29" s="766"/>
      <c r="AY29" s="816">
        <v>0</v>
      </c>
    </row>
    <row s="245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45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45649.66804398148</v>
      </c>
      <c r="W32" s="2662"/>
      <c r="X32" s="2662"/>
      <c r="Y32" s="2662"/>
      <c r="Z32" s="2662"/>
      <c r="AA32" s="2662"/>
      <c r="AB32" s="2662"/>
      <c r="AC32" s="2662"/>
      <c r="AD32" s="2662"/>
      <c r="AE32" s="2662"/>
      <c r="AF32" s="724"/>
      <c r="AG32" s="2662" t="str">
        <f>IF(TITLE_DATE_PR_CHANGE="",IF(TITLE_DATE_PR="","",TITLE_DATE_PR),TITLE_DATE_PR_CHANGE)</f>
        <v>45649.66804398148</v>
      </c>
      <c r="AH32" s="2662"/>
      <c r="AI32" s="2662"/>
      <c r="AJ32" s="2662"/>
      <c r="AK32" s="2662"/>
      <c r="AL32" s="2662"/>
      <c r="AM32" s="2662"/>
      <c r="AN32" s="2662"/>
      <c r="AO32" s="2662"/>
      <c r="AP32" s="2662"/>
      <c r="AQ32" s="724"/>
      <c r="AR32" s="724"/>
      <c r="AS32" s="678"/>
      <c r="AT32" s="766"/>
      <c r="AU32" s="766"/>
      <c r="AV32" s="766"/>
      <c r="AW32" s="766"/>
      <c r="AX32" s="766"/>
      <c r="AY32" s="816">
        <v>0</v>
      </c>
    </row>
    <row s="245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27/6419</v>
      </c>
      <c r="W33" s="2649"/>
      <c r="X33" s="2649"/>
      <c r="Y33" s="2649"/>
      <c r="Z33" s="2649"/>
      <c r="AA33" s="2649"/>
      <c r="AB33" s="2649"/>
      <c r="AC33" s="2649"/>
      <c r="AD33" s="2649"/>
      <c r="AE33" s="2649"/>
      <c r="AF33" s="724"/>
      <c r="AG33" s="2649" t="str">
        <f>IF(TITLE_NUMBER_PR_CHANGE="",IF(TITLE_NUMBER_PR="","",TITLE_NUMBER_PR),TITLE_NUMBER_PR_CHANGE)</f>
        <v>27/6419</v>
      </c>
      <c r="AH33" s="2649"/>
      <c r="AI33" s="2649"/>
      <c r="AJ33" s="2649"/>
      <c r="AK33" s="2649"/>
      <c r="AL33" s="2649"/>
      <c r="AM33" s="2649"/>
      <c r="AN33" s="2649"/>
      <c r="AO33" s="2649"/>
      <c r="AP33" s="2649"/>
      <c r="AQ33" s="724"/>
      <c r="AR33" s="724"/>
      <c r="AS33" s="678"/>
      <c r="AT33" s="766"/>
      <c r="AU33" s="766"/>
      <c r="AV33" s="766"/>
      <c r="AW33" s="766"/>
      <c r="AX33" s="766"/>
      <c r="AY33" s="816">
        <v>0</v>
      </c>
    </row>
    <row s="245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431</v>
      </c>
      <c r="U37" s="699"/>
      <c r="V37" s="2672" t="s">
        <v>432</v>
      </c>
      <c r="W37" s="2673"/>
      <c r="X37" s="2673"/>
      <c r="Y37" s="2673"/>
      <c r="Z37" s="2673"/>
      <c r="AA37" s="2673"/>
      <c r="AB37" s="2673"/>
      <c r="AC37" s="2673"/>
      <c r="AD37" s="2673"/>
      <c r="AE37" s="2674"/>
      <c r="AF37" s="2675" t="s">
        <v>433</v>
      </c>
      <c r="AG37" s="2672" t="s">
        <v>432</v>
      </c>
      <c r="AH37" s="2673"/>
      <c r="AI37" s="2673"/>
      <c r="AJ37" s="2673"/>
      <c r="AK37" s="2673"/>
      <c r="AL37" s="2673"/>
      <c r="AM37" s="2673"/>
      <c r="AN37" s="2673"/>
      <c r="AO37" s="2673"/>
      <c r="AP37" s="2674"/>
      <c r="AQ37" s="2675" t="s">
        <v>434</v>
      </c>
      <c r="AR37" s="2678" t="s">
        <v>435</v>
      </c>
      <c r="AS37" s="2525"/>
      <c r="AY37" s="1553">
        <v>14</v>
      </c>
    </row>
    <row s="24354"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538</v>
      </c>
      <c r="W38" s="2763" t="s">
        <v>539</v>
      </c>
      <c r="X38" s="2763"/>
      <c r="Y38" s="2763"/>
      <c r="Z38" s="2763" t="s">
        <v>540</v>
      </c>
      <c r="AA38" s="2763"/>
      <c r="AB38" s="2763"/>
      <c r="AC38" s="2692" t="s">
        <v>439</v>
      </c>
      <c r="AD38" s="2711"/>
      <c r="AE38" s="2712"/>
      <c r="AF38" s="2676"/>
      <c r="AG38" s="2764" t="s">
        <v>538</v>
      </c>
      <c r="AH38" s="2763" t="s">
        <v>539</v>
      </c>
      <c r="AI38" s="2763"/>
      <c r="AJ38" s="2763"/>
      <c r="AK38" s="2763" t="s">
        <v>540</v>
      </c>
      <c r="AL38" s="2763"/>
      <c r="AM38" s="2763"/>
      <c r="AN38" s="2692" t="s">
        <v>439</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541</v>
      </c>
      <c r="X39" s="2763" t="s">
        <v>542</v>
      </c>
      <c r="Y39" s="2763"/>
      <c r="Z39" s="2763" t="s">
        <v>543</v>
      </c>
      <c r="AA39" s="2763" t="s">
        <v>542</v>
      </c>
      <c r="AB39" s="2763"/>
      <c r="AC39" s="2693"/>
      <c r="AD39" s="2713"/>
      <c r="AE39" s="2714"/>
      <c r="AF39" s="2676"/>
      <c r="AG39" s="2764"/>
      <c r="AH39" s="2763" t="s">
        <v>541</v>
      </c>
      <c r="AI39" s="2763" t="s">
        <v>542</v>
      </c>
      <c r="AJ39" s="2763"/>
      <c r="AK39" s="2763" t="s">
        <v>543</v>
      </c>
      <c r="AL39" s="2763" t="s">
        <v>542</v>
      </c>
      <c r="AM39" s="2763"/>
      <c r="AN39" s="2693"/>
      <c r="AO39" s="2713"/>
      <c r="AP39" s="2714"/>
      <c r="AQ39" s="2676"/>
      <c r="AR39" s="2679"/>
      <c r="AS39" s="2525"/>
      <c r="AY39" s="1553">
        <v>19</v>
      </c>
    </row>
    <row customHeight="1" ht="61.949999999999996">
      <c r="A40" s="1768"/>
      <c r="B40" s="1768" t="s">
        <v>136</v>
      </c>
      <c r="C40" s="1768" t="s">
        <v>137</v>
      </c>
      <c r="D40" s="1768" t="s">
        <v>138</v>
      </c>
      <c r="E40" s="1762" t="s">
        <v>440</v>
      </c>
      <c r="F40" s="1762" t="s">
        <v>441</v>
      </c>
      <c r="G40" s="1762" t="s">
        <v>442</v>
      </c>
      <c r="H40" s="1762"/>
      <c r="I40" s="1762" t="s">
        <v>496</v>
      </c>
      <c r="J40" s="1762" t="s">
        <v>445</v>
      </c>
      <c r="K40" s="1762" t="s">
        <v>497</v>
      </c>
      <c r="L40" s="1762" t="s">
        <v>420</v>
      </c>
      <c r="Q40" s="774"/>
      <c r="R40" s="774"/>
      <c r="S40" s="2671"/>
      <c r="T40" s="2607"/>
      <c r="U40" s="700"/>
      <c r="V40" s="2764"/>
      <c r="W40" s="2763"/>
      <c r="X40" s="2381" t="s">
        <v>544</v>
      </c>
      <c r="Y40" s="2381" t="s">
        <v>545</v>
      </c>
      <c r="Z40" s="2763"/>
      <c r="AA40" s="2381" t="s">
        <v>546</v>
      </c>
      <c r="AB40" s="2381" t="s">
        <v>547</v>
      </c>
      <c r="AC40" s="1887" t="s">
        <v>449</v>
      </c>
      <c r="AD40" s="2668" t="s">
        <v>450</v>
      </c>
      <c r="AE40" s="2669"/>
      <c r="AF40" s="2677"/>
      <c r="AG40" s="2764"/>
      <c r="AH40" s="2763"/>
      <c r="AI40" s="2381" t="s">
        <v>544</v>
      </c>
      <c r="AJ40" s="2381" t="s">
        <v>545</v>
      </c>
      <c r="AK40" s="2763"/>
      <c r="AL40" s="2381" t="s">
        <v>546</v>
      </c>
      <c r="AM40" s="2381" t="s">
        <v>547</v>
      </c>
      <c r="AN40" s="1887" t="s">
        <v>449</v>
      </c>
      <c r="AO40" s="2668" t="s">
        <v>450</v>
      </c>
      <c r="AP40" s="2669"/>
      <c r="AQ40" s="2677"/>
      <c r="AR40" s="2680"/>
      <c r="AS40" s="2525"/>
      <c r="AY40" s="1553">
        <v>59</v>
      </c>
    </row>
    <row s="25006"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110</v>
      </c>
      <c r="T41" s="1653" t="s">
        <v>111</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261</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261</v>
      </c>
      <c r="B43" s="1761" t="s">
        <v>262</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261</v>
      </c>
      <c r="B44" s="1761" t="s">
        <v>262</v>
      </c>
      <c r="C44" s="1761" t="s">
        <v>263</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536</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537</v>
      </c>
      <c r="AU44" s="898"/>
      <c r="AV44" s="898" t="str">
        <f>IF(T44="","",T44)</f>
        <v>Наименование централизованной системы горячего водоснабжения</v>
      </c>
      <c r="AW44" s="898"/>
      <c r="AX44" s="898"/>
      <c r="AY44" s="1553">
        <v>23</v>
      </c>
    </row>
    <row customHeight="1" ht="24">
      <c r="A45" s="1761" t="s">
        <v>261</v>
      </c>
      <c r="B45" s="1761" t="s">
        <v>262</v>
      </c>
      <c r="C45" s="1761" t="s">
        <v>263</v>
      </c>
      <c r="D45" s="1761" t="s">
        <v>549</v>
      </c>
      <c r="E45" s="2657"/>
      <c r="F45" s="2657"/>
      <c r="G45" s="2657"/>
      <c r="H45" s="2657"/>
      <c r="I45" s="2654" t="str">
        <f>S44&amp;".1"</f>
        <v>...1</v>
      </c>
      <c r="J45" s="1761"/>
      <c r="K45" s="1761"/>
      <c r="L45" s="1762"/>
      <c r="P45" s="2655">
        <v>1</v>
      </c>
      <c r="Q45" s="1879"/>
      <c r="R45" s="754"/>
      <c r="S45" s="1891" t="str">
        <f>$I45</f>
        <v>...1</v>
      </c>
      <c r="T45" s="683" t="s">
        <v>489</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490</v>
      </c>
      <c r="AU45" s="898"/>
      <c r="AV45" s="898" t="str">
        <f>IF(T45="","",T45)</f>
        <v>Наименование признака дифференциации</v>
      </c>
      <c r="AW45" s="898"/>
      <c r="AX45" s="898"/>
      <c r="AY45" s="1553">
        <v>23</v>
      </c>
    </row>
    <row customHeight="1" ht="24">
      <c r="A46" s="1761" t="s">
        <v>261</v>
      </c>
      <c r="B46" s="1761" t="s">
        <v>262</v>
      </c>
      <c r="C46" s="1761" t="s">
        <v>263</v>
      </c>
      <c r="D46" s="1761" t="s">
        <v>549</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491</v>
      </c>
      <c r="AU46" s="898"/>
      <c r="AV46" s="898" t="str">
        <f>IF(T46="","",T46)</f>
        <v>Группа потребителей</v>
      </c>
      <c r="AW46" s="898"/>
      <c r="AX46" s="898"/>
      <c r="AY46" s="1553">
        <v>23</v>
      </c>
    </row>
    <row customHeight="1" ht="24">
      <c r="A47" s="1761" t="s">
        <v>261</v>
      </c>
      <c r="B47" s="1761" t="s">
        <v>262</v>
      </c>
      <c r="C47" s="1761" t="s">
        <v>263</v>
      </c>
      <c r="D47" s="1761" t="s">
        <v>549</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67</v>
      </c>
      <c r="AE47" s="2665"/>
      <c r="AF47" s="2666" t="s">
        <v>67</v>
      </c>
      <c r="AG47" s="1149"/>
      <c r="AH47" s="1149"/>
      <c r="AI47" s="1149"/>
      <c r="AJ47" s="1149"/>
      <c r="AK47" s="1149"/>
      <c r="AL47" s="1149"/>
      <c r="AM47" s="1655"/>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261</v>
      </c>
      <c r="B48" s="1761" t="s">
        <v>262</v>
      </c>
      <c r="C48" s="1761" t="s">
        <v>263</v>
      </c>
      <c r="D48" s="1761" t="s">
        <v>549</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261</v>
      </c>
      <c r="B49" s="1761" t="s">
        <v>262</v>
      </c>
      <c r="C49" s="1761" t="s">
        <v>263</v>
      </c>
      <c r="D49" s="1761" t="s">
        <v>549</v>
      </c>
      <c r="E49" s="2657"/>
      <c r="F49" s="2657"/>
      <c r="G49" s="2657"/>
      <c r="H49" s="2657"/>
      <c r="I49" s="2684"/>
      <c r="J49" s="2654"/>
      <c r="K49" s="1761"/>
      <c r="L49" s="1762"/>
      <c r="P49" s="2655"/>
      <c r="Q49" s="2655"/>
      <c r="R49" s="754"/>
      <c r="S49" s="1676"/>
      <c r="T49" s="685" t="s">
        <v>492</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493</v>
      </c>
      <c r="AU49" s="898"/>
      <c r="AV49" s="898" t="str">
        <f>IF(T49="","",T49)</f>
        <v>Добавить значение признака дифференциации</v>
      </c>
      <c r="AW49" s="898"/>
      <c r="AX49" s="898"/>
      <c r="AY49" s="1553">
        <v>20</v>
      </c>
    </row>
    <row customHeight="1" ht="22.049999999999997">
      <c r="A50" s="1761" t="s">
        <v>261</v>
      </c>
      <c r="B50" s="1761" t="s">
        <v>262</v>
      </c>
      <c r="C50" s="1761" t="s">
        <v>263</v>
      </c>
      <c r="D50" s="1761" t="s">
        <v>549</v>
      </c>
      <c r="E50" s="2657"/>
      <c r="F50" s="2657"/>
      <c r="G50" s="2657"/>
      <c r="H50" s="2657"/>
      <c r="I50" s="2654"/>
      <c r="J50" s="1761"/>
      <c r="K50" s="1761"/>
      <c r="L50" s="1762"/>
      <c r="P50" s="2655"/>
      <c r="Q50" s="1879"/>
      <c r="R50" s="754"/>
      <c r="S50" s="1676"/>
      <c r="T50" s="763" t="s">
        <v>417</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261</v>
      </c>
      <c r="B51" s="1761" t="s">
        <v>262</v>
      </c>
      <c r="C51" s="1761" t="s">
        <v>263</v>
      </c>
      <c r="D51" s="1761" t="s">
        <v>549</v>
      </c>
      <c r="E51" s="2657"/>
      <c r="F51" s="2657"/>
      <c r="G51" s="2657"/>
      <c r="H51" s="2656"/>
      <c r="I51" s="1761"/>
      <c r="J51" s="1761"/>
      <c r="K51" s="1761"/>
      <c r="L51" s="1762"/>
      <c r="M51" s="1763"/>
      <c r="N51" s="1763"/>
      <c r="O51" s="935"/>
      <c r="P51" s="758"/>
      <c r="Q51" s="773"/>
      <c r="R51" s="753"/>
      <c r="S51" s="1676"/>
      <c r="T51" s="770" t="s">
        <v>494</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4435" customFormat="1" customHeight="1" ht="0">
      <c r="A52" s="1741" t="s">
        <v>261</v>
      </c>
      <c r="B52" s="1741" t="s">
        <v>262</v>
      </c>
      <c r="C52" s="1712"/>
      <c r="D52" s="1712"/>
      <c r="E52" s="2657"/>
      <c r="F52" s="2656"/>
      <c r="G52" s="1712"/>
      <c r="H52" s="1712"/>
      <c r="I52" s="1712"/>
      <c r="J52" s="1712"/>
      <c r="K52" s="1712"/>
      <c r="L52" s="1892"/>
      <c r="M52" s="1719"/>
      <c r="N52" s="1719"/>
      <c r="P52" s="1714"/>
      <c r="Q52" s="1715"/>
      <c r="R52" s="1714"/>
      <c r="S52" s="1720"/>
      <c r="T52" s="1723" t="s">
        <v>164</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4435" customFormat="1" customHeight="1" ht="0">
      <c r="A53" s="1741" t="s">
        <v>261</v>
      </c>
      <c r="B53" s="1741"/>
      <c r="C53" s="1741"/>
      <c r="D53" s="1741"/>
      <c r="E53" s="2656"/>
      <c r="F53" s="1741"/>
      <c r="G53" s="1741"/>
      <c r="H53" s="1741"/>
      <c r="I53" s="1741"/>
      <c r="J53" s="1741"/>
      <c r="K53" s="1741"/>
      <c r="L53" s="1744"/>
      <c r="M53" s="1719"/>
      <c r="N53" s="1719"/>
      <c r="O53" s="916"/>
      <c r="P53" s="778"/>
      <c r="Q53" s="1742"/>
      <c r="R53" s="778"/>
      <c r="S53" s="1720"/>
      <c r="T53" s="1723" t="s">
        <v>165</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4435"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166</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70F4B-0183-CA6A-69BC-8485BF0C9D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434" width="11.57421875" hidden="1" customWidth="1"/>
    <col min="2" max="2" style="24434" width="11.00390625" hidden="1" customWidth="1"/>
    <col min="3" max="3" style="24434" width="10.57421875" hidden="1"/>
    <col min="4" max="4" style="24434" width="12.8515625" hidden="1" customWidth="1"/>
    <col min="5" max="5" style="24434" width="10.00390625" hidden="1" customWidth="1"/>
    <col min="6" max="6" style="24434" width="8.7109375" hidden="1" customWidth="1"/>
    <col min="7" max="7" style="24434" width="7.57421875" hidden="1" customWidth="1"/>
    <col min="8" max="8" style="24434" width="11.421875" hidden="1" customWidth="1"/>
    <col min="9" max="9" style="24434" width="12.00390625" hidden="1" customWidth="1"/>
    <col min="10" max="10" style="24434" width="9.8515625" hidden="1" customWidth="1"/>
    <col min="11" max="11" style="24434" width="11.421875" hidden="1" customWidth="1"/>
    <col min="12" max="12" style="26191" width="19.140625" hidden="1" customWidth="1"/>
    <col min="13" max="14" style="26192" width="12.28125" hidden="1" customWidth="1"/>
    <col min="15" max="15" style="26192" width="23.421875" hidden="1" customWidth="1"/>
    <col min="16" max="16" style="26192" width="3.7109375" hidden="1" customWidth="1"/>
    <col min="17" max="17" style="26380" width="3.7109375" hidden="1" customWidth="1"/>
    <col min="18" max="18" style="26194" width="3.00390625" customWidth="1"/>
    <col min="19" max="19" style="26195" width="12.00390625" customWidth="1"/>
    <col min="20" max="20" style="24354" width="31.00390625" customWidth="1"/>
    <col min="21" max="21" style="24354" width="0.140625" customWidth="1"/>
    <col min="22" max="25" style="24354" width="21.7109375" hidden="1" customWidth="1"/>
    <col min="26" max="26" style="24354" width="11.7109375" hidden="1" customWidth="1"/>
    <col min="27" max="27" style="24354" width="3.7109375" hidden="1" customWidth="1"/>
    <col min="28" max="28" style="24354" width="11.7109375" hidden="1" customWidth="1"/>
    <col min="29" max="29" style="24354" width="8.57421875" hidden="1" customWidth="1"/>
    <col min="30" max="30" style="24354" width="3.7109375" customWidth="1"/>
    <col min="31" max="32" style="24354" width="3.00390625" customWidth="1"/>
    <col min="33" max="33" style="24354" width="24.00390625" customWidth="1"/>
    <col min="34" max="34" style="24354" width="3.7109375" customWidth="1"/>
    <col min="35" max="36" style="24354" width="3.00390625" customWidth="1"/>
    <col min="37" max="37" style="24354" width="24.00390625" customWidth="1"/>
    <col min="38" max="38" style="24354" width="3.7109375" customWidth="1"/>
    <col min="39" max="40" style="24354" width="3.00390625" customWidth="1"/>
    <col min="41" max="41" style="24354" width="18.00390625" customWidth="1"/>
    <col min="42" max="42" style="24354" width="3.7109375" customWidth="1"/>
    <col min="43" max="44" style="24354" width="3.00390625" customWidth="1"/>
    <col min="45" max="45" style="24354" width="18.00390625" customWidth="1"/>
    <col min="46" max="49" style="24354" width="21.00390625" customWidth="1"/>
    <col min="50" max="50" style="24354" width="11.00390625" customWidth="1"/>
    <col min="51" max="51" style="24354" width="3.7109375" customWidth="1"/>
    <col min="52" max="52" style="24354" width="11.00390625" customWidth="1"/>
    <col min="53" max="53" style="24354" width="8.57421875" hidden="1" customWidth="1"/>
    <col min="54" max="54" style="24354" width="4.00390625" customWidth="1"/>
    <col min="55" max="55" style="24354" width="115.00390625" customWidth="1"/>
    <col min="56" max="60" style="24435" width="10.00390625" customWidth="1"/>
    <col min="61" max="61" style="24354"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536</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537</v>
      </c>
      <c r="BE4" s="898"/>
      <c r="BF4" s="898" t="str">
        <f>IF(T4="","",T4)</f>
        <v>Наименование централизованной системы горячего водоснабжения</v>
      </c>
      <c r="BG4" s="898"/>
      <c r="BH4" s="898"/>
      <c r="BI4" s="1553">
        <v>0</v>
      </c>
    </row>
    <row s="244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244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44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507</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508</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509</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510</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511</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474</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4435"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44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4435"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4435"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164</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44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165</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6351" customFormat="1" customHeight="1" ht="14.25" hidden="1">
      <c r="M24" s="1906"/>
      <c r="N24" s="1906"/>
      <c r="O24" s="1907" t="s">
        <v>420</v>
      </c>
      <c r="P24" s="1906"/>
      <c r="Q24" s="1908"/>
      <c r="R24" s="1908"/>
      <c r="AA24" s="1905" t="s">
        <v>422</v>
      </c>
      <c r="AC24" s="1905" t="s">
        <v>423</v>
      </c>
      <c r="AD24" s="1905" t="s">
        <v>475</v>
      </c>
      <c r="AH24" s="1905" t="s">
        <v>475</v>
      </c>
      <c r="AK24" s="1905" t="s">
        <v>512</v>
      </c>
      <c r="AL24" s="1905" t="s">
        <v>475</v>
      </c>
      <c r="AP24" s="1905" t="s">
        <v>475</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"Новая Энергетика"</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45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45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45649.66804398148</v>
      </c>
      <c r="W32" s="2662"/>
      <c r="X32" s="2662"/>
      <c r="Y32" s="2662"/>
      <c r="Z32" s="2662"/>
      <c r="AA32" s="2662"/>
      <c r="AB32" s="2662"/>
      <c r="AC32" s="724"/>
      <c r="AD32" s="2662" t="str">
        <f>IF(TITLE_DATE_PR_CHANGE="",IF(TITLE_DATE_PR="","",TITLE_DATE_PR),TITLE_DATE_PR_CHANGE)</f>
        <v>45649.66804398148</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45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27/6419</v>
      </c>
      <c r="W33" s="2649"/>
      <c r="X33" s="2649"/>
      <c r="Y33" s="2649"/>
      <c r="Z33" s="2649"/>
      <c r="AA33" s="2649"/>
      <c r="AB33" s="2649"/>
      <c r="AC33" s="724"/>
      <c r="AD33" s="2649" t="str">
        <f>IF(TITLE_NUMBER_PR_CHANGE="",IF(TITLE_NUMBER_PR="","",TITLE_NUMBER_PR),TITLE_NUMBER_PR_CHANGE)</f>
        <v>27/6419</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45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45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45649.66804398148</v>
      </c>
      <c r="W36" s="2662"/>
      <c r="X36" s="2662"/>
      <c r="Y36" s="2662"/>
      <c r="Z36" s="2662"/>
      <c r="AA36" s="2662"/>
      <c r="AB36" s="2662"/>
      <c r="AC36" s="724"/>
      <c r="AD36" s="2662" t="str">
        <f>IF(TITLE_DATE_PR_CHANGE="",IF(TITLE_DATE_PR="","",TITLE_DATE_PR),TITLE_DATE_PR_CHANGE)</f>
        <v>45649.66804398148</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45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27/6419</v>
      </c>
      <c r="W37" s="2649"/>
      <c r="X37" s="2649"/>
      <c r="Y37" s="2649"/>
      <c r="Z37" s="2649"/>
      <c r="AA37" s="2649"/>
      <c r="AB37" s="2649"/>
      <c r="AC37" s="724"/>
      <c r="AD37" s="2649" t="str">
        <f>IF(TITLE_NUMBER_PR_CHANGE="",IF(TITLE_NUMBER_PR="","",TITLE_NUMBER_PR),TITLE_NUMBER_PR_CHANGE)</f>
        <v>27/6419</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45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513</v>
      </c>
      <c r="U41" s="699"/>
      <c r="V41" s="2672" t="s">
        <v>432</v>
      </c>
      <c r="W41" s="2673"/>
      <c r="X41" s="2673"/>
      <c r="Y41" s="2673"/>
      <c r="Z41" s="2673"/>
      <c r="AA41" s="2673"/>
      <c r="AB41" s="2674"/>
      <c r="AC41" s="2675" t="s">
        <v>433</v>
      </c>
      <c r="AD41" s="2726" t="s">
        <v>514</v>
      </c>
      <c r="AE41" s="2689"/>
      <c r="AF41" s="2689"/>
      <c r="AG41" s="2727"/>
      <c r="AH41" s="2726" t="s">
        <v>515</v>
      </c>
      <c r="AI41" s="2689"/>
      <c r="AJ41" s="2689"/>
      <c r="AK41" s="2727"/>
      <c r="AL41" s="2726" t="s">
        <v>516</v>
      </c>
      <c r="AM41" s="2689"/>
      <c r="AN41" s="2689"/>
      <c r="AO41" s="2727"/>
      <c r="AP41" s="2726" t="s">
        <v>517</v>
      </c>
      <c r="AQ41" s="2689"/>
      <c r="AR41" s="2689"/>
      <c r="AS41" s="2727"/>
      <c r="AT41" s="2672" t="s">
        <v>432</v>
      </c>
      <c r="AU41" s="2673"/>
      <c r="AV41" s="2673"/>
      <c r="AW41" s="2673"/>
      <c r="AX41" s="2673"/>
      <c r="AY41" s="2673"/>
      <c r="AZ41" s="2674"/>
      <c r="BA41" s="2675" t="s">
        <v>433</v>
      </c>
      <c r="BB41" s="2678" t="s">
        <v>435</v>
      </c>
      <c r="BC41" s="2525"/>
      <c r="BI41" s="1553">
        <v>14</v>
      </c>
    </row>
    <row customHeight="1" ht="35.699999999999996">
      <c r="Q42" s="689"/>
      <c r="R42" s="774"/>
      <c r="S42" s="2671"/>
      <c r="T42" s="2607"/>
      <c r="U42" s="1429"/>
      <c r="V42" s="2590" t="s">
        <v>518</v>
      </c>
      <c r="W42" s="2591"/>
      <c r="X42" s="2590" t="s">
        <v>519</v>
      </c>
      <c r="Y42" s="2591"/>
      <c r="Z42" s="2692" t="s">
        <v>520</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518</v>
      </c>
      <c r="AU42" s="2591"/>
      <c r="AV42" s="2590" t="s">
        <v>519</v>
      </c>
      <c r="AW42" s="2591"/>
      <c r="AX42" s="2692" t="s">
        <v>520</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440</v>
      </c>
      <c r="F44" s="1762" t="s">
        <v>441</v>
      </c>
      <c r="G44" s="1762" t="s">
        <v>442</v>
      </c>
      <c r="H44" s="1762" t="s">
        <v>443</v>
      </c>
      <c r="I44" s="1762" t="s">
        <v>444</v>
      </c>
      <c r="J44" s="1762" t="s">
        <v>445</v>
      </c>
      <c r="K44" s="1762" t="s">
        <v>446</v>
      </c>
      <c r="L44" s="1762" t="s">
        <v>420</v>
      </c>
      <c r="Q44" s="689"/>
      <c r="R44" s="774"/>
      <c r="S44" s="2671"/>
      <c r="T44" s="2607"/>
      <c r="U44" s="700"/>
      <c r="V44" s="1877" t="s">
        <v>484</v>
      </c>
      <c r="W44" s="1877" t="s">
        <v>485</v>
      </c>
      <c r="X44" s="1877" t="s">
        <v>484</v>
      </c>
      <c r="Y44" s="1877" t="s">
        <v>485</v>
      </c>
      <c r="Z44" s="1887" t="s">
        <v>449</v>
      </c>
      <c r="AA44" s="2668" t="s">
        <v>450</v>
      </c>
      <c r="AB44" s="2669"/>
      <c r="AC44" s="2677"/>
      <c r="AD44" s="2731"/>
      <c r="AE44" s="2732"/>
      <c r="AF44" s="2732"/>
      <c r="AG44" s="2733"/>
      <c r="AH44" s="2731"/>
      <c r="AI44" s="2732"/>
      <c r="AJ44" s="2732"/>
      <c r="AK44" s="2733"/>
      <c r="AL44" s="2731"/>
      <c r="AM44" s="2732"/>
      <c r="AN44" s="2732"/>
      <c r="AO44" s="2733"/>
      <c r="AP44" s="2731"/>
      <c r="AQ44" s="2732"/>
      <c r="AR44" s="2732"/>
      <c r="AS44" s="2733"/>
      <c r="AT44" s="1877" t="s">
        <v>484</v>
      </c>
      <c r="AU44" s="1877" t="s">
        <v>485</v>
      </c>
      <c r="AV44" s="1877" t="s">
        <v>484</v>
      </c>
      <c r="AW44" s="1877" t="s">
        <v>485</v>
      </c>
      <c r="AX44" s="1887" t="s">
        <v>449</v>
      </c>
      <c r="AY44" s="2668" t="s">
        <v>450</v>
      </c>
      <c r="AZ44" s="2669"/>
      <c r="BA44" s="2677"/>
      <c r="BB44" s="2680"/>
      <c r="BC44" s="2525"/>
      <c r="BI44" s="1553">
        <v>14</v>
      </c>
    </row>
    <row s="25006"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266</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266</v>
      </c>
      <c r="B47" s="1761" t="s">
        <v>267</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266</v>
      </c>
      <c r="B48" s="1761" t="s">
        <v>267</v>
      </c>
      <c r="C48" s="1761" t="s">
        <v>268</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536</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537</v>
      </c>
      <c r="BE48" s="898"/>
      <c r="BF48" s="898" t="str">
        <f>IF(T48="","",T48)</f>
        <v>Наименование централизованной системы горячего водоснабжения</v>
      </c>
      <c r="BG48" s="898"/>
      <c r="BH48" s="898"/>
      <c r="BI48" s="1553">
        <v>34</v>
      </c>
    </row>
    <row s="24435" customFormat="1" customHeight="1" ht="0">
      <c r="A49" s="1741" t="s">
        <v>266</v>
      </c>
      <c r="B49" s="1741" t="s">
        <v>267</v>
      </c>
      <c r="C49" s="1741" t="s">
        <v>268</v>
      </c>
      <c r="D49" s="1741" t="s">
        <v>550</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24435" customFormat="1" customHeight="1" ht="0">
      <c r="A50" s="1741" t="s">
        <v>266</v>
      </c>
      <c r="B50" s="1741" t="s">
        <v>267</v>
      </c>
      <c r="C50" s="1741" t="s">
        <v>268</v>
      </c>
      <c r="D50" s="1741" t="s">
        <v>550</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4435" customFormat="1" customHeight="1" ht="0">
      <c r="A51" s="1741" t="s">
        <v>266</v>
      </c>
      <c r="B51" s="1741" t="s">
        <v>267</v>
      </c>
      <c r="C51" s="1741" t="s">
        <v>268</v>
      </c>
      <c r="D51" s="1741" t="s">
        <v>550</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266</v>
      </c>
      <c r="B52" s="1761" t="s">
        <v>267</v>
      </c>
      <c r="C52" s="1761" t="s">
        <v>268</v>
      </c>
      <c r="D52" s="1761" t="s">
        <v>550</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507</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508</v>
      </c>
      <c r="AT53" s="1791"/>
      <c r="AU53" s="1894"/>
      <c r="AV53" s="1791"/>
      <c r="AW53" s="1894"/>
      <c r="AX53" s="1791"/>
      <c r="AY53" s="1791"/>
      <c r="AZ53" s="1791"/>
      <c r="BA53" s="1791"/>
      <c r="BB53" s="1795"/>
      <c r="BC53" s="2652"/>
      <c r="BE53" s="898"/>
      <c r="BF53" s="898"/>
      <c r="BG53" s="898"/>
      <c r="BH53" s="898"/>
      <c r="BI53" s="1553">
        <v>11</v>
      </c>
    </row>
    <row customHeight="1" ht="11.549999999999999">
      <c r="A54" s="1761" t="s">
        <v>266</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509</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266</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510</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266</v>
      </c>
      <c r="B56" s="1761" t="s">
        <v>267</v>
      </c>
      <c r="C56" s="1761" t="s">
        <v>268</v>
      </c>
      <c r="D56" s="1761" t="s">
        <v>550</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511</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266</v>
      </c>
      <c r="B57" s="1761" t="s">
        <v>267</v>
      </c>
      <c r="C57" s="1761" t="s">
        <v>268</v>
      </c>
      <c r="D57" s="1761" t="s">
        <v>550</v>
      </c>
      <c r="E57" s="2657"/>
      <c r="F57" s="2657"/>
      <c r="G57" s="2657"/>
      <c r="H57" s="2657"/>
      <c r="I57" s="2684"/>
      <c r="J57" s="2654"/>
      <c r="K57" s="1761"/>
      <c r="L57" s="1762"/>
      <c r="P57" s="2655"/>
      <c r="Q57" s="2655"/>
      <c r="R57" s="754"/>
      <c r="S57" s="1676"/>
      <c r="T57" s="685" t="s">
        <v>474</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4435" customFormat="1" customHeight="1" ht="0">
      <c r="A58" s="1741" t="s">
        <v>266</v>
      </c>
      <c r="B58" s="1741" t="s">
        <v>267</v>
      </c>
      <c r="C58" s="1741" t="s">
        <v>268</v>
      </c>
      <c r="D58" s="1741" t="s">
        <v>550</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4435" customFormat="1" customHeight="1" ht="0">
      <c r="A59" s="1741" t="s">
        <v>266</v>
      </c>
      <c r="B59" s="1741" t="s">
        <v>267</v>
      </c>
      <c r="C59" s="1741" t="s">
        <v>268</v>
      </c>
      <c r="D59" s="1741" t="s">
        <v>550</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4435" customFormat="1" customHeight="1" ht="0">
      <c r="A60" s="1741" t="s">
        <v>266</v>
      </c>
      <c r="B60" s="1741" t="s">
        <v>267</v>
      </c>
      <c r="C60" s="1741" t="s">
        <v>268</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4435" customFormat="1" customHeight="1" ht="0">
      <c r="A61" s="1741" t="s">
        <v>266</v>
      </c>
      <c r="B61" s="1741" t="s">
        <v>267</v>
      </c>
      <c r="C61" s="1712"/>
      <c r="D61" s="1712"/>
      <c r="E61" s="2657"/>
      <c r="F61" s="2656"/>
      <c r="G61" s="1712"/>
      <c r="H61" s="1712"/>
      <c r="I61" s="1712"/>
      <c r="J61" s="1712"/>
      <c r="K61" s="1712"/>
      <c r="L61" s="1892"/>
      <c r="M61" s="1719"/>
      <c r="N61" s="1719"/>
      <c r="P61" s="1714"/>
      <c r="Q61" s="1715"/>
      <c r="R61" s="1714"/>
      <c r="S61" s="1720"/>
      <c r="T61" s="1723" t="s">
        <v>164</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4435" customFormat="1" customHeight="1" ht="0">
      <c r="A62" s="1741" t="s">
        <v>266</v>
      </c>
      <c r="B62" s="1741"/>
      <c r="C62" s="1741"/>
      <c r="D62" s="1741"/>
      <c r="E62" s="2656"/>
      <c r="F62" s="1741"/>
      <c r="G62" s="1741"/>
      <c r="H62" s="1741"/>
      <c r="I62" s="1741"/>
      <c r="J62" s="1741"/>
      <c r="K62" s="1741"/>
      <c r="L62" s="1744"/>
      <c r="M62" s="1719"/>
      <c r="N62" s="1719"/>
      <c r="O62" s="916"/>
      <c r="P62" s="778"/>
      <c r="Q62" s="1742"/>
      <c r="R62" s="778"/>
      <c r="S62" s="1720"/>
      <c r="T62" s="1723" t="s">
        <v>165</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4435"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166</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8B7BF-2AA1-3BFB-E049-42B001A3001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6615" width="10.7109375" hidden="1" customWidth="1"/>
    <col min="2" max="2" style="24434" width="16.8515625" hidden="1" customWidth="1"/>
    <col min="3" max="3" style="24435" width="5.57421875" hidden="1" customWidth="1"/>
    <col min="4" max="4" style="24354" width="3.00390625" customWidth="1"/>
    <col min="5" max="5" style="24354" width="7.00390625" customWidth="1"/>
    <col min="6" max="6" style="24354" width="54.00390625" customWidth="1"/>
    <col min="7" max="7" style="24354" width="10.00390625" customWidth="1"/>
    <col min="8" max="8" style="24354" width="40.7109375" hidden="1" customWidth="1"/>
    <col min="9" max="9" style="24354" width="40.7109375" customWidth="1"/>
    <col min="10" max="10" style="24354" width="102.00390625" customWidth="1"/>
    <col min="11" max="11" style="24434" width="9.00390625" customWidth="1"/>
    <col min="12" max="12" style="24435" width="5.00390625" customWidth="1"/>
    <col min="13" max="13" style="24435" width="3.00390625" customWidth="1"/>
    <col min="14" max="17" style="24434" width="3.00390625" customWidth="1"/>
    <col min="18" max="18" style="24435" width="10.00390625" customWidth="1"/>
    <col min="19" max="19" style="24434" width="34.00390625" customWidth="1"/>
    <col min="20" max="20" style="24434" width="9.00390625" customWidth="1"/>
    <col min="21" max="21" style="26616" width="8.00390625" customWidth="1"/>
    <col min="22" max="26" style="24434" width="8.00390625" customWidth="1"/>
    <col min="27" max="31" style="24318" width="8.00390625" customWidth="1"/>
    <col min="32" max="32" style="24354" width="9.140625" hidden="1"/>
  </cols>
  <sheetData>
    <row customHeight="1" ht="22.5" hidden="1">
      <c r="AF1" s="2029" t="s">
        <v>14</v>
      </c>
    </row>
    <row customHeight="1" ht="23.25" hidden="1">
      <c r="B2" s="2497"/>
      <c r="C2" s="1565" t="s">
        <v>551</v>
      </c>
      <c r="D2" s="2036"/>
      <c r="E2" s="944">
        <f>B2</f>
        <v>0</v>
      </c>
      <c r="F2" s="945"/>
      <c r="G2" s="2044" t="s">
        <v>552</v>
      </c>
      <c r="H2" s="2044" t="s">
        <v>552</v>
      </c>
      <c r="I2" s="2044" t="s">
        <v>552</v>
      </c>
      <c r="J2" s="687" t="s">
        <v>553</v>
      </c>
      <c r="K2" s="941"/>
      <c r="AF2" s="2029">
        <v>0</v>
      </c>
    </row>
    <row s="24435" customFormat="1" customHeight="1" ht="0.75" hidden="1">
      <c r="B3" s="2497"/>
      <c r="C3" s="1565"/>
      <c r="D3" s="946"/>
      <c r="E3" s="947"/>
      <c r="F3" s="948" t="s">
        <v>554</v>
      </c>
      <c r="G3" s="949"/>
      <c r="H3" s="949">
        <f>H4*H5+H7</f>
        <v>0</v>
      </c>
      <c r="I3" s="949">
        <f>I4*I5+I6</f>
        <v>0</v>
      </c>
      <c r="J3" s="950"/>
      <c r="AF3" s="2034">
        <v>0</v>
      </c>
    </row>
    <row customHeight="1" ht="23.25" hidden="1">
      <c r="B4" s="2497"/>
      <c r="C4" s="1565"/>
      <c r="D4" s="2036"/>
      <c r="E4" s="944" t="str">
        <f>B2&amp;".1"</f>
        <v>.1</v>
      </c>
      <c r="F4" s="951" t="s">
        <v>555</v>
      </c>
      <c r="G4" s="952"/>
      <c r="H4" s="939"/>
      <c r="I4" s="939"/>
      <c r="J4" s="687" t="s">
        <v>556</v>
      </c>
      <c r="K4" s="941"/>
      <c r="AF4" s="2029">
        <v>0</v>
      </c>
    </row>
    <row customHeight="1" ht="18.75" hidden="1">
      <c r="B5" s="2497"/>
      <c r="C5" s="1565"/>
      <c r="D5" s="2036"/>
      <c r="E5" s="944" t="str">
        <f>B2&amp;".2"</f>
        <v>.2</v>
      </c>
      <c r="F5" s="951" t="s">
        <v>557</v>
      </c>
      <c r="G5" s="2044" t="s">
        <v>558</v>
      </c>
      <c r="H5" s="939"/>
      <c r="I5" s="939"/>
      <c r="J5" s="687"/>
      <c r="K5" s="941"/>
      <c r="AF5" s="2029">
        <v>0</v>
      </c>
    </row>
    <row customHeight="1" ht="18.75" hidden="1">
      <c r="B6" s="2497"/>
      <c r="C6" s="1565"/>
      <c r="D6" s="2036"/>
      <c r="E6" s="944" t="str">
        <f>B2&amp;".3"</f>
        <v>.3</v>
      </c>
      <c r="F6" s="951" t="s">
        <v>559</v>
      </c>
      <c r="G6" s="2044" t="s">
        <v>558</v>
      </c>
      <c r="H6" s="939"/>
      <c r="I6" s="939"/>
      <c r="J6" s="687"/>
      <c r="K6" s="941"/>
      <c r="AF6" s="2029">
        <v>0</v>
      </c>
    </row>
    <row customHeight="1" ht="18.75" hidden="1">
      <c r="B7" s="2497"/>
      <c r="C7" s="1565"/>
      <c r="D7" s="2036"/>
      <c r="E7" s="944" t="str">
        <f>B2&amp;".4"</f>
        <v>.4</v>
      </c>
      <c r="F7" s="951" t="s">
        <v>560</v>
      </c>
      <c r="G7" s="2044" t="s">
        <v>552</v>
      </c>
      <c r="H7" s="953"/>
      <c r="I7" s="953"/>
      <c r="J7" s="687"/>
      <c r="K7" s="941"/>
      <c r="AF7" s="2029">
        <v>0</v>
      </c>
    </row>
    <row s="24434" customFormat="1" customHeight="1" ht="11.25" hidden="1">
      <c r="A8" s="1385"/>
      <c r="C8" s="2034"/>
      <c r="D8" s="935"/>
      <c r="H8" s="1558">
        <v>4</v>
      </c>
      <c r="I8" s="1558">
        <v>4</v>
      </c>
      <c r="L8" s="2034"/>
      <c r="M8" s="2034"/>
      <c r="R8" s="2034"/>
      <c r="AF8" s="1558">
        <v>0</v>
      </c>
    </row>
    <row s="24434" customFormat="1" customHeight="1" ht="22.5" hidden="1">
      <c r="A9" s="1385"/>
      <c r="C9" s="2034"/>
      <c r="D9" s="936"/>
      <c r="E9" s="2046"/>
      <c r="F9" s="938"/>
      <c r="G9" s="2044" t="s">
        <v>558</v>
      </c>
      <c r="H9" s="939"/>
      <c r="I9" s="939"/>
      <c r="J9" s="940" t="s">
        <v>561</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562</v>
      </c>
      <c r="H11" s="939"/>
      <c r="I11" s="939"/>
      <c r="J11" s="687" t="s">
        <v>563</v>
      </c>
      <c r="K11" s="941"/>
      <c r="AF11" s="2029">
        <v>0</v>
      </c>
    </row>
    <row customHeight="1" ht="11.25" hidden="1">
      <c r="AF12" s="2029">
        <v>0</v>
      </c>
    </row>
    <row customHeight="1" ht="22.5" hidden="1">
      <c r="D13" s="2036"/>
      <c r="E13" s="944"/>
      <c r="F13" s="938"/>
      <c r="G13" s="1367" t="s">
        <v>564</v>
      </c>
      <c r="H13" s="943"/>
      <c r="I13" s="943"/>
      <c r="J13" s="1143" t="s">
        <v>565</v>
      </c>
      <c r="K13" s="941"/>
      <c r="AF13" s="2029">
        <v>0</v>
      </c>
    </row>
    <row customHeight="1" ht="11.25" hidden="1">
      <c r="AF14" s="2029">
        <v>0</v>
      </c>
    </row>
    <row customHeight="1" ht="22.5" hidden="1">
      <c r="D15" s="2036"/>
      <c r="E15" s="944"/>
      <c r="F15" s="938"/>
      <c r="G15" s="2044" t="s">
        <v>566</v>
      </c>
      <c r="H15" s="943"/>
      <c r="I15" s="943"/>
      <c r="J15" s="687" t="s">
        <v>567</v>
      </c>
      <c r="K15" s="941"/>
      <c r="AF15" s="2029">
        <v>0</v>
      </c>
    </row>
    <row customHeight="1" ht="11.25" hidden="1">
      <c r="AF16" s="2029">
        <v>0</v>
      </c>
    </row>
    <row customHeight="1" ht="22.5" hidden="1">
      <c r="D17" s="2036"/>
      <c r="E17" s="944"/>
      <c r="F17" s="938"/>
      <c r="G17" s="2044" t="s">
        <v>568</v>
      </c>
      <c r="H17" s="943"/>
      <c r="I17" s="943"/>
      <c r="J17" s="687" t="s">
        <v>569</v>
      </c>
      <c r="K17" s="941"/>
      <c r="AF17" s="2029">
        <v>0</v>
      </c>
    </row>
    <row customHeight="1" ht="11.25" hidden="1">
      <c r="AF18" s="2029">
        <v>0</v>
      </c>
    </row>
    <row s="24318"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46"/>
      <c r="G21" s="2646"/>
      <c r="H21" s="2646"/>
      <c r="I21" s="2646"/>
      <c r="J21" s="954"/>
      <c r="AF21" s="2029">
        <v>24</v>
      </c>
    </row>
    <row customHeight="1" ht="25.2">
      <c r="E22" s="2647" t="str">
        <f>IF(org=0,"Не определено",org)</f>
        <v>ООО "Новая Энергетика"</v>
      </c>
      <c r="F22" s="2647"/>
      <c r="G22" s="2647"/>
      <c r="H22" s="2647"/>
      <c r="I22" s="2647"/>
      <c r="AF22" s="2029">
        <v>24</v>
      </c>
    </row>
    <row customHeight="1" ht="11.549999999999999">
      <c r="E23" s="1533"/>
      <c r="F23" s="1533"/>
      <c r="G23" s="1533"/>
      <c r="H23" s="1533"/>
      <c r="I23" s="1533"/>
      <c r="AF23" s="2029">
        <v>11</v>
      </c>
    </row>
    <row s="24435" customFormat="1" customHeight="1" ht="1.05">
      <c r="A24" s="1565"/>
      <c r="D24" s="2040"/>
      <c r="H24" s="1287"/>
      <c r="I24" s="1287" t="s">
        <v>118</v>
      </c>
      <c r="AF24" s="2034">
        <v>1</v>
      </c>
    </row>
    <row customHeight="1" ht="11.549999999999999">
      <c r="E25" s="1109"/>
      <c r="F25" s="2765" t="s">
        <v>106</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570</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571</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305</v>
      </c>
      <c r="F28" s="2768"/>
      <c r="G28" s="2768"/>
      <c r="H28" s="2043"/>
      <c r="I28" s="2043"/>
      <c r="J28" s="2525"/>
      <c r="AF28" s="2029">
        <v>11</v>
      </c>
    </row>
    <row customHeight="1" ht="24">
      <c r="E29" s="2044" t="s">
        <v>89</v>
      </c>
      <c r="F29" s="2051" t="s">
        <v>307</v>
      </c>
      <c r="G29" s="2051" t="s">
        <v>572</v>
      </c>
      <c r="H29" s="2051" t="s">
        <v>308</v>
      </c>
      <c r="I29" s="2051" t="s">
        <v>308</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558</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558</v>
      </c>
      <c r="H31" s="956">
        <f>SUMIF($K33:$K71,$K31,H33:H71)</f>
        <v>0</v>
      </c>
      <c r="I31" s="956">
        <f>SUMIF($K33:$K71,$K31,I33:I71)</f>
        <v>0</v>
      </c>
      <c r="J31" s="687" t="str">
        <f>FHD_NOTE_P_2</f>
        <v>Указывается суммарная себестоимость производимых товаров.</v>
      </c>
      <c r="K31" s="2034" t="s">
        <v>573</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558</v>
      </c>
      <c r="H32" s="955"/>
      <c r="I32" s="955"/>
      <c r="J32" s="687" t="str">
        <f>FHD_NOTE_P_3</f>
        <v/>
      </c>
      <c r="K32" s="2034" t="str">
        <f>IF((LEN(E32)-LEN(SUBSTITUTE(E32,".","")))/LEN(".")=1,"p","")</f>
        <v>p</v>
      </c>
      <c r="AF32" s="2029">
        <v>11</v>
      </c>
    </row>
    <row customHeight="1" ht="11.25">
      <c r="A33" s="2769" t="s">
        <v>574</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558</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25006"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25006"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25006"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25006"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25006"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25006"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24434" customFormat="1" customHeight="1" ht="15">
      <c r="A40" s="2769"/>
      <c r="C40" s="2034"/>
      <c r="D40" s="2031"/>
      <c r="E40" s="968"/>
      <c r="F40" s="969" t="s">
        <v>575</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576</v>
      </c>
      <c r="D41" s="2036"/>
      <c r="E41" s="944" t="str">
        <f>FHD_NUM_P_5</f>
        <v/>
      </c>
      <c r="F41" s="1922" t="str">
        <f>FHD_P_5</f>
        <v/>
      </c>
      <c r="G41" s="2276" t="s">
        <v>558</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558</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558</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558</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v>
      </c>
      <c r="G45" s="2276" t="s">
        <v>577</v>
      </c>
      <c r="H45" s="955"/>
      <c r="I45" s="955"/>
      <c r="J45" s="687" t="str">
        <f>FHD_NOTE_P_9</f>
        <v/>
      </c>
      <c r="K45" s="2034" t="str">
        <f>IF((LEN(E45)-LEN(SUBSTITUTE(E45,".","")))/LEN(".")=1,"p","")</f>
        <v/>
      </c>
      <c r="AF45" s="2029">
        <v>11</v>
      </c>
    </row>
    <row s="24434" customFormat="1" customHeight="1" ht="11.549999999999999">
      <c r="A46" s="1385"/>
      <c r="C46" s="2034"/>
      <c r="D46" s="972"/>
      <c r="E46" s="944" t="str">
        <f>FHD_NUM_P_10</f>
        <v>2.3.2</v>
      </c>
      <c r="F46" s="2048" t="str">
        <f>FHD_P_10</f>
        <v>Объём приобретения электрической энергии</v>
      </c>
      <c r="G46" s="2276" t="s">
        <v>578</v>
      </c>
      <c r="H46" s="955"/>
      <c r="I46" s="955"/>
      <c r="J46" s="687" t="str">
        <f>FHD_NOTE_P_10</f>
        <v/>
      </c>
      <c r="K46" s="2034" t="str">
        <f>IF((LEN(E46)-LEN(SUBSTITUTE(E46,".","")))/LEN(".")=1,"p","")</f>
        <v/>
      </c>
      <c r="L46" s="2034"/>
      <c r="M46" s="2034"/>
      <c r="R46" s="2034"/>
      <c r="U46" s="942"/>
      <c r="AA46" s="2030"/>
      <c r="AB46" s="2030"/>
      <c r="AC46" s="2030"/>
      <c r="AD46" s="2030"/>
      <c r="AE46" s="2030"/>
      <c r="AF46" s="1558">
        <v>11</v>
      </c>
    </row>
    <row s="24434" customFormat="1" customHeight="1" ht="11.25">
      <c r="A47" s="1387" t="s">
        <v>579</v>
      </c>
      <c r="C47" s="2034"/>
      <c r="D47" s="973"/>
      <c r="E47" s="944" t="str">
        <f>FHD_NUM_P_11</f>
        <v>2.4</v>
      </c>
      <c r="F47" s="1922" t="str">
        <f>FHD_P_11</f>
        <v>Расходы на приобретение холодной воды, используемой в технологическом процессе</v>
      </c>
      <c r="G47" s="2276" t="s">
        <v>558</v>
      </c>
      <c r="H47" s="955"/>
      <c r="I47" s="955"/>
      <c r="J47" s="687" t="str">
        <f>FHD_NOTE_P_11</f>
        <v/>
      </c>
      <c r="K47" s="2034" t="str">
        <f>IF((LEN(E47)-LEN(SUBSTITUTE(E47,".","")))/LEN(".")=1,"p","")</f>
        <v>p</v>
      </c>
      <c r="L47" s="2034"/>
      <c r="M47" s="2034"/>
      <c r="R47" s="2034"/>
      <c r="U47" s="942"/>
      <c r="AA47" s="2030"/>
      <c r="AB47" s="2030"/>
      <c r="AC47" s="2030"/>
      <c r="AD47" s="2030"/>
      <c r="AE47" s="2030"/>
      <c r="AF47" s="1558">
        <v>0</v>
      </c>
    </row>
    <row s="24434" customFormat="1" customHeight="1" ht="18.75">
      <c r="A48" s="1387" t="s">
        <v>580</v>
      </c>
      <c r="C48" s="2034"/>
      <c r="D48" s="2036"/>
      <c r="E48" s="944" t="str">
        <f>FHD_NUM_P_12</f>
        <v>2.5</v>
      </c>
      <c r="F48" s="1922" t="str">
        <f>FHD_P_12</f>
        <v>Расходы на  хим. реагенты, используемые в технологическом процессе</v>
      </c>
      <c r="G48" s="2276" t="s">
        <v>558</v>
      </c>
      <c r="H48" s="975"/>
      <c r="I48" s="975"/>
      <c r="J48" s="687" t="str">
        <f>FHD_NOTE_P_12</f>
        <v/>
      </c>
      <c r="K48" s="2034" t="str">
        <f>IF((LEN(E48)-LEN(SUBSTITUTE(E48,".","")))/LEN(".")=1,"p","")</f>
        <v>p</v>
      </c>
      <c r="L48" s="2034"/>
      <c r="M48" s="2034"/>
      <c r="R48" s="2034"/>
      <c r="U48" s="942"/>
      <c r="AA48" s="2030"/>
      <c r="AB48" s="2030"/>
      <c r="AC48" s="2030"/>
      <c r="AD48" s="2030"/>
      <c r="AE48" s="2030"/>
      <c r="AF48" s="1558">
        <v>18</v>
      </c>
    </row>
    <row s="26554"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558</v>
      </c>
      <c r="H49" s="955"/>
      <c r="I49" s="955"/>
      <c r="J49" s="687" t="str">
        <f>FHD_NOTE_P_13</f>
        <v/>
      </c>
      <c r="K49" s="2034" t="str">
        <f>IF((LEN(E49)-LEN(SUBSTITUTE(E49,".","")))/LEN(".")=1,"p","")</f>
        <v>p</v>
      </c>
      <c r="L49" s="1128"/>
      <c r="M49" s="1128"/>
      <c r="R49" s="1128"/>
      <c r="U49" s="1129"/>
      <c r="AA49" s="1130"/>
      <c r="AB49" s="1130"/>
      <c r="AC49" s="1130"/>
      <c r="AD49" s="1130"/>
      <c r="AE49" s="1130"/>
      <c r="AF49" s="1127">
        <v>11</v>
      </c>
    </row>
    <row s="26554"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558</v>
      </c>
      <c r="H50" s="955"/>
      <c r="I50" s="955"/>
      <c r="J50" s="687" t="str">
        <f>FHD_NOTE_P_14</f>
        <v/>
      </c>
      <c r="K50" s="2034" t="str">
        <f>IF((LEN(E50)-LEN(SUBSTITUTE(E50,".","")))/LEN(".")=1,"p","")</f>
        <v/>
      </c>
      <c r="L50" s="1128"/>
      <c r="M50" s="1128"/>
      <c r="R50" s="1128"/>
      <c r="U50" s="1129"/>
      <c r="AA50" s="1130"/>
      <c r="AB50" s="1130"/>
      <c r="AC50" s="1130"/>
      <c r="AD50" s="1130"/>
      <c r="AE50" s="1130"/>
      <c r="AF50" s="1127">
        <v>11</v>
      </c>
    </row>
    <row s="26554" customFormat="1" customHeight="1" ht="11.549999999999999">
      <c r="A51" s="1386"/>
      <c r="C51" s="1128"/>
      <c r="D51" s="1071"/>
      <c r="E51" s="944" t="str">
        <f>FHD_NUM_P_15</f>
        <v>2.6.2</v>
      </c>
      <c r="F51" s="2048"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276" t="s">
        <v>558</v>
      </c>
      <c r="H51" s="955"/>
      <c r="I51" s="955"/>
      <c r="J51" s="687" t="str">
        <f>FHD_NOTE_P_15</f>
        <v/>
      </c>
      <c r="K51" s="2034" t="str">
        <f>IF((LEN(E51)-LEN(SUBSTITUTE(E51,".","")))/LEN(".")=1,"p","")</f>
        <v/>
      </c>
      <c r="L51" s="1128"/>
      <c r="M51" s="1128"/>
      <c r="R51" s="1128"/>
      <c r="U51" s="1129"/>
      <c r="AA51" s="1130"/>
      <c r="AB51" s="1130"/>
      <c r="AC51" s="1130"/>
      <c r="AD51" s="1130"/>
      <c r="AE51" s="1130"/>
      <c r="AF51" s="1127">
        <v>11</v>
      </c>
    </row>
    <row s="24434"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76" t="s">
        <v>558</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24434"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558</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24434" customFormat="1" customHeight="1" ht="11.549999999999999">
      <c r="A54" s="1385"/>
      <c r="C54" s="2034"/>
      <c r="D54" s="2036"/>
      <c r="E54" s="944" t="str">
        <f>FHD_NUM_P_18</f>
        <v>2.7.2</v>
      </c>
      <c r="F54" s="2048"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276" t="s">
        <v>558</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24434"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558</v>
      </c>
      <c r="H55" s="955"/>
      <c r="I55" s="955"/>
      <c r="J55" s="687" t="str">
        <f>FHD_NOTE_P_19</f>
        <v/>
      </c>
      <c r="K55" s="2034" t="str">
        <f>IF((LEN(E55)-LEN(SUBSTITUTE(E55,".","")))/LEN(".")=1,"p","")</f>
        <v>p</v>
      </c>
      <c r="L55" s="2034"/>
      <c r="M55" s="2034"/>
      <c r="R55" s="2034"/>
      <c r="U55" s="942"/>
      <c r="AA55" s="2030"/>
      <c r="AB55" s="2030"/>
      <c r="AC55" s="2030"/>
      <c r="AD55" s="2030"/>
      <c r="AE55" s="2030"/>
      <c r="AF55" s="1558">
        <v>11</v>
      </c>
    </row>
    <row s="24434" customFormat="1" customHeight="1" ht="11.549999999999999">
      <c r="A56" s="1385"/>
      <c r="C56" s="2034"/>
      <c r="D56" s="973"/>
      <c r="E56" s="944" t="str">
        <f>FHD_NUM_P_20</f>
        <v>2.8.1</v>
      </c>
      <c r="F56" s="2048" t="str">
        <f>FHD_P_20</f>
        <v>Расходы на амортизацию основных средств</v>
      </c>
      <c r="G56" s="2276" t="s">
        <v>558</v>
      </c>
      <c r="H56" s="955"/>
      <c r="I56" s="955"/>
      <c r="J56" s="687" t="str">
        <f>FHD_NOTE_P_20</f>
        <v/>
      </c>
      <c r="K56" s="2034" t="str">
        <f>IF((LEN(E56)-LEN(SUBSTITUTE(E56,".","")))/LEN(".")=1,"p","")</f>
        <v/>
      </c>
      <c r="L56" s="2034"/>
      <c r="M56" s="2034"/>
      <c r="R56" s="2034"/>
      <c r="U56" s="942"/>
      <c r="AA56" s="2030"/>
      <c r="AB56" s="2030"/>
      <c r="AC56" s="2030"/>
      <c r="AD56" s="2030"/>
      <c r="AE56" s="2030"/>
      <c r="AF56" s="1558">
        <v>11</v>
      </c>
    </row>
    <row s="24434" customFormat="1" customHeight="1" ht="11.549999999999999">
      <c r="A57" s="1385"/>
      <c r="C57" s="2034"/>
      <c r="D57" s="973"/>
      <c r="E57" s="944" t="str">
        <f>FHD_NUM_P_21</f>
        <v>2.8.2</v>
      </c>
      <c r="F57" s="2048" t="str">
        <f>FHD_P_21</f>
        <v>Расходы на амортизацию нематериальных активов</v>
      </c>
      <c r="G57" s="2276" t="s">
        <v>558</v>
      </c>
      <c r="H57" s="955"/>
      <c r="I57" s="955"/>
      <c r="J57" s="687" t="str">
        <f>FHD_NOTE_P_21</f>
        <v/>
      </c>
      <c r="K57" s="2034" t="str">
        <f>IF((LEN(E57)-LEN(SUBSTITUTE(E57,".","")))/LEN(".")=1,"p","")</f>
        <v/>
      </c>
      <c r="L57" s="2034"/>
      <c r="M57" s="2034"/>
      <c r="R57" s="2034"/>
      <c r="U57" s="942"/>
      <c r="AA57" s="2030"/>
      <c r="AB57" s="2030"/>
      <c r="AC57" s="2030"/>
      <c r="AD57" s="2030"/>
      <c r="AE57" s="2030"/>
      <c r="AF57" s="1558">
        <v>11</v>
      </c>
    </row>
    <row s="24434"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558</v>
      </c>
      <c r="H58" s="955"/>
      <c r="I58" s="955"/>
      <c r="J58" s="687" t="str">
        <f>FHD_NOTE_P_22</f>
        <v/>
      </c>
      <c r="K58" s="2034" t="str">
        <f>IF((LEN(E58)-LEN(SUBSTITUTE(E58,".","")))/LEN(".")=1,"p","")</f>
        <v>p</v>
      </c>
      <c r="L58" s="2034"/>
      <c r="M58" s="2034"/>
      <c r="R58" s="2034"/>
      <c r="U58" s="942"/>
      <c r="AA58" s="2030"/>
      <c r="AB58" s="2030"/>
      <c r="AC58" s="2030"/>
      <c r="AD58" s="2030"/>
      <c r="AE58" s="2030"/>
      <c r="AF58" s="1558">
        <v>11</v>
      </c>
    </row>
    <row s="24434" customFormat="1" customHeight="1" ht="11.549999999999999">
      <c r="A59" s="1385"/>
      <c r="C59" s="2034"/>
      <c r="D59" s="973"/>
      <c r="E59" s="944" t="str">
        <f>FHD_NUM_P_23</f>
        <v>2.10</v>
      </c>
      <c r="F59" s="1922" t="str">
        <f>FHD_P_23</f>
        <v>Общепроизводственные расходы, в том числе:</v>
      </c>
      <c r="G59" s="2276" t="s">
        <v>558</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24434" customFormat="1" customHeight="1" ht="11.549999999999999">
      <c r="A60" s="1385"/>
      <c r="C60" s="2034"/>
      <c r="D60" s="973"/>
      <c r="E60" s="944" t="str">
        <f>FHD_NUM_P_24</f>
        <v>2.10.1</v>
      </c>
      <c r="F60" s="2048" t="str">
        <f>FHD_P_24</f>
        <v>Расходы на текущий ремонт</v>
      </c>
      <c r="G60" s="2276" t="s">
        <v>558</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24434" customFormat="1" customHeight="1" ht="11.549999999999999">
      <c r="A61" s="1385"/>
      <c r="C61" s="2034"/>
      <c r="D61" s="973"/>
      <c r="E61" s="944" t="str">
        <f>FHD_NUM_P_25</f>
        <v>2.10.2</v>
      </c>
      <c r="F61" s="2048" t="str">
        <f>FHD_P_25</f>
        <v>Расходы на капитальный ремонт</v>
      </c>
      <c r="G61" s="2276" t="s">
        <v>558</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24434" customFormat="1" customHeight="1" ht="11.549999999999999">
      <c r="A62" s="1385"/>
      <c r="C62" s="2034"/>
      <c r="D62" s="2036"/>
      <c r="E62" s="944" t="str">
        <f>FHD_NUM_P_26</f>
        <v>2.11</v>
      </c>
      <c r="F62" s="1922" t="str">
        <f>FHD_P_26</f>
        <v>Общехозяйственные расходы, в том числе:</v>
      </c>
      <c r="G62" s="2276" t="s">
        <v>558</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24434" customFormat="1" customHeight="1" ht="11.549999999999999">
      <c r="A63" s="1385"/>
      <c r="C63" s="2034"/>
      <c r="D63" s="2036"/>
      <c r="E63" s="944" t="str">
        <f>FHD_NUM_P_27</f>
        <v>2.11.1</v>
      </c>
      <c r="F63" s="2048" t="str">
        <f>FHD_P_27</f>
        <v>Расходы на текущий ремонт</v>
      </c>
      <c r="G63" s="2276" t="s">
        <v>558</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24434" customFormat="1" customHeight="1" ht="11.549999999999999">
      <c r="A64" s="1385"/>
      <c r="C64" s="2034"/>
      <c r="D64" s="2036"/>
      <c r="E64" s="944" t="str">
        <f>FHD_NUM_P_28</f>
        <v>2.11.2</v>
      </c>
      <c r="F64" s="2048" t="str">
        <f>FHD_P_28</f>
        <v>Расходы на капитальный ремонт</v>
      </c>
      <c r="G64" s="2276" t="s">
        <v>558</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24434" customFormat="1" customHeight="1" ht="11.549999999999999">
      <c r="A65" s="1385"/>
      <c r="C65" s="2034"/>
      <c r="D65" s="2036"/>
      <c r="E65" s="944" t="str">
        <f>FHD_NUM_P_29</f>
        <v>2.12</v>
      </c>
      <c r="F65" s="1922" t="str">
        <f>FHD_P_29</f>
        <v>Расходы на капитальный и текущий ремонт основных производственных средств</v>
      </c>
      <c r="G65" s="2276" t="s">
        <v>558</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24434"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311</v>
      </c>
      <c r="H66" s="2047" t="s">
        <v>581</v>
      </c>
      <c r="I66" s="2047" t="s">
        <v>581</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24434" customFormat="1" customHeight="1" ht="23.25" hidden="1">
      <c r="A67" s="2769" t="s">
        <v>582</v>
      </c>
      <c r="C67" s="2034"/>
      <c r="D67" s="2036"/>
      <c r="E67" s="944" t="str">
        <f>FHD_NUM_P_31</f>
        <v/>
      </c>
      <c r="F67" s="1922" t="str">
        <f>FHD_P_31</f>
        <v/>
      </c>
      <c r="G67" s="2276" t="s">
        <v>558</v>
      </c>
      <c r="H67" s="955"/>
      <c r="I67" s="955"/>
      <c r="J67" s="687" t="str">
        <f>FHD_NOTE_P_31</f>
        <v/>
      </c>
      <c r="K67" s="2034" t="str">
        <f>IF((LEN(E67)-LEN(SUBSTITUTE(E67,".","")))/LEN(".")=1,"p","")</f>
        <v/>
      </c>
      <c r="L67" s="2034"/>
      <c r="M67" s="2034"/>
      <c r="R67" s="2034"/>
      <c r="U67" s="942"/>
      <c r="AA67" s="2030"/>
      <c r="AB67" s="2030"/>
      <c r="AC67" s="2030"/>
      <c r="AD67" s="2030"/>
      <c r="AE67" s="2030"/>
      <c r="AF67" s="1558">
        <v>22</v>
      </c>
    </row>
    <row s="24434" customFormat="1" customHeight="1" ht="47.25" hidden="1">
      <c r="A68" s="2769"/>
      <c r="C68" s="2034"/>
      <c r="D68" s="2036"/>
      <c r="E68" s="944" t="str">
        <f>FHD_NUM_P_32</f>
        <v/>
      </c>
      <c r="F68" s="2048" t="str">
        <f>FHD_P_32</f>
        <v/>
      </c>
      <c r="G68" s="2276" t="s">
        <v>311</v>
      </c>
      <c r="H68" s="2047" t="s">
        <v>581</v>
      </c>
      <c r="I68" s="2047" t="s">
        <v>581</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24434"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558</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24435" customFormat="1" customHeight="1" ht="1.05">
      <c r="A70" s="1565"/>
      <c r="D70" s="946"/>
      <c r="E70" s="1411" t="str">
        <f>E69&amp;".0"</f>
        <v>2.13.0</v>
      </c>
      <c r="F70" s="1389"/>
      <c r="G70" s="1411"/>
      <c r="H70" s="1390"/>
      <c r="I70" s="1390"/>
      <c r="J70" s="1391"/>
      <c r="K70" s="2034" t="str">
        <f>IF((LEN(E70)-LEN(SUBSTITUTE(E70,".","")))/LEN(".")=1,"p","")</f>
        <v/>
      </c>
      <c r="AF70" s="2034">
        <v>1</v>
      </c>
    </row>
    <row s="24434" customFormat="1" customHeight="1" ht="14.699999999999998">
      <c r="A71" s="1385"/>
      <c r="C71" s="2034"/>
      <c r="D71" s="2031"/>
      <c r="E71" s="968"/>
      <c r="F71" s="969" t="s">
        <v>583</v>
      </c>
      <c r="G71" s="970"/>
      <c r="H71" s="971"/>
      <c r="I71" s="971"/>
      <c r="J71" s="699"/>
      <c r="K71" s="2034"/>
      <c r="L71" s="2034"/>
      <c r="M71" s="2034"/>
      <c r="R71" s="2034"/>
      <c r="U71" s="942"/>
      <c r="AA71" s="2030"/>
      <c r="AB71" s="2030"/>
      <c r="AC71" s="2030"/>
      <c r="AD71" s="2030"/>
      <c r="AE71" s="2030"/>
      <c r="AF71" s="1558">
        <v>14</v>
      </c>
    </row>
    <row s="24434" customFormat="1" customHeight="1" ht="18.75">
      <c r="A72" s="1387" t="s">
        <v>584</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558</v>
      </c>
      <c r="H72" s="955"/>
      <c r="I72" s="955"/>
      <c r="J72" s="687" t="str">
        <f>FHD_NOTE_P_34</f>
        <v/>
      </c>
      <c r="K72" s="941"/>
      <c r="L72" s="2034"/>
      <c r="M72" s="2034"/>
      <c r="R72" s="2034"/>
      <c r="U72" s="942"/>
      <c r="AA72" s="2030"/>
      <c r="AB72" s="2030"/>
      <c r="AC72" s="2030"/>
      <c r="AD72" s="2030"/>
      <c r="AE72" s="2030"/>
      <c r="AF72" s="1558">
        <v>0</v>
      </c>
    </row>
    <row s="24434"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558</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24434"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558</v>
      </c>
      <c r="H74" s="955"/>
      <c r="I74" s="955"/>
      <c r="J74" s="687" t="str">
        <f>FHD_NOTE_P_36</f>
        <v/>
      </c>
      <c r="K74" s="941"/>
      <c r="L74" s="2034"/>
      <c r="M74" s="2034"/>
      <c r="R74" s="2034"/>
      <c r="U74" s="942"/>
      <c r="AA74" s="2030"/>
      <c r="AB74" s="2030"/>
      <c r="AC74" s="2030"/>
      <c r="AD74" s="2030"/>
      <c r="AE74" s="2030"/>
      <c r="AF74" s="1558">
        <v>19</v>
      </c>
    </row>
    <row s="24434" customFormat="1" customHeight="1" ht="19.95">
      <c r="A75" s="1385"/>
      <c r="C75" s="2034"/>
      <c r="D75" s="2036"/>
      <c r="E75" s="944" t="str">
        <f>FHD_NUM_P_37</f>
        <v>5</v>
      </c>
      <c r="F75" s="2278" t="str">
        <f>FHD_P_37</f>
        <v>Изменение стоимости основных фондов, в том числе:</v>
      </c>
      <c r="G75" s="2276" t="s">
        <v>558</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24434" customFormat="1" customHeight="1" ht="19.95">
      <c r="A76" s="1385"/>
      <c r="C76" s="2034"/>
      <c r="D76" s="2036"/>
      <c r="E76" s="944" t="str">
        <f>FHD_NUM_P_38</f>
        <v>5.1</v>
      </c>
      <c r="F76" s="1922" t="str">
        <f>FHD_P_38</f>
        <v>за счет их ввода в эксплуатацию (вывода из эксплуатации)</v>
      </c>
      <c r="G76" s="2276" t="s">
        <v>558</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24434" customFormat="1" customHeight="1" ht="19.95">
      <c r="A77" s="1385"/>
      <c r="C77" s="2034"/>
      <c r="D77" s="2036"/>
      <c r="E77" s="944" t="str">
        <f>FHD_NUM_P_39</f>
        <v>5.1.1</v>
      </c>
      <c r="F77" s="2048" t="str">
        <f>FHD_P_39</f>
        <v>за счет их ввода в эксплуатацию</v>
      </c>
      <c r="G77" s="2470" t="s">
        <v>558</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24434" customFormat="1" customHeight="1" ht="19.95">
      <c r="A78" s="1385"/>
      <c r="C78" s="2034"/>
      <c r="D78" s="2036"/>
      <c r="E78" s="944" t="str">
        <f>FHD_NUM_P_40</f>
        <v>5.1.2</v>
      </c>
      <c r="F78" s="2474" t="str">
        <f>FHD_P_40</f>
        <v>за счет их вывода в эксплуатацию</v>
      </c>
      <c r="G78" s="2469" t="s">
        <v>558</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24434" customFormat="1" customHeight="1" ht="19.95">
      <c r="A79" s="1385"/>
      <c r="C79" s="2034"/>
      <c r="D79" s="2036"/>
      <c r="E79" s="944" t="str">
        <f>FHD_NUM_P_41</f>
        <v>5.2</v>
      </c>
      <c r="F79" s="2473" t="str">
        <f>FHD_P_41</f>
        <v>за счет их переоценки</v>
      </c>
      <c r="G79" s="2469" t="s">
        <v>558</v>
      </c>
      <c r="H79" s="1374"/>
      <c r="I79" s="955"/>
      <c r="J79" s="687" t="str">
        <f>FHD_NOTE_P_41</f>
        <v/>
      </c>
      <c r="K79" s="941"/>
      <c r="L79" s="2034"/>
      <c r="M79" s="2034"/>
      <c r="R79" s="2034"/>
      <c r="U79" s="942"/>
      <c r="AA79" s="2030"/>
      <c r="AB79" s="2030"/>
      <c r="AC79" s="2030"/>
      <c r="AD79" s="2030"/>
      <c r="AE79" s="2030"/>
      <c r="AF79" s="1558">
        <v>19</v>
      </c>
    </row>
    <row s="24434" customFormat="1" customHeight="1" ht="20.25" hidden="1">
      <c r="A80" s="1387" t="s">
        <v>585</v>
      </c>
      <c r="C80" s="2034"/>
      <c r="D80" s="2036"/>
      <c r="E80" s="944" t="str">
        <f>FHD_NUM_P_42</f>
        <v/>
      </c>
      <c r="F80" s="2471" t="str">
        <f>FHD_P_42</f>
        <v/>
      </c>
      <c r="G80" s="2469" t="s">
        <v>558</v>
      </c>
      <c r="H80" s="1374"/>
      <c r="I80" s="955"/>
      <c r="J80" s="687" t="str">
        <f>FHD_NOTE_P_42</f>
        <v/>
      </c>
      <c r="K80" s="941"/>
      <c r="L80" s="2034"/>
      <c r="M80" s="2034"/>
      <c r="R80" s="2034"/>
      <c r="U80" s="942"/>
      <c r="AA80" s="2030"/>
      <c r="AB80" s="2030"/>
      <c r="AC80" s="2030"/>
      <c r="AD80" s="2030"/>
      <c r="AE80" s="2030"/>
      <c r="AF80" s="1558">
        <v>19</v>
      </c>
    </row>
    <row s="24434"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311</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24434" customFormat="1" customHeight="1" ht="18.75" hidden="1">
      <c r="A82" s="2769" t="s">
        <v>586</v>
      </c>
      <c r="C82" s="1133"/>
      <c r="D82" s="1131"/>
      <c r="E82" s="944" t="str">
        <f>FHD_NUM_P_44</f>
        <v/>
      </c>
      <c r="F82" s="2278" t="str">
        <f>FHD_P_44</f>
        <v/>
      </c>
      <c r="G82" s="2279" t="s">
        <v>587</v>
      </c>
      <c r="H82" s="1375"/>
      <c r="I82" s="975"/>
      <c r="J82" s="687" t="str">
        <f>FHD_NOTE_P_44</f>
        <v/>
      </c>
      <c r="K82" s="1132"/>
      <c r="L82" s="1133"/>
      <c r="M82" s="1133"/>
      <c r="R82" s="1133"/>
      <c r="U82" s="1134"/>
      <c r="AA82" s="1135"/>
      <c r="AB82" s="1135"/>
      <c r="AC82" s="1135"/>
      <c r="AD82" s="1135"/>
      <c r="AE82" s="1135"/>
      <c r="AF82" s="1308">
        <v>0</v>
      </c>
    </row>
    <row s="24434" customFormat="1" customHeight="1" ht="18.75" hidden="1">
      <c r="A83" s="2769"/>
      <c r="C83" s="1133"/>
      <c r="D83" s="1131"/>
      <c r="E83" s="944" t="str">
        <f>FHD_NUM_P_45</f>
        <v/>
      </c>
      <c r="F83" s="2278" t="str">
        <f>FHD_P_45</f>
        <v/>
      </c>
      <c r="G83" s="2279" t="s">
        <v>587</v>
      </c>
      <c r="H83" s="1375"/>
      <c r="I83" s="975"/>
      <c r="J83" s="687" t="str">
        <f>FHD_NOTE_P_45</f>
        <v/>
      </c>
      <c r="K83" s="1132"/>
      <c r="L83" s="1133"/>
      <c r="M83" s="1133"/>
      <c r="R83" s="1133"/>
      <c r="U83" s="1134"/>
      <c r="AA83" s="1135"/>
      <c r="AB83" s="1135"/>
      <c r="AC83" s="1135"/>
      <c r="AD83" s="1135"/>
      <c r="AE83" s="1135"/>
      <c r="AF83" s="1308">
        <v>0</v>
      </c>
    </row>
    <row s="24434" customFormat="1" customHeight="1" ht="18.75" hidden="1">
      <c r="A84" s="2769"/>
      <c r="C84" s="1133"/>
      <c r="D84" s="1136"/>
      <c r="E84" s="944" t="str">
        <f>FHD_NUM_P_46</f>
        <v/>
      </c>
      <c r="F84" s="2278" t="str">
        <f>FHD_P_46</f>
        <v/>
      </c>
      <c r="G84" s="2279" t="s">
        <v>587</v>
      </c>
      <c r="H84" s="1375"/>
      <c r="I84" s="975"/>
      <c r="J84" s="687" t="str">
        <f>FHD_NOTE_P_46</f>
        <v/>
      </c>
      <c r="K84" s="1132"/>
      <c r="L84" s="1133"/>
      <c r="M84" s="1133"/>
      <c r="R84" s="1133"/>
      <c r="U84" s="1134"/>
      <c r="AA84" s="1135"/>
      <c r="AB84" s="1135"/>
      <c r="AC84" s="1135"/>
      <c r="AD84" s="1135"/>
      <c r="AE84" s="1135"/>
      <c r="AF84" s="1308">
        <v>0</v>
      </c>
    </row>
    <row s="24434" customFormat="1" customHeight="1" ht="18.75" hidden="1">
      <c r="A85" s="2769"/>
      <c r="C85" s="1133"/>
      <c r="D85" s="1131"/>
      <c r="E85" s="944" t="str">
        <f>FHD_NUM_P_47</f>
        <v/>
      </c>
      <c r="F85" s="2278" t="str">
        <f>FHD_P_47</f>
        <v/>
      </c>
      <c r="G85" s="2279" t="s">
        <v>587</v>
      </c>
      <c r="H85" s="1375"/>
      <c r="I85" s="975"/>
      <c r="J85" s="687" t="str">
        <f>FHD_NOTE_P_47</f>
        <v/>
      </c>
      <c r="K85" s="1132"/>
      <c r="L85" s="1133"/>
      <c r="M85" s="1133"/>
      <c r="R85" s="1133"/>
      <c r="U85" s="1134"/>
      <c r="AA85" s="1135"/>
      <c r="AB85" s="1135"/>
      <c r="AC85" s="1135"/>
      <c r="AD85" s="1135"/>
      <c r="AE85" s="1135"/>
      <c r="AF85" s="1308">
        <v>0</v>
      </c>
    </row>
    <row s="24354" customFormat="1" customHeight="1" ht="18.75" hidden="1">
      <c r="A86" s="2769"/>
      <c r="B86" s="1308"/>
      <c r="C86" s="1133"/>
      <c r="D86" s="1131"/>
      <c r="E86" s="944" t="str">
        <f>FHD_NUM_P_48</f>
        <v/>
      </c>
      <c r="F86" s="2278" t="str">
        <f>FHD_P_48</f>
        <v/>
      </c>
      <c r="G86" s="2279" t="s">
        <v>587</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24354" customFormat="1" customHeight="1" ht="18.75" hidden="1">
      <c r="A87" s="2769"/>
      <c r="B87" s="1308"/>
      <c r="C87" s="1133"/>
      <c r="D87" s="1131"/>
      <c r="E87" s="944" t="str">
        <f>FHD_NUM_P_49</f>
        <v/>
      </c>
      <c r="F87" s="2278" t="str">
        <f>FHD_P_49</f>
        <v/>
      </c>
      <c r="G87" s="2279" t="s">
        <v>587</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24354" customFormat="1" customHeight="1" ht="18.75" hidden="1">
      <c r="A88" s="2769"/>
      <c r="B88" s="1308"/>
      <c r="C88" s="1133"/>
      <c r="D88" s="1131"/>
      <c r="E88" s="944" t="str">
        <f>FHD_NUM_P_50</f>
        <v/>
      </c>
      <c r="F88" s="2278" t="str">
        <f>FHD_P_50</f>
        <v/>
      </c>
      <c r="G88" s="2279" t="s">
        <v>587</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24354" customFormat="1" customHeight="1" ht="18.75" hidden="1">
      <c r="A89" s="2769"/>
      <c r="B89" s="1308"/>
      <c r="C89" s="1133"/>
      <c r="D89" s="1131"/>
      <c r="E89" s="944" t="str">
        <f>FHD_NUM_P_51</f>
        <v/>
      </c>
      <c r="F89" s="2278" t="str">
        <f>FHD_P_51</f>
        <v/>
      </c>
      <c r="G89" s="2279" t="s">
        <v>587</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24354" customFormat="1" customHeight="1" ht="18.75" hidden="1">
      <c r="A90" s="2769"/>
      <c r="B90" s="1308"/>
      <c r="C90" s="1133"/>
      <c r="D90" s="1131"/>
      <c r="E90" s="944" t="str">
        <f>FHD_NUM_P_52</f>
        <v/>
      </c>
      <c r="F90" s="2278" t="str">
        <f>FHD_P_52</f>
        <v/>
      </c>
      <c r="G90" s="2279" t="s">
        <v>564</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24434" customFormat="1" customHeight="1" ht="18.75" hidden="1">
      <c r="A91" s="2771" t="s">
        <v>588</v>
      </c>
      <c r="C91" s="1133"/>
      <c r="D91" s="1131"/>
      <c r="E91" s="944" t="str">
        <f>FHD_NUM_P_53</f>
        <v/>
      </c>
      <c r="F91" s="2278" t="str">
        <f>FHD_P_53</f>
        <v/>
      </c>
      <c r="G91" s="2279" t="s">
        <v>587</v>
      </c>
      <c r="H91" s="1375"/>
      <c r="I91" s="975"/>
      <c r="J91" s="687" t="str">
        <f>FHD_NOTE_P_53</f>
        <v/>
      </c>
      <c r="K91" s="1132"/>
      <c r="L91" s="1133"/>
      <c r="M91" s="1133"/>
      <c r="R91" s="1133"/>
      <c r="U91" s="1134"/>
      <c r="AA91" s="1135"/>
      <c r="AB91" s="1135"/>
      <c r="AC91" s="1135"/>
      <c r="AD91" s="1135"/>
      <c r="AE91" s="1135"/>
      <c r="AF91" s="1308">
        <v>0</v>
      </c>
    </row>
    <row s="24434" customFormat="1" customHeight="1" ht="18.75" hidden="1">
      <c r="A92" s="2771"/>
      <c r="C92" s="1133"/>
      <c r="D92" s="1131"/>
      <c r="E92" s="944" t="str">
        <f>FHD_NUM_P_54</f>
        <v/>
      </c>
      <c r="F92" s="2278" t="str">
        <f>FHD_P_54</f>
        <v/>
      </c>
      <c r="G92" s="2279" t="s">
        <v>587</v>
      </c>
      <c r="H92" s="1375"/>
      <c r="I92" s="975"/>
      <c r="J92" s="687" t="str">
        <f>FHD_NOTE_P_54</f>
        <v/>
      </c>
      <c r="K92" s="1132"/>
      <c r="L92" s="1133"/>
      <c r="M92" s="1133"/>
      <c r="R92" s="1133"/>
      <c r="U92" s="1134"/>
      <c r="AA92" s="1135"/>
      <c r="AB92" s="1135"/>
      <c r="AC92" s="1135"/>
      <c r="AD92" s="1135"/>
      <c r="AE92" s="1135"/>
      <c r="AF92" s="1308">
        <v>0</v>
      </c>
    </row>
    <row s="24434"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24434" customFormat="1" customHeight="1" ht="18.75" hidden="1">
      <c r="A94" s="2771"/>
      <c r="C94" s="1133"/>
      <c r="D94" s="1131"/>
      <c r="E94" s="944" t="str">
        <f>FHD_NUM_P_56</f>
        <v/>
      </c>
      <c r="F94" s="2278" t="str">
        <f>FHD_P_56</f>
        <v/>
      </c>
      <c r="G94" s="2279" t="s">
        <v>589</v>
      </c>
      <c r="H94" s="1375"/>
      <c r="I94" s="975"/>
      <c r="J94" s="687" t="str">
        <f>FHD_NOTE_P_56</f>
        <v/>
      </c>
      <c r="K94" s="1132"/>
      <c r="L94" s="1133"/>
      <c r="M94" s="1133"/>
      <c r="R94" s="1133"/>
      <c r="U94" s="1134"/>
      <c r="AA94" s="1135"/>
      <c r="AB94" s="1135"/>
      <c r="AC94" s="1135"/>
      <c r="AD94" s="1135"/>
      <c r="AE94" s="1135"/>
      <c r="AF94" s="1308">
        <v>0</v>
      </c>
    </row>
    <row s="24354" customFormat="1" customHeight="1" ht="18.75" hidden="1">
      <c r="A95" s="2771"/>
      <c r="B95" s="1308"/>
      <c r="C95" s="1133"/>
      <c r="D95" s="1131"/>
      <c r="E95" s="944" t="str">
        <f>FHD_NUM_P_57</f>
        <v/>
      </c>
      <c r="F95" s="2278" t="str">
        <f>FHD_P_57</f>
        <v/>
      </c>
      <c r="G95" s="2279" t="s">
        <v>564</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590</v>
      </c>
      <c r="D96" s="2036"/>
      <c r="E96" s="944" t="str">
        <f>FHD_NUM_P_58</f>
        <v/>
      </c>
      <c r="F96" s="2278" t="str">
        <f>FHD_P_58</f>
        <v/>
      </c>
      <c r="G96" s="2279" t="s">
        <v>587</v>
      </c>
      <c r="H96" s="1375"/>
      <c r="I96" s="975"/>
      <c r="J96" s="687" t="str">
        <f>FHD_NOTE_P_58</f>
        <v/>
      </c>
      <c r="K96" s="941"/>
      <c r="AF96" s="2029">
        <v>0</v>
      </c>
    </row>
    <row customHeight="1" ht="18.75" hidden="1">
      <c r="A97" s="2769"/>
      <c r="D97" s="2036"/>
      <c r="E97" s="944" t="str">
        <f>FHD_NUM_P_59</f>
        <v/>
      </c>
      <c r="F97" s="2278" t="str">
        <f>FHD_P_59</f>
        <v/>
      </c>
      <c r="G97" s="2279" t="s">
        <v>587</v>
      </c>
      <c r="H97" s="1375"/>
      <c r="I97" s="975"/>
      <c r="J97" s="687" t="str">
        <f>FHD_NOTE_P_59</f>
        <v/>
      </c>
      <c r="K97" s="941"/>
      <c r="AF97" s="2029">
        <v>0</v>
      </c>
    </row>
    <row customHeight="1" ht="18.75" hidden="1">
      <c r="A98" s="2769"/>
      <c r="D98" s="2036"/>
      <c r="E98" s="944" t="str">
        <f>FHD_NUM_P_60</f>
        <v/>
      </c>
      <c r="F98" s="2278" t="str">
        <f>FHD_P_60</f>
        <v/>
      </c>
      <c r="G98" s="2279" t="s">
        <v>587</v>
      </c>
      <c r="H98" s="1375"/>
      <c r="I98" s="975"/>
      <c r="J98" s="687" t="str">
        <f>FHD_NOTE_P_60</f>
        <v/>
      </c>
      <c r="K98" s="941"/>
      <c r="AF98" s="2029">
        <v>0</v>
      </c>
    </row>
    <row s="24434" customFormat="1" customHeight="1" ht="18.75">
      <c r="A99" s="2769" t="s">
        <v>591</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562</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24435" customFormat="1" customHeight="1" ht="0.75">
      <c r="A100" s="2769"/>
      <c r="D100" s="946"/>
      <c r="E100" s="1411" t="str">
        <f>E99&amp;".0"</f>
        <v>7.0</v>
      </c>
      <c r="F100" s="1392"/>
      <c r="G100" s="1393"/>
      <c r="H100" s="1390"/>
      <c r="I100" s="1390"/>
      <c r="J100" s="1394"/>
      <c r="AF100" s="2034">
        <v>0</v>
      </c>
    </row>
    <row customHeight="1" ht="15">
      <c r="A101" s="2769"/>
      <c r="D101" s="2031"/>
      <c r="E101" s="1369"/>
      <c r="F101" s="1370" t="s">
        <v>592</v>
      </c>
      <c r="G101" s="970"/>
      <c r="H101" s="971"/>
      <c r="I101" s="971"/>
      <c r="J101" s="1402" t="s">
        <v>593</v>
      </c>
      <c r="K101" s="941"/>
      <c r="AF101" s="2029">
        <v>0</v>
      </c>
    </row>
    <row s="24434"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562</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24434"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589</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24434" customFormat="1" customHeight="1" ht="18.75">
      <c r="A104" s="2769"/>
      <c r="C104" s="2034" t="s">
        <v>594</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589</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24434"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589</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24434" customFormat="1" customHeight="1" ht="18.75">
      <c r="A106" s="2769"/>
      <c r="C106" s="2034"/>
      <c r="D106" s="2036"/>
      <c r="E106" s="944" t="str">
        <f>FHD_NUM_P_66</f>
        <v>10.1</v>
      </c>
      <c r="F106" s="1922" t="str">
        <f>FHD_P_66</f>
        <v>По приборам учёта </v>
      </c>
      <c r="G106" s="2275" t="s">
        <v>589</v>
      </c>
      <c r="H106" s="975"/>
      <c r="I106" s="975"/>
      <c r="J106" s="687" t="str">
        <f>FHD_NOTE_P_66</f>
        <v/>
      </c>
      <c r="K106" s="941"/>
      <c r="L106" s="2034"/>
      <c r="M106" s="2034"/>
      <c r="R106" s="2034"/>
      <c r="U106" s="942"/>
      <c r="AA106" s="2030"/>
      <c r="AB106" s="2030"/>
      <c r="AC106" s="2030"/>
      <c r="AD106" s="2030"/>
      <c r="AE106" s="2030"/>
      <c r="AF106" s="1558">
        <v>0</v>
      </c>
    </row>
    <row s="24434"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589</v>
      </c>
      <c r="H107" s="975"/>
      <c r="I107" s="975"/>
      <c r="J107" s="687" t="str">
        <f>FHD_NOTE_P_67</f>
        <v/>
      </c>
      <c r="K107" s="941"/>
      <c r="L107" s="2034"/>
      <c r="M107" s="2034"/>
      <c r="R107" s="2034"/>
      <c r="U107" s="942"/>
      <c r="AA107" s="2030"/>
      <c r="AB107" s="2030"/>
      <c r="AC107" s="2030"/>
      <c r="AD107" s="2030"/>
      <c r="AE107" s="2030"/>
      <c r="AF107" s="1558">
        <v>0</v>
      </c>
    </row>
    <row s="24434" customFormat="1" customHeight="1" ht="18.75">
      <c r="A108" s="2769"/>
      <c r="C108" s="2034"/>
      <c r="D108" s="2036"/>
      <c r="E108" s="944" t="str">
        <f>FHD_NUM_P_68</f>
        <v>10.2</v>
      </c>
      <c r="F108" s="1922" t="str">
        <f>FHD_P_68</f>
        <v>Расчётным путём</v>
      </c>
      <c r="G108" s="2275" t="s">
        <v>589</v>
      </c>
      <c r="H108" s="975"/>
      <c r="I108" s="975"/>
      <c r="J108" s="687" t="str">
        <f>FHD_NOTE_P_68</f>
        <v/>
      </c>
      <c r="K108" s="941"/>
      <c r="L108" s="2034"/>
      <c r="M108" s="2034"/>
      <c r="R108" s="2034"/>
      <c r="U108" s="942"/>
      <c r="AA108" s="2030"/>
      <c r="AB108" s="2030"/>
      <c r="AC108" s="2030"/>
      <c r="AD108" s="2030"/>
      <c r="AE108" s="2030"/>
      <c r="AF108" s="1558">
        <v>0</v>
      </c>
    </row>
    <row s="24434"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589</v>
      </c>
      <c r="H109" s="975"/>
      <c r="I109" s="975"/>
      <c r="J109" s="687" t="str">
        <f>FHD_NOTE_P_69</f>
        <v/>
      </c>
      <c r="K109" s="941"/>
      <c r="L109" s="2034"/>
      <c r="M109" s="2034"/>
      <c r="R109" s="2034"/>
      <c r="U109" s="942"/>
      <c r="AA109" s="2030"/>
      <c r="AB109" s="2030"/>
      <c r="AC109" s="2030"/>
      <c r="AD109" s="2030"/>
      <c r="AE109" s="2030"/>
      <c r="AF109" s="1558">
        <v>0</v>
      </c>
    </row>
    <row s="24434"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595</v>
      </c>
      <c r="H110" s="955"/>
      <c r="I110" s="955"/>
      <c r="J110" s="687" t="str">
        <f>FHD_NOTE_P_70</f>
        <v/>
      </c>
      <c r="K110" s="941"/>
      <c r="L110" s="2034"/>
      <c r="M110" s="2034"/>
      <c r="R110" s="2034"/>
      <c r="U110" s="942"/>
      <c r="AA110" s="2030"/>
      <c r="AB110" s="2030"/>
      <c r="AC110" s="2030"/>
      <c r="AD110" s="2030"/>
      <c r="AE110" s="2030"/>
      <c r="AF110" s="1558">
        <v>0</v>
      </c>
    </row>
    <row s="24434" customFormat="1" customHeight="1" ht="22.5">
      <c r="A111" s="2769"/>
      <c r="C111" s="2034"/>
      <c r="D111" s="2036"/>
      <c r="E111" s="944" t="str">
        <f>FHD_NUM_P_71</f>
        <v>12</v>
      </c>
      <c r="F111" s="2278" t="str">
        <f>FHD_P_71</f>
        <v>Фактический объем потерь при передаче тепловой энергии</v>
      </c>
      <c r="G111" s="2275" t="s">
        <v>595</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596</v>
      </c>
      <c r="H112" s="975"/>
      <c r="I112" s="975"/>
      <c r="J112" s="687" t="str">
        <f>FHD_NOTE_P_72</f>
        <v/>
      </c>
      <c r="K112" s="941"/>
      <c r="AF112" s="2029">
        <v>19</v>
      </c>
    </row>
    <row customHeight="1" ht="18.75">
      <c r="A113" s="1387" t="s">
        <v>597</v>
      </c>
      <c r="D113" s="2036"/>
      <c r="E113" s="944" t="str">
        <f>FHD_NUM_P_73</f>
        <v>14</v>
      </c>
      <c r="F113" s="2278" t="str">
        <f>FHD_P_73</f>
        <v>Среднесписочная численность административно-управленческого персонала</v>
      </c>
      <c r="G113" s="1368" t="s">
        <v>596</v>
      </c>
      <c r="H113" s="1366"/>
      <c r="I113" s="1366"/>
      <c r="J113" s="687" t="str">
        <f>FHD_NOTE_P_73</f>
        <v/>
      </c>
      <c r="K113" s="941"/>
      <c r="AF113" s="2029">
        <v>0</v>
      </c>
    </row>
    <row customHeight="1" ht="33.75" hidden="1">
      <c r="A114" s="1387" t="s">
        <v>598</v>
      </c>
      <c r="D114" s="2036"/>
      <c r="E114" s="944" t="str">
        <f>FHD_NUM_P_74</f>
        <v/>
      </c>
      <c r="F114" s="2278" t="str">
        <f>FHD_P_74</f>
        <v/>
      </c>
      <c r="G114" s="2274" t="s">
        <v>599</v>
      </c>
      <c r="H114" s="975"/>
      <c r="I114" s="975"/>
      <c r="J114" s="687" t="str">
        <f>FHD_NOTE_P_74</f>
        <v/>
      </c>
      <c r="K114" s="941"/>
      <c r="AF114" s="2029">
        <v>0</v>
      </c>
    </row>
    <row s="24354" customFormat="1" customHeight="1" ht="18.75" hidden="1">
      <c r="A115" s="2771" t="s">
        <v>600</v>
      </c>
      <c r="B115" s="1308"/>
      <c r="C115" s="1133"/>
      <c r="D115" s="1131"/>
      <c r="E115" s="944" t="str">
        <f>FHD_NUM_P_75</f>
        <v/>
      </c>
      <c r="F115" s="2278" t="str">
        <f>FHD_P_75</f>
        <v/>
      </c>
      <c r="G115" s="2274" t="s">
        <v>564</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24354" customFormat="1" customHeight="1" ht="18.75" hidden="1">
      <c r="A116" s="2771"/>
      <c r="B116" s="1308"/>
      <c r="C116" s="1133"/>
      <c r="D116" s="1131"/>
      <c r="E116" s="944" t="str">
        <f>FHD_NUM_P_76</f>
        <v/>
      </c>
      <c r="F116" s="2278" t="str">
        <f>FHD_P_76</f>
        <v/>
      </c>
      <c r="G116" s="2274" t="s">
        <v>564</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24354" customFormat="1" customHeight="1" ht="18.75" hidden="1">
      <c r="A117" s="2771"/>
      <c r="B117" s="1308"/>
      <c r="C117" s="1133"/>
      <c r="D117" s="1131"/>
      <c r="E117" s="944" t="str">
        <f>FHD_NUM_P_77</f>
        <v/>
      </c>
      <c r="F117" s="2278" t="str">
        <f>FHD_P_77</f>
        <v/>
      </c>
      <c r="G117" s="2274" t="s">
        <v>564</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24435" customFormat="1" customHeight="1" ht="0.75" hidden="1">
      <c r="A118" s="2771"/>
      <c r="D118" s="946"/>
      <c r="E118" s="1411" t="str">
        <f>E117&amp;".0"</f>
        <v>.0</v>
      </c>
      <c r="F118" s="1395"/>
      <c r="G118" s="2049"/>
      <c r="H118" s="1390"/>
      <c r="I118" s="1390"/>
      <c r="J118" s="1394"/>
      <c r="AF118" s="2034">
        <v>0</v>
      </c>
    </row>
    <row s="24354" customFormat="1" customHeight="1" ht="15" hidden="1">
      <c r="A119" s="2771"/>
      <c r="B119" s="1308"/>
      <c r="C119" s="1133"/>
      <c r="D119" s="1144"/>
      <c r="E119" s="1371"/>
      <c r="F119" s="1372" t="s">
        <v>601</v>
      </c>
      <c r="G119" s="1145"/>
      <c r="H119" s="1146"/>
      <c r="I119" s="1146"/>
      <c r="J119" s="1401" t="s">
        <v>602</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603</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566</v>
      </c>
      <c r="H120" s="975"/>
      <c r="I120" s="975"/>
      <c r="J120" s="687" t="str">
        <f>FHD_NOTE_P_78</f>
        <v/>
      </c>
      <c r="K120" s="941"/>
      <c r="AF120" s="2029">
        <v>0</v>
      </c>
    </row>
    <row s="24435" customFormat="1" customHeight="1" ht="0.75">
      <c r="A121" s="2769"/>
      <c r="D121" s="946"/>
      <c r="E121" s="1411" t="str">
        <f>E120&amp;".0"</f>
        <v>15.0</v>
      </c>
      <c r="F121" s="1395"/>
      <c r="G121" s="2049"/>
      <c r="H121" s="1390"/>
      <c r="I121" s="1390"/>
      <c r="J121" s="1394"/>
      <c r="AF121" s="2034">
        <v>0</v>
      </c>
    </row>
    <row customHeight="1" ht="15">
      <c r="A122" s="2769"/>
      <c r="D122" s="2031"/>
      <c r="E122" s="968"/>
      <c r="F122" s="1566" t="s">
        <v>592</v>
      </c>
      <c r="G122" s="970"/>
      <c r="H122" s="971"/>
      <c r="I122" s="971"/>
      <c r="J122" s="1402" t="s">
        <v>604</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568</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24435" customFormat="1" customHeight="1" ht="0.75">
      <c r="A124" s="2769"/>
      <c r="D124" s="946"/>
      <c r="E124" s="1411" t="str">
        <f>E123&amp;".0"</f>
        <v>16.0</v>
      </c>
      <c r="F124" s="1396"/>
      <c r="G124" s="2049"/>
      <c r="H124" s="1390"/>
      <c r="I124" s="1390"/>
      <c r="J124" s="1394"/>
      <c r="AF124" s="2034">
        <v>0</v>
      </c>
    </row>
    <row customHeight="1" ht="15">
      <c r="A125" s="2769"/>
      <c r="D125" s="2031"/>
      <c r="E125" s="968"/>
      <c r="F125" s="1566" t="s">
        <v>592</v>
      </c>
      <c r="G125" s="970"/>
      <c r="H125" s="971"/>
      <c r="I125" s="971"/>
      <c r="J125" s="1402" t="s">
        <v>605</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606</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607</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594</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311</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594</v>
      </c>
      <c r="D129" s="2036"/>
      <c r="E129" s="944" t="str">
        <f>FHD_NUM_P_83</f>
        <v>19.1</v>
      </c>
      <c r="F129" s="1922" t="str">
        <f>FHD_P_83</f>
        <v>Информация о показателях физического износа объектов теплоснабжения</v>
      </c>
      <c r="G129" s="2276" t="s">
        <v>311</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594</v>
      </c>
      <c r="D130" s="2036"/>
      <c r="E130" s="944" t="str">
        <f>FHD_NUM_P_84</f>
        <v>19.2</v>
      </c>
      <c r="F130" s="1922" t="str">
        <f>FHD_P_84</f>
        <v>Информация о показателях энергетической эффективности объектов теплоснабжения</v>
      </c>
      <c r="G130" s="2276" t="s">
        <v>311</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25006"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50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50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5006"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50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50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50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50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50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50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50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50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50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50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50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50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50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50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50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50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50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50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50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50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50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50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50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50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50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50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50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50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50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50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50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50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50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50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50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50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50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50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50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50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50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50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50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50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50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50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50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50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50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50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50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50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50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50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50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50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50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50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50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5006"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5006"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5006"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5006"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5006"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5006"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5006"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25006"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25006"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25006"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25006"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25006"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25006"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25006"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25006"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25006"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25006"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25006"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25006"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25006"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25006"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25006"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25006"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25006"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25006"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25006"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25006"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25006"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25006"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25006"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25006"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25006"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25006"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25006"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25006"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25006"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25006"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25006"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25006"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25006"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25006"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25006"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25006"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25006"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25006"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25006"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25006"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25006"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25006"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25006"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25006"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25006"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25006"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25006"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25006"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25006"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25006"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25006"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25006"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25006"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25006"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25006"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25006"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25006"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25006"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25006"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25006"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25006"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25006"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25006"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25006"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25006"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25006"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25006"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25006"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25006"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25006"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25006"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25006"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25006"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25006"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25006"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25006"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25006"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25006"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25006"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25006"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25006"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25006"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25006"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25006"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25006"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25006"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83</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10F74-18A4-353A-A15D-1CD6AE84604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683" width="14.7109375" hidden="1" customWidth="1"/>
    <col min="2" max="2" style="24318" width="17.00390625" hidden="1" customWidth="1"/>
    <col min="3" max="3" style="24354" width="3.00390625" customWidth="1"/>
    <col min="4" max="4" style="24354" width="1.8515625" hidden="1" customWidth="1"/>
    <col min="5" max="6" style="24354" width="7.00390625" customWidth="1"/>
    <col min="7" max="7" style="24354" width="29.00390625" customWidth="1"/>
    <col min="8" max="8" style="24354" width="3.7109375" customWidth="1"/>
    <col min="9" max="9" style="24354" width="5.00390625" customWidth="1"/>
    <col min="10" max="11" style="24354" width="24.00390625" customWidth="1"/>
    <col min="12" max="12" style="24354" width="3.00390625" customWidth="1"/>
    <col min="13" max="13" style="24354" width="6.00390625" customWidth="1"/>
    <col min="14" max="14" style="24354" width="25.00390625" customWidth="1"/>
    <col min="15" max="18" style="24354" width="18.00390625" customWidth="1"/>
    <col min="19" max="19" style="24354" width="93.00390625" customWidth="1"/>
    <col min="20" max="20" style="24354" width="10.00390625" customWidth="1"/>
    <col min="21" max="21" style="24435" width="10.00390625" customWidth="1"/>
    <col min="22" max="22" style="24435" width="11.00390625" customWidth="1"/>
    <col min="23" max="27" style="24318" width="10.00390625" customWidth="1"/>
    <col min="28" max="83" style="24354" width="8.00390625" customWidth="1"/>
    <col min="84" max="84" style="24354"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4354" customFormat="1" customHeight="1" ht="16.8">
      <c r="A6" s="1008"/>
      <c r="B6" s="1157"/>
      <c r="C6" s="907"/>
      <c r="D6" s="1456"/>
      <c r="E6" s="2574" t="str">
        <f>IF(org=0,"Не определено",org)</f>
        <v>ООО "Новая Энергетика"</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5006"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305</v>
      </c>
      <c r="F9" s="2500"/>
      <c r="G9" s="2500"/>
      <c r="H9" s="2500"/>
      <c r="I9" s="2500"/>
      <c r="J9" s="2500"/>
      <c r="K9" s="2500"/>
      <c r="L9" s="2500"/>
      <c r="M9" s="2500"/>
      <c r="N9" s="2500"/>
      <c r="O9" s="2500"/>
      <c r="P9" s="2500"/>
      <c r="Q9" s="2500"/>
      <c r="R9" s="2501"/>
      <c r="S9" s="2525" t="s">
        <v>306</v>
      </c>
      <c r="T9" s="732"/>
      <c r="CF9" s="903">
        <v>19</v>
      </c>
    </row>
    <row customHeight="1" ht="48.29999999999999">
      <c r="D10" s="949" t="s">
        <v>89</v>
      </c>
      <c r="E10" s="2525" t="s">
        <v>89</v>
      </c>
      <c r="F10" s="2525"/>
      <c r="G10" s="919" t="s">
        <v>307</v>
      </c>
      <c r="H10" s="2525" t="s">
        <v>89</v>
      </c>
      <c r="I10" s="2525"/>
      <c r="J10" s="919" t="s">
        <v>608</v>
      </c>
      <c r="K10" s="919" t="s">
        <v>609</v>
      </c>
      <c r="L10" s="2525" t="s">
        <v>89</v>
      </c>
      <c r="M10" s="2525"/>
      <c r="N10" s="919" t="s">
        <v>610</v>
      </c>
      <c r="O10" s="919" t="s">
        <v>611</v>
      </c>
      <c r="P10" s="919" t="s">
        <v>612</v>
      </c>
      <c r="Q10" s="919" t="s">
        <v>613</v>
      </c>
      <c r="R10" s="919" t="s">
        <v>614</v>
      </c>
      <c r="S10" s="2525"/>
      <c r="T10" s="732"/>
      <c r="CF10" s="903">
        <v>46</v>
      </c>
    </row>
    <row s="24435" customFormat="1" customHeight="1" ht="15" hidden="1">
      <c r="A11" s="1450"/>
      <c r="D11" s="1423" t="s">
        <v>110</v>
      </c>
      <c r="E11" s="1423"/>
      <c r="F11" s="1423" t="s">
        <v>111</v>
      </c>
      <c r="G11" s="1423" t="s">
        <v>91</v>
      </c>
      <c r="H11" s="1423"/>
      <c r="I11" s="1423" t="s">
        <v>92</v>
      </c>
      <c r="J11" s="1423" t="s">
        <v>112</v>
      </c>
      <c r="K11" s="1423" t="s">
        <v>93</v>
      </c>
      <c r="L11" s="1423"/>
      <c r="M11" s="1423" t="s">
        <v>94</v>
      </c>
      <c r="N11" s="1423" t="s">
        <v>113</v>
      </c>
      <c r="O11" s="1423" t="s">
        <v>149</v>
      </c>
      <c r="P11" s="1423" t="s">
        <v>150</v>
      </c>
      <c r="Q11" s="1423" t="s">
        <v>151</v>
      </c>
      <c r="R11" s="1423" t="s">
        <v>152</v>
      </c>
      <c r="S11" s="1423" t="s">
        <v>153</v>
      </c>
      <c r="U11" s="1009"/>
      <c r="V11" s="1009"/>
      <c r="W11" s="1009"/>
      <c r="CF11" s="909">
        <v>0</v>
      </c>
    </row>
    <row s="24354" customFormat="1" customHeight="1" ht="1.05">
      <c r="A12" s="1013"/>
      <c r="B12" s="760"/>
      <c r="D12" s="946"/>
      <c r="E12" s="744"/>
      <c r="F12" s="744"/>
      <c r="Q12" s="1014"/>
      <c r="R12" s="1015"/>
      <c r="T12" s="1016"/>
      <c r="U12" s="1017"/>
      <c r="V12" s="1017"/>
      <c r="W12" s="1018"/>
      <c r="X12" s="760"/>
      <c r="Y12" s="760"/>
      <c r="Z12" s="760"/>
      <c r="AA12" s="760"/>
      <c r="CF12" s="907">
        <v>1</v>
      </c>
    </row>
    <row s="25006" customFormat="1" customHeight="1" ht="1.05">
      <c r="A13" s="1019"/>
      <c r="B13" s="964"/>
      <c r="D13" s="946" t="s">
        <v>381</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4495" customFormat="1" customHeight="1" ht="15" hidden="1">
      <c r="A14" s="1021" t="s">
        <v>118</v>
      </c>
      <c r="B14" s="1022"/>
      <c r="C14" s="1022"/>
      <c r="D14" s="2778" t="s">
        <v>110</v>
      </c>
      <c r="E14" s="2775" t="s">
        <v>106</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28</v>
      </c>
      <c r="AF14" s="1028"/>
      <c r="AG14" s="1029" t="s">
        <v>615</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4495" customFormat="1" customHeight="1" ht="15" hidden="1">
      <c r="A15" s="1021"/>
      <c r="B15" s="1022"/>
      <c r="C15" s="1022"/>
      <c r="D15" s="2779"/>
      <c r="E15" s="2775" t="s">
        <v>570</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4495" customFormat="1" customHeight="1" ht="15" hidden="1">
      <c r="A16" s="1021"/>
      <c r="B16" s="1022"/>
      <c r="C16" s="1022"/>
      <c r="D16" s="2779"/>
      <c r="E16" s="2775" t="s">
        <v>571</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4495" customFormat="1" customHeight="1" ht="22.5" hidden="1">
      <c r="A17" s="1031"/>
      <c r="B17" s="815"/>
      <c r="C17" s="810"/>
      <c r="D17" s="2779"/>
      <c r="E17" s="2774" t="s">
        <v>616</v>
      </c>
      <c r="F17" s="2774"/>
      <c r="G17" s="2774"/>
      <c r="H17" s="2774"/>
      <c r="I17" s="2774"/>
      <c r="J17" s="2774"/>
      <c r="K17" s="2774"/>
      <c r="L17" s="2774"/>
      <c r="M17" s="2774"/>
      <c r="N17" s="2774"/>
      <c r="O17" s="2774"/>
      <c r="P17" s="2774"/>
      <c r="Q17" s="956">
        <f>SUMIF(T18:T19,"i",Q18:Q19)</f>
        <v>0</v>
      </c>
      <c r="R17" s="1415"/>
      <c r="S17" s="1295" t="s">
        <v>617</v>
      </c>
      <c r="T17" s="1115" t="s">
        <v>618</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4495"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4495" customFormat="1" customHeight="1" ht="11.25" hidden="1">
      <c r="A19" s="1031"/>
      <c r="B19" s="815"/>
      <c r="C19" s="810"/>
      <c r="D19" s="2779"/>
      <c r="E19" s="1047" t="s">
        <v>28</v>
      </c>
      <c r="F19" s="1048" t="s">
        <v>28</v>
      </c>
      <c r="G19" s="1048" t="s">
        <v>28</v>
      </c>
      <c r="H19" s="1049" t="s">
        <v>28</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4495" customFormat="1" customHeight="1" ht="22.5" hidden="1">
      <c r="A20" s="1031"/>
      <c r="B20" s="815"/>
      <c r="C20" s="810"/>
      <c r="D20" s="2779"/>
      <c r="E20" s="2774" t="s">
        <v>619</v>
      </c>
      <c r="F20" s="2774"/>
      <c r="G20" s="2774"/>
      <c r="H20" s="2774"/>
      <c r="I20" s="2774"/>
      <c r="J20" s="2774"/>
      <c r="K20" s="2774"/>
      <c r="L20" s="2774"/>
      <c r="M20" s="2774"/>
      <c r="N20" s="2774"/>
      <c r="O20" s="2774"/>
      <c r="P20" s="2774"/>
      <c r="Q20" s="956">
        <f>SUMIF(T21:T22,"i",Q21:Q22)</f>
        <v>0</v>
      </c>
      <c r="R20" s="1415"/>
      <c r="S20" s="1107" t="s">
        <v>620</v>
      </c>
      <c r="T20" s="1115" t="s">
        <v>618</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4495"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4495" customFormat="1" customHeight="1" ht="11.25" hidden="1">
      <c r="A22" s="1031"/>
      <c r="B22" s="815"/>
      <c r="C22" s="810"/>
      <c r="D22" s="2780"/>
      <c r="E22" s="1047" t="s">
        <v>28</v>
      </c>
      <c r="F22" s="1048" t="s">
        <v>28</v>
      </c>
      <c r="G22" s="1048" t="s">
        <v>28</v>
      </c>
      <c r="H22" s="1049" t="s">
        <v>28</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83</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B9758-077B-473F-4898-CF320B4A3B7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6615" width="10.7109375" hidden="1" customWidth="1"/>
    <col min="6" max="6" style="24434" width="16.8515625" hidden="1" customWidth="1"/>
    <col min="7" max="7" style="24435" width="5.57421875" hidden="1" customWidth="1"/>
    <col min="8" max="8" style="24354" width="3.00390625" customWidth="1"/>
    <col min="9" max="9" style="24354" width="7.00390625" customWidth="1"/>
    <col min="10" max="10" style="24354" width="56.00390625" customWidth="1"/>
    <col min="11" max="11" style="24354" width="10.00390625" customWidth="1"/>
    <col min="12" max="12" style="24354" width="40.57421875" hidden="1" customWidth="1"/>
    <col min="13" max="13" style="24354" width="40.7109375" customWidth="1"/>
    <col min="14" max="14" style="24434" width="9.7109375" hidden="1" customWidth="1"/>
    <col min="15" max="15" style="24354" width="102.00390625" customWidth="1"/>
    <col min="16" max="16" style="24434" width="9.00390625" customWidth="1"/>
    <col min="17" max="17" style="24435" width="5.00390625" customWidth="1"/>
    <col min="18" max="18" style="24435" width="3.00390625" customWidth="1"/>
    <col min="19" max="22" style="24434" width="3.00390625" customWidth="1"/>
    <col min="23" max="23" style="24435" width="10.00390625" customWidth="1"/>
    <col min="24" max="24" style="24434" width="34.00390625" customWidth="1"/>
    <col min="25" max="25" style="24434" width="9.00390625" customWidth="1"/>
    <col min="26" max="26" style="26616" width="8.00390625" customWidth="1"/>
    <col min="27" max="31" style="24434" width="8.00390625" customWidth="1"/>
    <col min="32" max="36" style="24318" width="8.00390625" customWidth="1"/>
    <col min="37" max="37" style="24354" width="5.421875" hidden="1" customWidth="1"/>
  </cols>
  <sheetData>
    <row s="24434" customFormat="1" customHeight="1" ht="33.75" hidden="1">
      <c r="A1" s="1385"/>
      <c r="B1" s="1385"/>
      <c r="C1" s="1385"/>
      <c r="D1" s="1385"/>
      <c r="E1" s="1385"/>
      <c r="G1" s="2034"/>
      <c r="H1" s="1276"/>
      <c r="L1" s="1764">
        <v>4</v>
      </c>
      <c r="M1" s="1764">
        <v>4</v>
      </c>
      <c r="Q1" s="2034"/>
      <c r="R1" s="2034"/>
      <c r="W1" s="2034"/>
      <c r="AK1" s="1764" t="s">
        <v>14</v>
      </c>
    </row>
    <row s="24434" customFormat="1" customHeight="1" ht="78.75" hidden="1">
      <c r="A2" s="1385"/>
      <c r="B2" s="2451" t="s">
        <v>621</v>
      </c>
      <c r="C2" s="2451" t="s">
        <v>622</v>
      </c>
      <c r="D2" s="2450" t="s">
        <v>623</v>
      </c>
      <c r="E2" s="2454">
        <f>RIGHT(I2,LEN(I2)-SEARCH("#",SUBSTITUTE(I2,".","#",LEN(I2)-LEN(SUBSTITUTE(I2,".","")))))</f>
      </c>
      <c r="F2" s="2456">
        <f>J2</f>
        <v>0</v>
      </c>
      <c r="G2" s="2034"/>
      <c r="H2" s="2457"/>
      <c r="I2" s="2447"/>
      <c r="J2" s="938"/>
      <c r="K2" s="2417" t="s">
        <v>562</v>
      </c>
      <c r="L2" s="1149"/>
      <c r="M2" s="1149"/>
      <c r="N2" s="941"/>
      <c r="O2" s="1923" t="s">
        <v>563</v>
      </c>
      <c r="P2" s="941"/>
      <c r="Q2" s="2034"/>
      <c r="R2" s="2034"/>
      <c r="W2" s="2034"/>
      <c r="Z2" s="942"/>
      <c r="AF2" s="2030"/>
      <c r="AG2" s="2030"/>
      <c r="AH2" s="2030"/>
      <c r="AI2" s="2030"/>
      <c r="AJ2" s="2030"/>
      <c r="AK2" s="1764">
        <v>0</v>
      </c>
    </row>
    <row customHeight="1" ht="11.25" hidden="1">
      <c r="E3" s="2449" t="s">
        <v>624</v>
      </c>
      <c r="L3" s="2029">
        <f>0</f>
        <v>0</v>
      </c>
      <c r="M3" s="2029">
        <v>1</v>
      </c>
      <c r="AK3" s="2029">
        <v>0</v>
      </c>
    </row>
    <row s="24318"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625</v>
      </c>
      <c r="J6" s="2705"/>
      <c r="K6" s="2705"/>
      <c r="L6" s="2705"/>
      <c r="M6" s="2705"/>
      <c r="O6" s="954"/>
      <c r="AK6" s="2029">
        <v>55</v>
      </c>
    </row>
    <row customHeight="1" ht="25.2">
      <c r="I7" s="2647" t="str">
        <f>IF(org=0,"Не определено",org)</f>
        <v>ООО "Новая Энергетика"</v>
      </c>
      <c r="J7" s="2647"/>
      <c r="K7" s="2647"/>
      <c r="L7" s="2647"/>
      <c r="M7" s="2647"/>
      <c r="AK7" s="2029">
        <v>24</v>
      </c>
    </row>
    <row customHeight="1" ht="11.549999999999999">
      <c r="I8" s="1533"/>
      <c r="J8" s="1533"/>
      <c r="K8" s="1533"/>
      <c r="L8" s="1533"/>
      <c r="M8" s="1533"/>
      <c r="AK8" s="2029">
        <v>11</v>
      </c>
    </row>
    <row s="24435" customFormat="1" customHeight="1" ht="30" hidden="1">
      <c r="A9" s="1565"/>
      <c r="B9" s="1565"/>
      <c r="C9" s="1565"/>
      <c r="E9" s="1565"/>
      <c r="H9" s="2040"/>
      <c r="L9" s="1287"/>
      <c r="M9" s="1287" t="s">
        <v>118</v>
      </c>
      <c r="AK9" s="2034">
        <v>1</v>
      </c>
    </row>
    <row customHeight="1" ht="11.549999999999999">
      <c r="E10" s="2448" t="s">
        <v>626</v>
      </c>
      <c r="I10" s="1109"/>
      <c r="J10" s="2765" t="s">
        <v>106</v>
      </c>
      <c r="K10" s="2766"/>
      <c r="L10" s="2427" t="str">
        <f>IF(L9="","",INDEX(DIFFERENTIATION_UNMERGE_VD,MATCH(L9,DIFFERENTIATION_ID_DIFF,0)))</f>
        <v/>
      </c>
      <c r="M10" s="2427">
        <f>IF(M9="","",INDEX(DIFFERENTIATION_UNMERGE_VD,MATCH(M9,DIFFERENTIATION_ID_DIFF,0)))</f>
        <v>0</v>
      </c>
      <c r="O10" s="2525" t="s">
        <v>306</v>
      </c>
      <c r="AK10" s="2029">
        <v>11</v>
      </c>
    </row>
    <row customHeight="1" ht="11.549999999999999">
      <c r="E11" s="2448" t="s">
        <v>627</v>
      </c>
      <c r="I11" s="1109"/>
      <c r="J11" s="2765" t="s">
        <v>570</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628</v>
      </c>
      <c r="I12" s="2060"/>
      <c r="J12" s="2765" t="s">
        <v>571</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629</v>
      </c>
      <c r="F13" s="2448" t="s">
        <v>630</v>
      </c>
      <c r="I13" s="2767" t="s">
        <v>305</v>
      </c>
      <c r="J13" s="2768"/>
      <c r="K13" s="2768"/>
      <c r="L13" s="2425"/>
      <c r="M13" s="2465"/>
      <c r="O13" s="2525"/>
      <c r="AK13" s="2029">
        <v>11</v>
      </c>
    </row>
    <row customHeight="1" ht="24">
      <c r="I14" s="2418" t="s">
        <v>89</v>
      </c>
      <c r="J14" s="2418" t="s">
        <v>307</v>
      </c>
      <c r="K14" s="2418" t="s">
        <v>572</v>
      </c>
      <c r="L14" s="2458" t="s">
        <v>308</v>
      </c>
      <c r="M14" s="2459" t="s">
        <v>308</v>
      </c>
      <c r="O14" s="2525"/>
      <c r="AK14" s="2029">
        <v>23</v>
      </c>
    </row>
    <row customHeight="1" ht="24">
      <c r="A15" s="2452"/>
      <c r="B15" s="2451" t="s">
        <v>631</v>
      </c>
      <c r="C15" s="2451" t="s">
        <v>632</v>
      </c>
      <c r="D15" s="2450" t="s">
        <v>633</v>
      </c>
      <c r="E15" s="2454" t="s">
        <v>634</v>
      </c>
      <c r="F15" s="2454" t="s">
        <v>634</v>
      </c>
      <c r="G15" s="2034" t="s">
        <v>594</v>
      </c>
      <c r="H15" s="2419"/>
      <c r="I15" s="2028">
        <v>1</v>
      </c>
      <c r="J15" s="2420" t="s">
        <v>635</v>
      </c>
      <c r="K15" s="2418" t="s">
        <v>311</v>
      </c>
      <c r="L15" s="1060"/>
      <c r="M15" s="1216"/>
      <c r="N15" s="941" t="s">
        <v>636</v>
      </c>
      <c r="O15" s="1923" t="s">
        <v>637</v>
      </c>
      <c r="P15" s="941" t="s">
        <v>636</v>
      </c>
      <c r="AK15" s="2029">
        <v>23</v>
      </c>
    </row>
    <row customHeight="1" ht="35.699999999999996">
      <c r="A16" s="2452"/>
      <c r="B16" s="2451" t="s">
        <v>638</v>
      </c>
      <c r="C16" s="2451" t="s">
        <v>639</v>
      </c>
      <c r="D16" s="2450" t="s">
        <v>623</v>
      </c>
      <c r="E16" s="2454" t="s">
        <v>634</v>
      </c>
      <c r="F16" s="2454" t="s">
        <v>634</v>
      </c>
      <c r="H16" s="2419"/>
      <c r="I16" s="2027">
        <v>2</v>
      </c>
      <c r="J16" s="2461" t="s">
        <v>640</v>
      </c>
      <c r="K16" s="2460" t="s">
        <v>562</v>
      </c>
      <c r="L16" s="2466"/>
      <c r="M16" s="2074"/>
      <c r="N16" s="941" t="s">
        <v>636</v>
      </c>
      <c r="O16" s="1923" t="s">
        <v>641</v>
      </c>
      <c r="P16" s="941" t="s">
        <v>636</v>
      </c>
      <c r="AK16" s="2029">
        <v>34</v>
      </c>
    </row>
    <row s="24435" customFormat="1" customHeight="1" ht="17.25" hidden="1">
      <c r="A17" s="1565"/>
      <c r="B17" s="1565"/>
      <c r="C17" s="1565"/>
      <c r="D17" s="1565"/>
      <c r="E17" s="1565"/>
      <c r="H17" s="1722"/>
      <c r="I17" s="1411" t="s">
        <v>642</v>
      </c>
      <c r="J17" s="1389"/>
      <c r="K17" s="1411"/>
      <c r="L17" s="1390"/>
      <c r="M17" s="1390"/>
      <c r="O17" s="1783"/>
      <c r="AK17" s="2034">
        <v>1</v>
      </c>
    </row>
    <row s="24434" customFormat="1" customHeight="1" ht="24">
      <c r="A18" s="1385"/>
      <c r="B18" s="1385"/>
      <c r="C18" s="1385"/>
      <c r="D18" s="1385"/>
      <c r="E18" s="1385"/>
      <c r="G18" s="2034"/>
      <c r="H18" s="2031"/>
      <c r="I18" s="968"/>
      <c r="J18" s="969" t="s">
        <v>592</v>
      </c>
      <c r="K18" s="970"/>
      <c r="L18" s="2468"/>
      <c r="M18" s="971"/>
      <c r="N18" s="941"/>
      <c r="O18" s="1923" t="s">
        <v>593</v>
      </c>
      <c r="P18" s="941"/>
      <c r="Q18" s="2034"/>
      <c r="R18" s="2034"/>
      <c r="W18" s="2034"/>
      <c r="Z18" s="942"/>
      <c r="AF18" s="2030"/>
      <c r="AG18" s="2030"/>
      <c r="AH18" s="2030"/>
      <c r="AI18" s="2030"/>
      <c r="AJ18" s="2030"/>
      <c r="AK18" s="1764">
        <v>23</v>
      </c>
    </row>
    <row customHeight="1" ht="19.95">
      <c r="A19" s="2452"/>
      <c r="B19" s="2451" t="s">
        <v>643</v>
      </c>
      <c r="C19" s="2451" t="s">
        <v>644</v>
      </c>
      <c r="D19" s="2450" t="s">
        <v>623</v>
      </c>
      <c r="E19" s="2454" t="s">
        <v>634</v>
      </c>
      <c r="F19" s="2454" t="s">
        <v>634</v>
      </c>
      <c r="H19" s="2419"/>
      <c r="I19" s="2062">
        <v>3</v>
      </c>
      <c r="J19" s="2420" t="s">
        <v>644</v>
      </c>
      <c r="K19" s="2416" t="s">
        <v>562</v>
      </c>
      <c r="L19" s="1125"/>
      <c r="M19" s="955"/>
      <c r="N19" s="941"/>
      <c r="O19" s="1923" t="s">
        <v>645</v>
      </c>
      <c r="P19" s="941"/>
      <c r="AK19" s="2029">
        <v>19</v>
      </c>
    </row>
    <row customHeight="1" ht="77.7">
      <c r="A20" s="2452"/>
      <c r="B20" s="2451" t="s">
        <v>646</v>
      </c>
      <c r="C20" s="2451" t="s">
        <v>647</v>
      </c>
      <c r="D20" s="2450" t="s">
        <v>623</v>
      </c>
      <c r="E20" s="2454" t="s">
        <v>634</v>
      </c>
      <c r="F20" s="2454" t="s">
        <v>634</v>
      </c>
      <c r="H20" s="2419"/>
      <c r="I20" s="2062">
        <v>4</v>
      </c>
      <c r="J20" s="2420" t="s">
        <v>648</v>
      </c>
      <c r="K20" s="2416" t="s">
        <v>589</v>
      </c>
      <c r="L20" s="1125"/>
      <c r="M20" s="955"/>
      <c r="N20" s="941"/>
      <c r="O20" s="1923"/>
      <c r="P20" s="941"/>
      <c r="AK20" s="2029">
        <v>74</v>
      </c>
    </row>
    <row customHeight="1" ht="35.699999999999996">
      <c r="A21" s="2452"/>
      <c r="B21" s="2451" t="s">
        <v>649</v>
      </c>
      <c r="C21" s="2451" t="s">
        <v>650</v>
      </c>
      <c r="D21" s="2450" t="s">
        <v>623</v>
      </c>
      <c r="E21" s="2454" t="s">
        <v>634</v>
      </c>
      <c r="F21" s="2454" t="s">
        <v>634</v>
      </c>
      <c r="H21" s="2419"/>
      <c r="I21" s="2062">
        <v>5</v>
      </c>
      <c r="J21" s="2420" t="s">
        <v>651</v>
      </c>
      <c r="K21" s="2416" t="s">
        <v>589</v>
      </c>
      <c r="L21" s="1125"/>
      <c r="M21" s="955"/>
      <c r="N21" s="941"/>
      <c r="O21" s="1923" t="s">
        <v>645</v>
      </c>
      <c r="P21" s="941"/>
      <c r="AK21" s="2029">
        <v>34</v>
      </c>
    </row>
    <row customHeight="1" ht="48.29999999999999">
      <c r="A22" s="2452"/>
      <c r="B22" s="2451" t="s">
        <v>652</v>
      </c>
      <c r="C22" s="2451" t="s">
        <v>653</v>
      </c>
      <c r="D22" s="2450" t="s">
        <v>623</v>
      </c>
      <c r="E22" s="2454" t="s">
        <v>634</v>
      </c>
      <c r="F22" s="2454" t="s">
        <v>634</v>
      </c>
      <c r="H22" s="2419"/>
      <c r="I22" s="2062">
        <v>6</v>
      </c>
      <c r="J22" s="2420" t="s">
        <v>654</v>
      </c>
      <c r="K22" s="2416" t="s">
        <v>589</v>
      </c>
      <c r="L22" s="1125"/>
      <c r="M22" s="955"/>
      <c r="N22" s="941"/>
      <c r="O22" s="1923" t="s">
        <v>655</v>
      </c>
      <c r="P22" s="941"/>
      <c r="AK22" s="2029">
        <v>46</v>
      </c>
    </row>
    <row customHeight="1" ht="19.95">
      <c r="A23" s="2452"/>
      <c r="B23" s="2451" t="s">
        <v>656</v>
      </c>
      <c r="C23" s="2451" t="s">
        <v>657</v>
      </c>
      <c r="D23" s="2450" t="s">
        <v>623</v>
      </c>
      <c r="E23" s="2454" t="s">
        <v>634</v>
      </c>
      <c r="F23" s="2454" t="s">
        <v>634</v>
      </c>
      <c r="H23" s="2419"/>
      <c r="I23" s="2062" t="s">
        <v>658</v>
      </c>
      <c r="J23" s="1922" t="s">
        <v>659</v>
      </c>
      <c r="K23" s="2416" t="s">
        <v>589</v>
      </c>
      <c r="L23" s="1125"/>
      <c r="M23" s="955"/>
      <c r="N23" s="941"/>
      <c r="O23" s="1923" t="s">
        <v>645</v>
      </c>
      <c r="P23" s="941"/>
      <c r="AK23" s="2029">
        <v>19</v>
      </c>
    </row>
    <row customHeight="1" ht="19.95">
      <c r="A24" s="2452"/>
      <c r="B24" s="2451" t="s">
        <v>660</v>
      </c>
      <c r="C24" s="2451" t="s">
        <v>661</v>
      </c>
      <c r="D24" s="2450" t="s">
        <v>623</v>
      </c>
      <c r="E24" s="2454" t="s">
        <v>634</v>
      </c>
      <c r="F24" s="2454" t="s">
        <v>634</v>
      </c>
      <c r="H24" s="2419"/>
      <c r="I24" s="2062" t="s">
        <v>662</v>
      </c>
      <c r="J24" s="1922" t="s">
        <v>663</v>
      </c>
      <c r="K24" s="2416" t="s">
        <v>589</v>
      </c>
      <c r="L24" s="1125"/>
      <c r="M24" s="955"/>
      <c r="N24" s="941"/>
      <c r="O24" s="1923"/>
      <c r="P24" s="941"/>
      <c r="AK24" s="2029">
        <v>19</v>
      </c>
    </row>
    <row customHeight="1" ht="24">
      <c r="A25" s="2452"/>
      <c r="B25" s="2451" t="s">
        <v>664</v>
      </c>
      <c r="C25" s="2451" t="s">
        <v>665</v>
      </c>
      <c r="D25" s="2450" t="s">
        <v>623</v>
      </c>
      <c r="E25" s="2454" t="s">
        <v>634</v>
      </c>
      <c r="F25" s="2454" t="s">
        <v>634</v>
      </c>
      <c r="H25" s="2419"/>
      <c r="I25" s="2062" t="s">
        <v>666</v>
      </c>
      <c r="J25" s="1922" t="s">
        <v>667</v>
      </c>
      <c r="K25" s="2416" t="s">
        <v>589</v>
      </c>
      <c r="L25" s="1125"/>
      <c r="M25" s="955"/>
      <c r="N25" s="941"/>
      <c r="O25" s="1923"/>
      <c r="P25" s="941"/>
      <c r="AK25" s="2029">
        <v>23</v>
      </c>
    </row>
    <row customHeight="1" ht="24">
      <c r="A26" s="2452"/>
      <c r="B26" s="2451" t="s">
        <v>668</v>
      </c>
      <c r="C26" s="2451" t="s">
        <v>669</v>
      </c>
      <c r="D26" s="2450" t="s">
        <v>623</v>
      </c>
      <c r="E26" s="2454" t="s">
        <v>634</v>
      </c>
      <c r="F26" s="2454" t="s">
        <v>634</v>
      </c>
      <c r="H26" s="2419"/>
      <c r="I26" s="2062">
        <v>7</v>
      </c>
      <c r="J26" s="2420" t="s">
        <v>669</v>
      </c>
      <c r="K26" s="2416" t="s">
        <v>670</v>
      </c>
      <c r="L26" s="1125"/>
      <c r="M26" s="955"/>
      <c r="N26" s="941"/>
      <c r="O26" s="1923"/>
      <c r="P26" s="941"/>
      <c r="AK26" s="2029">
        <v>23</v>
      </c>
    </row>
    <row customHeight="1" ht="24">
      <c r="A27" s="2452"/>
      <c r="B27" s="2451" t="s">
        <v>671</v>
      </c>
      <c r="C27" s="2451" t="s">
        <v>672</v>
      </c>
      <c r="D27" s="2450" t="s">
        <v>623</v>
      </c>
      <c r="E27" s="2454" t="s">
        <v>634</v>
      </c>
      <c r="F27" s="2454" t="s">
        <v>634</v>
      </c>
      <c r="H27" s="2419"/>
      <c r="I27" s="2062">
        <v>8</v>
      </c>
      <c r="J27" s="2420" t="s">
        <v>672</v>
      </c>
      <c r="K27" s="2416" t="s">
        <v>595</v>
      </c>
      <c r="L27" s="1125"/>
      <c r="M27" s="955"/>
      <c r="N27" s="941"/>
      <c r="O27" s="1923"/>
      <c r="P27" s="941"/>
      <c r="AK27" s="2029">
        <v>23</v>
      </c>
    </row>
    <row customHeight="1" ht="35.699999999999996">
      <c r="A28" s="2452"/>
      <c r="B28" s="2451" t="s">
        <v>673</v>
      </c>
      <c r="C28" s="2451" t="s">
        <v>674</v>
      </c>
      <c r="D28" s="2450" t="s">
        <v>623</v>
      </c>
      <c r="E28" s="2454" t="s">
        <v>634</v>
      </c>
      <c r="F28" s="2454" t="s">
        <v>634</v>
      </c>
      <c r="H28" s="2419"/>
      <c r="I28" s="2073">
        <v>9</v>
      </c>
      <c r="J28" s="2420" t="s">
        <v>675</v>
      </c>
      <c r="K28" s="2416" t="s">
        <v>566</v>
      </c>
      <c r="L28" s="1125"/>
      <c r="M28" s="955"/>
      <c r="N28" s="941"/>
      <c r="O28" s="1923"/>
      <c r="P28" s="941"/>
      <c r="AK28" s="2029">
        <v>34</v>
      </c>
    </row>
    <row customHeight="1" ht="35.699999999999996">
      <c r="A29" s="2452"/>
      <c r="B29" s="2451" t="s">
        <v>676</v>
      </c>
      <c r="C29" s="2451" t="s">
        <v>677</v>
      </c>
      <c r="D29" s="2450" t="s">
        <v>623</v>
      </c>
      <c r="E29" s="2454" t="s">
        <v>634</v>
      </c>
      <c r="F29" s="2454" t="s">
        <v>634</v>
      </c>
      <c r="H29" s="2419"/>
      <c r="I29" s="2073">
        <v>10</v>
      </c>
      <c r="J29" s="2420" t="s">
        <v>678</v>
      </c>
      <c r="K29" s="2416" t="s">
        <v>566</v>
      </c>
      <c r="L29" s="1125"/>
      <c r="M29" s="955"/>
      <c r="N29" s="941"/>
      <c r="O29" s="1923"/>
      <c r="P29" s="941"/>
      <c r="AK29" s="2029">
        <v>34</v>
      </c>
    </row>
    <row customHeight="1" ht="24">
      <c r="A30" s="2452"/>
      <c r="B30" s="2451" t="s">
        <v>679</v>
      </c>
      <c r="C30" s="2451" t="s">
        <v>680</v>
      </c>
      <c r="D30" s="2450" t="s">
        <v>623</v>
      </c>
      <c r="E30" s="2454" t="s">
        <v>634</v>
      </c>
      <c r="F30" s="2454" t="s">
        <v>634</v>
      </c>
      <c r="H30" s="2419"/>
      <c r="I30" s="2073">
        <v>11</v>
      </c>
      <c r="J30" s="2420" t="s">
        <v>680</v>
      </c>
      <c r="K30" s="2416" t="s">
        <v>596</v>
      </c>
      <c r="L30" s="2467"/>
      <c r="M30" s="2019"/>
      <c r="N30" s="941"/>
      <c r="O30" s="1923"/>
      <c r="P30" s="941"/>
      <c r="AK30" s="2029">
        <v>23</v>
      </c>
    </row>
    <row customHeight="1" ht="24">
      <c r="A31" s="2452"/>
      <c r="B31" s="2451" t="s">
        <v>681</v>
      </c>
      <c r="C31" s="2451" t="s">
        <v>682</v>
      </c>
      <c r="D31" s="2450" t="s">
        <v>623</v>
      </c>
      <c r="E31" s="2454" t="s">
        <v>634</v>
      </c>
      <c r="F31" s="2454" t="s">
        <v>634</v>
      </c>
      <c r="H31" s="2419"/>
      <c r="I31" s="2073">
        <v>12</v>
      </c>
      <c r="J31" s="2420" t="s">
        <v>682</v>
      </c>
      <c r="K31" s="2416" t="s">
        <v>596</v>
      </c>
      <c r="L31" s="2467"/>
      <c r="M31" s="2019"/>
      <c r="N31" s="941"/>
      <c r="O31" s="1923"/>
      <c r="P31" s="941"/>
      <c r="AK31" s="2029">
        <v>23</v>
      </c>
    </row>
    <row customHeight="1" ht="48.29999999999999">
      <c r="A32" s="2452"/>
      <c r="B32" s="2451" t="s">
        <v>683</v>
      </c>
      <c r="C32" s="2451" t="s">
        <v>684</v>
      </c>
      <c r="D32" s="2450" t="s">
        <v>623</v>
      </c>
      <c r="E32" s="2454" t="s">
        <v>634</v>
      </c>
      <c r="F32" s="2454" t="s">
        <v>634</v>
      </c>
      <c r="H32" s="2419"/>
      <c r="I32" s="2073">
        <v>13</v>
      </c>
      <c r="J32" s="2420" t="s">
        <v>685</v>
      </c>
      <c r="K32" s="2416" t="s">
        <v>606</v>
      </c>
      <c r="L32" s="1125"/>
      <c r="M32" s="955"/>
      <c r="N32" s="941"/>
      <c r="O32" s="1923" t="s">
        <v>645</v>
      </c>
      <c r="P32" s="941"/>
      <c r="AK32" s="2029">
        <v>46</v>
      </c>
    </row>
    <row s="24434" customFormat="1" customHeight="1" ht="48.29999999999999">
      <c r="A33" s="2452"/>
      <c r="B33" s="2451" t="s">
        <v>686</v>
      </c>
      <c r="C33" s="2451" t="s">
        <v>687</v>
      </c>
      <c r="D33" s="2450" t="s">
        <v>623</v>
      </c>
      <c r="E33" s="2454" t="s">
        <v>634</v>
      </c>
      <c r="F33" s="2454" t="s">
        <v>634</v>
      </c>
      <c r="G33" s="2034"/>
      <c r="H33" s="2419"/>
      <c r="I33" s="2073">
        <v>14</v>
      </c>
      <c r="J33" s="2432" t="s">
        <v>688</v>
      </c>
      <c r="K33" s="2421" t="s">
        <v>689</v>
      </c>
      <c r="L33" s="1125"/>
      <c r="M33" s="955"/>
      <c r="N33" s="941"/>
      <c r="O33" s="1923" t="s">
        <v>645</v>
      </c>
      <c r="P33" s="941"/>
      <c r="Q33" s="2034"/>
      <c r="R33" s="2034"/>
      <c r="W33" s="2034"/>
      <c r="Z33" s="942"/>
      <c r="AF33" s="2030"/>
      <c r="AG33" s="2030"/>
      <c r="AH33" s="2030"/>
      <c r="AI33" s="2030"/>
      <c r="AJ33" s="2030"/>
      <c r="AK33" s="1764">
        <v>46</v>
      </c>
    </row>
    <row customHeight="1" ht="108">
      <c r="A34" s="2452"/>
      <c r="B34" s="2451" t="s">
        <v>690</v>
      </c>
      <c r="C34" s="2451" t="s">
        <v>691</v>
      </c>
      <c r="D34" s="2450" t="s">
        <v>633</v>
      </c>
      <c r="E34" s="2454" t="s">
        <v>634</v>
      </c>
      <c r="F34" s="2454" t="s">
        <v>634</v>
      </c>
      <c r="G34" s="2034" t="s">
        <v>594</v>
      </c>
      <c r="H34" s="2419"/>
      <c r="I34" s="2430">
        <v>15</v>
      </c>
      <c r="J34" s="2431" t="s">
        <v>692</v>
      </c>
      <c r="K34" s="2416" t="s">
        <v>311</v>
      </c>
      <c r="L34" s="783"/>
      <c r="M34" s="1562"/>
      <c r="N34" s="941"/>
      <c r="O34" s="1923" t="s">
        <v>637</v>
      </c>
      <c r="P34" s="941"/>
      <c r="AK34" s="2029">
        <v>103</v>
      </c>
    </row>
    <row s="25006"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25006"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25006"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25006"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25006"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25006"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25006"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25006"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25006"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25006"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25006"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25006"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25006"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25006"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25006"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25006"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25006"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25006"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25006"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25006"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25006"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25006"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25006"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25006"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25006"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25006"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25006"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25006"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25006"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25006"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25006"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25006"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25006"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25006"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25006"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25006"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25006"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25006"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25006"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25006"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25006"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25006"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25006"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25006"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25006"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25006"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25006"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25006"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25006"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25006"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25006"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25006"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25006"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25006"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25006"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25006"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25006"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25006"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25006"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25006"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25006"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25006"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25006"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25006"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25006"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25006"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25006"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25006"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25006"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25006"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25006"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25006"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25006"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25006"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25006"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25006"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25006"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25006"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25006"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25006"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25006"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25006"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25006"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25006"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25006"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25006"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25006"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25006"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25006"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25006"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25006"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25006"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25006"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25006"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25006"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25006"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25006"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25006"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25006"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25006"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25006"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25006"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25006"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25006"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25006"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25006"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25006"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25006"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25006"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25006"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25006"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25006"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25006"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25006"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25006"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25006"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25006"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25006"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25006"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25006"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25006"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25006"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25006"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25006"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25006"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25006"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25006"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25006"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25006"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25006"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25006"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25006"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25006"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25006"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25006"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25006"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25006"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25006"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25006"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25006"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25006"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25006"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25006"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25006"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25006"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25006"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25006"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25006"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25006"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25006"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25006"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25006"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25006"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25006"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25006"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83</v>
      </c>
      <c r="B204" s="1385" t="s">
        <v>150</v>
      </c>
      <c r="C204" s="1385" t="s">
        <v>150</v>
      </c>
      <c r="D204" s="1385" t="s">
        <v>150</v>
      </c>
      <c r="E204" s="1385" t="s">
        <v>150</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9FD02-5EE2-27A2-8FC2-80D215213FF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4354" width="10.57421875" hidden="1"/>
    <col min="5" max="5" style="26193" width="9.140625" hidden="1" customWidth="1"/>
    <col min="6" max="7" style="24434" width="9.140625" hidden="1" customWidth="1"/>
    <col min="8" max="8" style="26194" width="3.00390625" customWidth="1"/>
    <col min="9" max="9" style="24354" width="6.00390625" customWidth="1"/>
    <col min="10" max="10" style="24354" width="63.00390625" customWidth="1"/>
    <col min="11" max="11" style="24354" width="9.00390625" customWidth="1"/>
    <col min="12" max="12" style="24354" width="39.00390625" customWidth="1"/>
    <col min="13" max="13" style="24354" width="89.00390625" customWidth="1"/>
    <col min="14" max="14" style="24354" width="10.00390625" customWidth="1"/>
    <col min="15" max="16" style="24524" width="10.00390625" customWidth="1"/>
    <col min="17" max="22" style="24354" width="10.00390625" customWidth="1"/>
    <col min="23" max="23" style="24354" width="10.57421875" hidden="1"/>
  </cols>
  <sheetData>
    <row customHeight="1" ht="22.5" hidden="1">
      <c r="S1" s="653"/>
      <c r="T1" s="653"/>
      <c r="V1" s="653"/>
      <c r="W1" s="2029" t="s">
        <v>14</v>
      </c>
    </row>
    <row customHeight="1" ht="22.5" hidden="1">
      <c r="B2" s="2451" t="s">
        <v>693</v>
      </c>
      <c r="C2" s="2451" t="s">
        <v>694</v>
      </c>
      <c r="D2" s="2450" t="s">
        <v>633</v>
      </c>
      <c r="E2" s="2456">
        <f>I2-3</f>
        <v>-3</v>
      </c>
      <c r="F2" s="2456">
        <f>J2</f>
        <v>0</v>
      </c>
      <c r="H2" s="2128" t="s">
        <v>430</v>
      </c>
      <c r="I2" s="2422"/>
      <c r="J2" s="2080"/>
      <c r="K2" s="2416" t="s">
        <v>311</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695</v>
      </c>
      <c r="J5" s="2646"/>
      <c r="K5" s="2646"/>
      <c r="L5" s="2646"/>
      <c r="M5" s="664"/>
      <c r="W5" s="2029">
        <v>48</v>
      </c>
    </row>
    <row customHeight="1" ht="18">
      <c r="H6" s="774"/>
      <c r="I6" s="2647" t="str">
        <f>IF(org=0,"Не определено",org)</f>
        <v>ООО "Новая Энергетика"</v>
      </c>
      <c r="J6" s="2647"/>
      <c r="K6" s="2647"/>
      <c r="L6" s="2647"/>
      <c r="M6" s="664"/>
      <c r="W6" s="2029">
        <v>17</v>
      </c>
    </row>
    <row customHeight="1" ht="14.699999999999998">
      <c r="H7" s="774"/>
      <c r="I7" s="855"/>
      <c r="J7" s="861"/>
      <c r="K7" s="861"/>
      <c r="L7" s="1150"/>
      <c r="M7" s="591"/>
      <c r="W7" s="2029">
        <v>14</v>
      </c>
    </row>
    <row customHeight="1" ht="14.699999999999998">
      <c r="H8" s="774"/>
      <c r="I8" s="2784" t="s">
        <v>305</v>
      </c>
      <c r="J8" s="2785"/>
      <c r="K8" s="2785"/>
      <c r="L8" s="2786"/>
      <c r="M8" s="2787" t="s">
        <v>306</v>
      </c>
      <c r="W8" s="2029">
        <v>14</v>
      </c>
    </row>
    <row customHeight="1" ht="35.699999999999996">
      <c r="E9" s="2449" t="s">
        <v>624</v>
      </c>
      <c r="F9" s="2449" t="s">
        <v>630</v>
      </c>
      <c r="H9" s="774"/>
      <c r="I9" s="2423" t="s">
        <v>89</v>
      </c>
      <c r="J9" s="2424" t="s">
        <v>307</v>
      </c>
      <c r="K9" s="2462" t="s">
        <v>572</v>
      </c>
      <c r="L9" s="2463" t="s">
        <v>308</v>
      </c>
      <c r="M9" s="2787"/>
      <c r="W9" s="2029">
        <v>34</v>
      </c>
    </row>
    <row customHeight="1" ht="35.699999999999996">
      <c r="B10" s="2451" t="s">
        <v>696</v>
      </c>
      <c r="C10" s="2451" t="s">
        <v>697</v>
      </c>
      <c r="D10" s="2450" t="s">
        <v>633</v>
      </c>
      <c r="E10" s="2454" t="s">
        <v>634</v>
      </c>
      <c r="F10" s="2454" t="s">
        <v>634</v>
      </c>
      <c r="H10" s="774"/>
      <c r="I10" s="2422" t="s">
        <v>110</v>
      </c>
      <c r="J10" s="2284" t="s">
        <v>698</v>
      </c>
      <c r="K10" s="2416" t="s">
        <v>311</v>
      </c>
      <c r="L10" s="1216"/>
      <c r="M10" s="695" t="s">
        <v>699</v>
      </c>
      <c r="W10" s="2029">
        <v>34</v>
      </c>
    </row>
    <row customHeight="1" ht="50.25">
      <c r="B11" s="2451" t="s">
        <v>700</v>
      </c>
      <c r="C11" s="2451" t="s">
        <v>701</v>
      </c>
      <c r="D11" s="2450" t="s">
        <v>633</v>
      </c>
      <c r="E11" s="2454" t="s">
        <v>634</v>
      </c>
      <c r="F11" s="2454" t="s">
        <v>634</v>
      </c>
      <c r="H11" s="774"/>
      <c r="I11" s="2422" t="s">
        <v>111</v>
      </c>
      <c r="J11" s="2284" t="s">
        <v>702</v>
      </c>
      <c r="K11" s="2416" t="s">
        <v>311</v>
      </c>
      <c r="L11" s="1216"/>
      <c r="M11" s="695" t="s">
        <v>699</v>
      </c>
      <c r="W11" s="2029">
        <v>48</v>
      </c>
    </row>
    <row customHeight="1" ht="48.29999999999999">
      <c r="B12" s="2451" t="s">
        <v>703</v>
      </c>
      <c r="C12" s="2451" t="s">
        <v>704</v>
      </c>
      <c r="D12" s="2450" t="s">
        <v>633</v>
      </c>
      <c r="E12" s="2454" t="s">
        <v>634</v>
      </c>
      <c r="F12" s="2454" t="s">
        <v>634</v>
      </c>
      <c r="H12" s="2086"/>
      <c r="I12" s="2422" t="s">
        <v>91</v>
      </c>
      <c r="J12" s="2429" t="s">
        <v>705</v>
      </c>
      <c r="K12" s="2416" t="s">
        <v>311</v>
      </c>
      <c r="L12" s="1216"/>
      <c r="M12" s="695" t="s">
        <v>706</v>
      </c>
      <c r="N12" s="2022"/>
      <c r="P12" s="2029"/>
      <c r="W12" s="2029">
        <v>46</v>
      </c>
    </row>
    <row customHeight="1" ht="14.699999999999998">
      <c r="E13" s="741"/>
      <c r="H13" s="774"/>
      <c r="I13" s="745"/>
      <c r="J13" s="1049" t="s">
        <v>707</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83</v>
      </c>
      <c r="B16" s="2029">
        <v>9</v>
      </c>
      <c r="C16" s="2029">
        <v>9</v>
      </c>
      <c r="D16" s="2029">
        <v>9</v>
      </c>
      <c r="E16" s="2428" t="s">
        <v>149</v>
      </c>
      <c r="F16" s="2453" t="s">
        <v>149</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9B936-F344-45A8-3E2A-7BB45EE7E8D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6615" width="10.7109375" hidden="1" customWidth="1"/>
    <col min="2" max="2" style="24434" width="16.8515625" hidden="1" customWidth="1"/>
    <col min="3" max="3" style="24435" width="5.57421875" hidden="1" customWidth="1"/>
    <col min="4" max="4" style="24354" width="3.00390625" customWidth="1"/>
    <col min="5" max="5" style="24354" width="7.00390625" customWidth="1"/>
    <col min="6" max="6" style="24354" width="56.00390625" customWidth="1"/>
    <col min="7" max="7" style="24354" width="10.00390625" customWidth="1"/>
    <col min="8" max="8" style="24354" width="40.7109375" hidden="1" customWidth="1"/>
    <col min="9" max="9" style="24354" width="40.00390625" customWidth="1"/>
    <col min="10" max="10" style="24354" width="102.00390625" customWidth="1"/>
    <col min="11" max="11" style="24434" width="9.00390625" customWidth="1"/>
    <col min="12" max="12" style="24435" width="5.00390625" customWidth="1"/>
    <col min="13" max="13" style="24435" width="3.00390625" customWidth="1"/>
    <col min="14" max="17" style="24434" width="3.00390625" customWidth="1"/>
    <col min="18" max="18" style="24435" width="10.00390625" customWidth="1"/>
    <col min="19" max="19" style="24434" width="34.00390625" customWidth="1"/>
    <col min="20" max="20" style="24434" width="9.00390625" customWidth="1"/>
    <col min="21" max="21" style="26616" width="8.00390625" customWidth="1"/>
    <col min="22" max="26" style="24434" width="8.00390625" customWidth="1"/>
    <col min="27" max="31" style="24318" width="8.00390625" customWidth="1"/>
    <col min="32" max="32" style="24354" width="10.421875" hidden="1" customWidth="1"/>
  </cols>
  <sheetData>
    <row s="24434" customFormat="1" customHeight="1" ht="22.5" hidden="1">
      <c r="A1" s="1385"/>
      <c r="C1" s="2034"/>
      <c r="D1" s="935"/>
      <c r="H1" s="1558">
        <v>4</v>
      </c>
      <c r="I1" s="1558">
        <v>4</v>
      </c>
      <c r="L1" s="2034"/>
      <c r="M1" s="2034"/>
      <c r="R1" s="2034"/>
      <c r="AF1" s="1558" t="s">
        <v>14</v>
      </c>
    </row>
    <row s="24434" customFormat="1" customHeight="1" ht="22.5" hidden="1">
      <c r="A2" s="1385"/>
      <c r="C2" s="2034"/>
      <c r="D2" s="936"/>
      <c r="E2" s="2035"/>
      <c r="F2" s="938"/>
      <c r="G2" s="2037" t="s">
        <v>558</v>
      </c>
      <c r="H2" s="939"/>
      <c r="I2" s="939"/>
      <c r="J2" s="940" t="s">
        <v>708</v>
      </c>
      <c r="K2" s="941"/>
      <c r="L2" s="2034"/>
      <c r="M2" s="2034"/>
      <c r="R2" s="2034"/>
      <c r="U2" s="942"/>
      <c r="AA2" s="2030"/>
      <c r="AB2" s="2030"/>
      <c r="AC2" s="2030"/>
      <c r="AD2" s="2030"/>
      <c r="AE2" s="2030"/>
      <c r="AF2" s="1558">
        <v>0</v>
      </c>
    </row>
    <row customHeight="1" ht="11.25" hidden="1">
      <c r="AF3" s="2029">
        <v>0</v>
      </c>
    </row>
    <row s="24318"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709</v>
      </c>
      <c r="F6" s="2705"/>
      <c r="G6" s="2705"/>
      <c r="H6" s="2705"/>
      <c r="I6" s="2705"/>
      <c r="J6" s="954"/>
      <c r="AF6" s="2029">
        <v>30</v>
      </c>
    </row>
    <row customHeight="1" ht="11.549999999999999">
      <c r="E7" s="2647" t="str">
        <f>IF(org=0,"Не определено",org)</f>
        <v>ООО "Новая Энергетика"</v>
      </c>
      <c r="F7" s="2647"/>
      <c r="G7" s="2647"/>
      <c r="H7" s="2647"/>
      <c r="I7" s="2647"/>
      <c r="AF7" s="2029">
        <v>11</v>
      </c>
    </row>
    <row customHeight="1" ht="11.549999999999999">
      <c r="E8" s="1533"/>
      <c r="F8" s="1533"/>
      <c r="G8" s="1533"/>
      <c r="H8" s="1533"/>
      <c r="I8" s="1533"/>
      <c r="AF8" s="2029">
        <v>11</v>
      </c>
    </row>
    <row s="24435" customFormat="1" customHeight="1" ht="4.2">
      <c r="A9" s="1565"/>
      <c r="D9" s="2040"/>
      <c r="H9" s="1287"/>
      <c r="I9" s="1287" t="s">
        <v>118</v>
      </c>
      <c r="AF9" s="2034">
        <v>4</v>
      </c>
    </row>
    <row customHeight="1" ht="11.549999999999999">
      <c r="E10" s="1109"/>
      <c r="F10" s="2765" t="s">
        <v>106</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570</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571</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305</v>
      </c>
      <c r="F13" s="2768"/>
      <c r="G13" s="2768"/>
      <c r="H13" s="1949"/>
      <c r="I13" s="1949"/>
      <c r="J13" s="2525"/>
      <c r="AF13" s="2029">
        <v>11</v>
      </c>
    </row>
    <row customHeight="1" ht="24">
      <c r="E14" s="2037" t="s">
        <v>89</v>
      </c>
      <c r="F14" s="2032" t="s">
        <v>307</v>
      </c>
      <c r="G14" s="2032" t="s">
        <v>572</v>
      </c>
      <c r="H14" s="2032" t="s">
        <v>308</v>
      </c>
      <c r="I14" s="2032" t="s">
        <v>308</v>
      </c>
      <c r="J14" s="2525"/>
      <c r="AF14" s="2029">
        <v>23</v>
      </c>
    </row>
    <row customHeight="1" ht="19.95">
      <c r="D15" s="2036"/>
      <c r="E15" s="2028" t="s">
        <v>110</v>
      </c>
      <c r="F15" s="1105" t="s">
        <v>710</v>
      </c>
      <c r="G15" s="2044" t="s">
        <v>558</v>
      </c>
      <c r="H15" s="955"/>
      <c r="I15" s="955"/>
      <c r="J15" s="687" t="s">
        <v>711</v>
      </c>
      <c r="K15" s="941" t="s">
        <v>636</v>
      </c>
      <c r="AF15" s="2029">
        <v>19</v>
      </c>
    </row>
    <row customHeight="1" ht="35.699999999999996">
      <c r="D16" s="2036"/>
      <c r="E16" s="2028" t="s">
        <v>111</v>
      </c>
      <c r="F16" s="1105" t="s">
        <v>712</v>
      </c>
      <c r="G16" s="2044" t="s">
        <v>558</v>
      </c>
      <c r="H16" s="956">
        <f>SUM(H17,H20:H32)</f>
        <v>0</v>
      </c>
      <c r="I16" s="956">
        <f>SUM(I17,I20,I23,I26,I29:I32)</f>
        <v>0</v>
      </c>
      <c r="J16" s="687" t="s">
        <v>713</v>
      </c>
      <c r="K16" s="941" t="s">
        <v>636</v>
      </c>
      <c r="AF16" s="2029">
        <v>34</v>
      </c>
    </row>
    <row customHeight="1" ht="19.95">
      <c r="D17" s="2036"/>
      <c r="E17" s="2062" t="s">
        <v>714</v>
      </c>
      <c r="F17" s="1352" t="s">
        <v>715</v>
      </c>
      <c r="G17" s="2041" t="s">
        <v>558</v>
      </c>
      <c r="H17" s="955"/>
      <c r="I17" s="955"/>
      <c r="J17" s="687" t="s">
        <v>716</v>
      </c>
      <c r="K17" s="941"/>
      <c r="AF17" s="2029">
        <v>19</v>
      </c>
    </row>
    <row customHeight="1" ht="24">
      <c r="D18" s="2036"/>
      <c r="E18" s="2062" t="s">
        <v>717</v>
      </c>
      <c r="F18" s="2048" t="s">
        <v>718</v>
      </c>
      <c r="G18" s="2041" t="s">
        <v>558</v>
      </c>
      <c r="H18" s="955"/>
      <c r="I18" s="955"/>
      <c r="J18" s="687" t="s">
        <v>719</v>
      </c>
      <c r="K18" s="941"/>
      <c r="AF18" s="2029">
        <v>23</v>
      </c>
    </row>
    <row customHeight="1" ht="35.699999999999996">
      <c r="D19" s="2036"/>
      <c r="E19" s="2062" t="s">
        <v>720</v>
      </c>
      <c r="F19" s="2048" t="s">
        <v>721</v>
      </c>
      <c r="G19" s="2041" t="s">
        <v>558</v>
      </c>
      <c r="H19" s="955"/>
      <c r="I19" s="955"/>
      <c r="J19" s="687"/>
      <c r="K19" s="941"/>
      <c r="AF19" s="2029">
        <v>34</v>
      </c>
    </row>
    <row customHeight="1" ht="19.95">
      <c r="D20" s="2036"/>
      <c r="E20" s="2062" t="s">
        <v>312</v>
      </c>
      <c r="F20" s="1352" t="s">
        <v>722</v>
      </c>
      <c r="G20" s="2041" t="s">
        <v>558</v>
      </c>
      <c r="H20" s="955"/>
      <c r="I20" s="955"/>
      <c r="J20" s="687" t="s">
        <v>723</v>
      </c>
      <c r="K20" s="941"/>
      <c r="AF20" s="2029">
        <v>19</v>
      </c>
    </row>
    <row customHeight="1" ht="19.95">
      <c r="D21" s="2036"/>
      <c r="E21" s="2062" t="s">
        <v>724</v>
      </c>
      <c r="F21" s="2048" t="s">
        <v>725</v>
      </c>
      <c r="G21" s="2041" t="s">
        <v>558</v>
      </c>
      <c r="H21" s="955"/>
      <c r="I21" s="955"/>
      <c r="J21" s="687"/>
      <c r="K21" s="941"/>
      <c r="AF21" s="2029">
        <v>19</v>
      </c>
    </row>
    <row customHeight="1" ht="19.95">
      <c r="D22" s="2036"/>
      <c r="E22" s="2062" t="s">
        <v>726</v>
      </c>
      <c r="F22" s="2048" t="s">
        <v>727</v>
      </c>
      <c r="G22" s="2041" t="s">
        <v>558</v>
      </c>
      <c r="H22" s="955"/>
      <c r="I22" s="955"/>
      <c r="J22" s="687"/>
      <c r="K22" s="941"/>
      <c r="AF22" s="2029">
        <v>19</v>
      </c>
    </row>
    <row customHeight="1" ht="24">
      <c r="D23" s="2036"/>
      <c r="E23" s="2062" t="s">
        <v>315</v>
      </c>
      <c r="F23" s="1352" t="s">
        <v>728</v>
      </c>
      <c r="G23" s="2041" t="s">
        <v>558</v>
      </c>
      <c r="H23" s="955"/>
      <c r="I23" s="955"/>
      <c r="J23" s="687" t="s">
        <v>729</v>
      </c>
      <c r="K23" s="941"/>
      <c r="AF23" s="2029">
        <v>23</v>
      </c>
    </row>
    <row customHeight="1" ht="19.95">
      <c r="D24" s="2036"/>
      <c r="E24" s="2062" t="s">
        <v>730</v>
      </c>
      <c r="F24" s="2048" t="s">
        <v>731</v>
      </c>
      <c r="G24" s="2041" t="s">
        <v>558</v>
      </c>
      <c r="H24" s="955"/>
      <c r="I24" s="955"/>
      <c r="J24" s="687"/>
      <c r="K24" s="941"/>
      <c r="AF24" s="2029">
        <v>19</v>
      </c>
    </row>
    <row customHeight="1" ht="35.699999999999996">
      <c r="D25" s="2036"/>
      <c r="E25" s="2062" t="s">
        <v>732</v>
      </c>
      <c r="F25" s="2048" t="s">
        <v>733</v>
      </c>
      <c r="G25" s="2041" t="s">
        <v>558</v>
      </c>
      <c r="H25" s="955"/>
      <c r="I25" s="955"/>
      <c r="J25" s="687"/>
      <c r="K25" s="941"/>
      <c r="AF25" s="2029">
        <v>34</v>
      </c>
    </row>
    <row customHeight="1" ht="24">
      <c r="D26" s="2036"/>
      <c r="E26" s="2062" t="s">
        <v>734</v>
      </c>
      <c r="F26" s="1352" t="s">
        <v>735</v>
      </c>
      <c r="G26" s="2041" t="s">
        <v>558</v>
      </c>
      <c r="H26" s="955"/>
      <c r="I26" s="955"/>
      <c r="J26" s="687" t="s">
        <v>736</v>
      </c>
      <c r="K26" s="941"/>
      <c r="AF26" s="2029">
        <v>23</v>
      </c>
    </row>
    <row customHeight="1" ht="19.95">
      <c r="D27" s="2036"/>
      <c r="E27" s="2073" t="s">
        <v>737</v>
      </c>
      <c r="F27" s="2048" t="s">
        <v>738</v>
      </c>
      <c r="G27" s="2052" t="s">
        <v>558</v>
      </c>
      <c r="H27" s="2074"/>
      <c r="I27" s="2074"/>
      <c r="J27" s="687"/>
      <c r="K27" s="941"/>
      <c r="AF27" s="2029">
        <v>19</v>
      </c>
    </row>
    <row customHeight="1" ht="19.95">
      <c r="D28" s="2036"/>
      <c r="E28" s="2073" t="s">
        <v>739</v>
      </c>
      <c r="F28" s="2048" t="s">
        <v>740</v>
      </c>
      <c r="G28" s="2052" t="s">
        <v>558</v>
      </c>
      <c r="H28" s="2074"/>
      <c r="I28" s="2074"/>
      <c r="J28" s="687"/>
      <c r="K28" s="941"/>
      <c r="AF28" s="2029">
        <v>19</v>
      </c>
    </row>
    <row customHeight="1" ht="19.95">
      <c r="D29" s="2036"/>
      <c r="E29" s="2073" t="s">
        <v>741</v>
      </c>
      <c r="F29" s="1352" t="s">
        <v>742</v>
      </c>
      <c r="G29" s="2052" t="s">
        <v>558</v>
      </c>
      <c r="H29" s="2074"/>
      <c r="I29" s="2074"/>
      <c r="J29" s="687"/>
      <c r="K29" s="941"/>
      <c r="AF29" s="2029">
        <v>19</v>
      </c>
    </row>
    <row customHeight="1" ht="19.95">
      <c r="D30" s="2036"/>
      <c r="E30" s="2073" t="s">
        <v>743</v>
      </c>
      <c r="F30" s="1352" t="s">
        <v>744</v>
      </c>
      <c r="G30" s="2052" t="s">
        <v>558</v>
      </c>
      <c r="H30" s="2074"/>
      <c r="I30" s="2074"/>
      <c r="J30" s="687"/>
      <c r="K30" s="941"/>
      <c r="AF30" s="2029">
        <v>19</v>
      </c>
    </row>
    <row customHeight="1" ht="19.95">
      <c r="D31" s="2036"/>
      <c r="E31" s="2073" t="s">
        <v>745</v>
      </c>
      <c r="F31" s="1352" t="s">
        <v>746</v>
      </c>
      <c r="G31" s="2052" t="s">
        <v>558</v>
      </c>
      <c r="H31" s="2074"/>
      <c r="I31" s="2074"/>
      <c r="J31" s="687"/>
      <c r="K31" s="941"/>
      <c r="AF31" s="2029">
        <v>19</v>
      </c>
    </row>
    <row s="24434" customFormat="1" customHeight="1" ht="35.699999999999996">
      <c r="A32" s="1385"/>
      <c r="C32" s="2034"/>
      <c r="D32" s="2036"/>
      <c r="E32" s="2073" t="s">
        <v>747</v>
      </c>
      <c r="F32" s="1352" t="s">
        <v>748</v>
      </c>
      <c r="G32" s="2042" t="s">
        <v>558</v>
      </c>
      <c r="H32" s="977">
        <f>SUM(H33:H34)</f>
        <v>0</v>
      </c>
      <c r="I32" s="977">
        <f>SUM(I33:I34)</f>
        <v>0</v>
      </c>
      <c r="J32" s="687" t="s">
        <v>749</v>
      </c>
      <c r="K32" s="941"/>
      <c r="L32" s="2034"/>
      <c r="M32" s="2034"/>
      <c r="R32" s="2034"/>
      <c r="U32" s="942"/>
      <c r="AA32" s="2030"/>
      <c r="AB32" s="2030"/>
      <c r="AC32" s="2030"/>
      <c r="AD32" s="2030"/>
      <c r="AE32" s="2030"/>
      <c r="AF32" s="1558">
        <v>34</v>
      </c>
    </row>
    <row s="24435" customFormat="1" customHeight="1" ht="1.05">
      <c r="A33" s="1565"/>
      <c r="D33" s="946"/>
      <c r="E33" s="1200" t="str">
        <f>E32&amp;".0"</f>
        <v>2.8.0</v>
      </c>
      <c r="F33" s="1389"/>
      <c r="G33" s="949"/>
      <c r="H33" s="1390"/>
      <c r="I33" s="1390"/>
      <c r="J33" s="1391"/>
      <c r="AF33" s="2034">
        <v>1</v>
      </c>
    </row>
    <row s="24434" customFormat="1" customHeight="1" ht="19.95">
      <c r="A34" s="1385"/>
      <c r="C34" s="2034"/>
      <c r="D34" s="2031"/>
      <c r="E34" s="968"/>
      <c r="F34" s="2064" t="s">
        <v>583</v>
      </c>
      <c r="G34" s="970"/>
      <c r="H34" s="971"/>
      <c r="I34" s="971"/>
      <c r="J34" s="699" t="s">
        <v>750</v>
      </c>
      <c r="K34" s="941"/>
      <c r="L34" s="2034"/>
      <c r="M34" s="2034"/>
      <c r="R34" s="2034"/>
      <c r="U34" s="942"/>
      <c r="AA34" s="2030"/>
      <c r="AB34" s="2030"/>
      <c r="AC34" s="2030"/>
      <c r="AD34" s="2030"/>
      <c r="AE34" s="2030"/>
      <c r="AF34" s="1558">
        <v>19</v>
      </c>
    </row>
    <row customHeight="1" ht="60">
      <c r="D35" s="2036"/>
      <c r="E35" s="2073" t="s">
        <v>751</v>
      </c>
      <c r="F35" s="1352" t="s">
        <v>752</v>
      </c>
      <c r="G35" s="2052" t="s">
        <v>558</v>
      </c>
      <c r="H35" s="2074"/>
      <c r="I35" s="2074"/>
      <c r="J35" s="687" t="s">
        <v>753</v>
      </c>
      <c r="K35" s="941"/>
      <c r="AF35" s="2029">
        <v>57</v>
      </c>
    </row>
    <row s="24434" customFormat="1" customHeight="1" ht="24">
      <c r="A36" s="1387" t="s">
        <v>584</v>
      </c>
      <c r="C36" s="2034"/>
      <c r="D36" s="2036"/>
      <c r="E36" s="2062" t="s">
        <v>91</v>
      </c>
      <c r="F36" s="1105" t="s">
        <v>754</v>
      </c>
      <c r="G36" s="2041" t="s">
        <v>558</v>
      </c>
      <c r="H36" s="955"/>
      <c r="I36" s="955"/>
      <c r="J36" s="687" t="s">
        <v>755</v>
      </c>
      <c r="K36" s="941"/>
      <c r="L36" s="2034"/>
      <c r="M36" s="2034"/>
      <c r="R36" s="2034"/>
      <c r="U36" s="942"/>
      <c r="AA36" s="2030"/>
      <c r="AB36" s="2030"/>
      <c r="AC36" s="2030"/>
      <c r="AD36" s="2030"/>
      <c r="AE36" s="2030"/>
      <c r="AF36" s="1558">
        <v>23</v>
      </c>
    </row>
    <row s="24434" customFormat="1" customHeight="1" ht="35.699999999999996">
      <c r="A37" s="1387"/>
      <c r="C37" s="2034"/>
      <c r="D37" s="2036"/>
      <c r="E37" s="2062" t="s">
        <v>329</v>
      </c>
      <c r="F37" s="1352" t="s">
        <v>756</v>
      </c>
      <c r="G37" s="2052"/>
      <c r="H37" s="955"/>
      <c r="I37" s="955"/>
      <c r="J37" s="687"/>
      <c r="K37" s="941"/>
      <c r="L37" s="2034"/>
      <c r="M37" s="2034"/>
      <c r="R37" s="2034"/>
      <c r="U37" s="942"/>
      <c r="AA37" s="2030"/>
      <c r="AB37" s="2030"/>
      <c r="AC37" s="2030"/>
      <c r="AD37" s="2030"/>
      <c r="AE37" s="2030"/>
      <c r="AF37" s="1558">
        <v>34</v>
      </c>
    </row>
    <row s="24434" customFormat="1" customHeight="1" ht="19.95">
      <c r="A38" s="1385"/>
      <c r="C38" s="2034"/>
      <c r="D38" s="973"/>
      <c r="E38" s="2062" t="s">
        <v>92</v>
      </c>
      <c r="F38" s="1105" t="s">
        <v>757</v>
      </c>
      <c r="G38" s="2041" t="s">
        <v>558</v>
      </c>
      <c r="H38" s="955"/>
      <c r="I38" s="955"/>
      <c r="J38" s="687" t="s">
        <v>758</v>
      </c>
      <c r="K38" s="941"/>
      <c r="L38" s="2034"/>
      <c r="M38" s="2034"/>
      <c r="R38" s="2034"/>
      <c r="U38" s="942"/>
      <c r="AA38" s="2030"/>
      <c r="AB38" s="2030"/>
      <c r="AC38" s="2030"/>
      <c r="AD38" s="2030"/>
      <c r="AE38" s="2030"/>
      <c r="AF38" s="1558">
        <v>19</v>
      </c>
    </row>
    <row s="24434" customFormat="1" customHeight="1" ht="24">
      <c r="A39" s="1385"/>
      <c r="C39" s="2034"/>
      <c r="D39" s="973"/>
      <c r="E39" s="2062" t="s">
        <v>759</v>
      </c>
      <c r="F39" s="1352" t="s">
        <v>760</v>
      </c>
      <c r="G39" s="2052" t="s">
        <v>558</v>
      </c>
      <c r="H39" s="955"/>
      <c r="I39" s="955"/>
      <c r="J39" s="687" t="s">
        <v>761</v>
      </c>
      <c r="K39" s="941"/>
      <c r="L39" s="2034"/>
      <c r="M39" s="2034"/>
      <c r="R39" s="2034"/>
      <c r="U39" s="942"/>
      <c r="AA39" s="2030"/>
      <c r="AB39" s="2030"/>
      <c r="AC39" s="2030"/>
      <c r="AD39" s="2030"/>
      <c r="AE39" s="2030"/>
      <c r="AF39" s="1558">
        <v>23</v>
      </c>
    </row>
    <row s="24434" customFormat="1" customHeight="1" ht="24">
      <c r="A40" s="1385"/>
      <c r="C40" s="2034"/>
      <c r="D40" s="2036"/>
      <c r="E40" s="2062" t="s">
        <v>762</v>
      </c>
      <c r="F40" s="2048" t="s">
        <v>763</v>
      </c>
      <c r="G40" s="2041" t="s">
        <v>558</v>
      </c>
      <c r="H40" s="955"/>
      <c r="I40" s="955"/>
      <c r="J40" s="687" t="s">
        <v>764</v>
      </c>
      <c r="K40" s="941"/>
      <c r="L40" s="2034"/>
      <c r="M40" s="2034"/>
      <c r="R40" s="2034"/>
      <c r="U40" s="942"/>
      <c r="AA40" s="2030"/>
      <c r="AB40" s="2030"/>
      <c r="AC40" s="2030"/>
      <c r="AD40" s="2030"/>
      <c r="AE40" s="2030"/>
      <c r="AF40" s="1558">
        <v>23</v>
      </c>
    </row>
    <row s="24434" customFormat="1" customHeight="1" ht="24">
      <c r="A41" s="1385"/>
      <c r="C41" s="2034"/>
      <c r="D41" s="2036"/>
      <c r="E41" s="2062" t="s">
        <v>765</v>
      </c>
      <c r="F41" s="2048" t="s">
        <v>766</v>
      </c>
      <c r="G41" s="2041" t="s">
        <v>558</v>
      </c>
      <c r="H41" s="955"/>
      <c r="I41" s="955"/>
      <c r="J41" s="687" t="s">
        <v>767</v>
      </c>
      <c r="K41" s="941"/>
      <c r="L41" s="2034"/>
      <c r="M41" s="2034"/>
      <c r="R41" s="2034"/>
      <c r="U41" s="942"/>
      <c r="AA41" s="2030"/>
      <c r="AB41" s="2030"/>
      <c r="AC41" s="2030"/>
      <c r="AD41" s="2030"/>
      <c r="AE41" s="2030"/>
      <c r="AF41" s="1558">
        <v>23</v>
      </c>
    </row>
    <row s="24434" customFormat="1" customHeight="1" ht="24">
      <c r="A42" s="1385"/>
      <c r="C42" s="2034"/>
      <c r="D42" s="2036"/>
      <c r="E42" s="2062" t="s">
        <v>768</v>
      </c>
      <c r="F42" s="2048" t="s">
        <v>769</v>
      </c>
      <c r="G42" s="2041" t="s">
        <v>558</v>
      </c>
      <c r="H42" s="955"/>
      <c r="I42" s="955"/>
      <c r="J42" s="687" t="s">
        <v>770</v>
      </c>
      <c r="K42" s="941"/>
      <c r="L42" s="2034"/>
      <c r="M42" s="2034"/>
      <c r="R42" s="2034"/>
      <c r="U42" s="942"/>
      <c r="AA42" s="2030"/>
      <c r="AB42" s="2030"/>
      <c r="AC42" s="2030"/>
      <c r="AD42" s="2030"/>
      <c r="AE42" s="2030"/>
      <c r="AF42" s="1558">
        <v>23</v>
      </c>
    </row>
    <row s="24434" customFormat="1" customHeight="1" ht="35.699999999999996">
      <c r="A43" s="1385"/>
      <c r="C43" s="2034" t="s">
        <v>594</v>
      </c>
      <c r="D43" s="2036"/>
      <c r="E43" s="2062" t="s">
        <v>112</v>
      </c>
      <c r="F43" s="1105" t="s">
        <v>635</v>
      </c>
      <c r="G43" s="2044" t="s">
        <v>771</v>
      </c>
      <c r="H43" s="799"/>
      <c r="I43" s="799"/>
      <c r="J43" s="687" t="s">
        <v>772</v>
      </c>
      <c r="K43" s="941"/>
      <c r="L43" s="2034"/>
      <c r="M43" s="2034"/>
      <c r="R43" s="2034"/>
      <c r="U43" s="942"/>
      <c r="AA43" s="2030"/>
      <c r="AB43" s="2030"/>
      <c r="AC43" s="2030"/>
      <c r="AD43" s="2030"/>
      <c r="AE43" s="2030"/>
      <c r="AF43" s="1558">
        <v>34</v>
      </c>
    </row>
    <row s="24434" customFormat="1" customHeight="1" ht="35.699999999999996">
      <c r="A44" s="1385"/>
      <c r="C44" s="2034"/>
      <c r="D44" s="2036"/>
      <c r="E44" s="2062" t="s">
        <v>93</v>
      </c>
      <c r="F44" s="1105" t="s">
        <v>773</v>
      </c>
      <c r="G44" s="2041" t="s">
        <v>774</v>
      </c>
      <c r="H44" s="943"/>
      <c r="I44" s="943"/>
      <c r="J44" s="687" t="s">
        <v>775</v>
      </c>
      <c r="K44" s="941"/>
      <c r="L44" s="2034"/>
      <c r="M44" s="2034"/>
      <c r="R44" s="2034"/>
      <c r="U44" s="942"/>
      <c r="AA44" s="2030"/>
      <c r="AB44" s="2030"/>
      <c r="AC44" s="2030"/>
      <c r="AD44" s="2030"/>
      <c r="AE44" s="2030"/>
      <c r="AF44" s="1558">
        <v>34</v>
      </c>
    </row>
    <row s="24434" customFormat="1" customHeight="1" ht="24">
      <c r="A45" s="1385"/>
      <c r="C45" s="2034"/>
      <c r="D45" s="2036"/>
      <c r="E45" s="2062" t="s">
        <v>94</v>
      </c>
      <c r="F45" s="1105" t="s">
        <v>776</v>
      </c>
      <c r="G45" s="2052" t="s">
        <v>777</v>
      </c>
      <c r="H45" s="943"/>
      <c r="I45" s="943"/>
      <c r="J45" s="687" t="s">
        <v>778</v>
      </c>
      <c r="K45" s="941"/>
      <c r="L45" s="2034"/>
      <c r="M45" s="2034"/>
      <c r="R45" s="2034"/>
      <c r="U45" s="942"/>
      <c r="AA45" s="2030"/>
      <c r="AB45" s="2030"/>
      <c r="AC45" s="2030"/>
      <c r="AD45" s="2030"/>
      <c r="AE45" s="2030"/>
      <c r="AF45" s="1558">
        <v>23</v>
      </c>
    </row>
    <row s="24434" customFormat="1" customHeight="1" ht="19.95">
      <c r="A46" s="1385"/>
      <c r="C46" s="2034"/>
      <c r="D46" s="2036"/>
      <c r="E46" s="2062" t="s">
        <v>113</v>
      </c>
      <c r="F46" s="1105" t="s">
        <v>779</v>
      </c>
      <c r="G46" s="2041" t="s">
        <v>596</v>
      </c>
      <c r="H46" s="975"/>
      <c r="I46" s="975"/>
      <c r="J46" s="687"/>
      <c r="K46" s="941"/>
      <c r="L46" s="2034"/>
      <c r="M46" s="2034"/>
      <c r="R46" s="2034"/>
      <c r="U46" s="942"/>
      <c r="AA46" s="2030"/>
      <c r="AB46" s="2030"/>
      <c r="AC46" s="2030"/>
      <c r="AD46" s="2030"/>
      <c r="AE46" s="2030"/>
      <c r="AF46" s="1558">
        <v>19</v>
      </c>
    </row>
    <row customHeight="1" ht="11.549999999999999">
      <c r="D47" s="2036"/>
      <c r="AF47" s="2029">
        <v>11</v>
      </c>
    </row>
    <row s="25006"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5006"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5006"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5006"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5006"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5006"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5006"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5006"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5006"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5006"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5006"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5006"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5006"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5006"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5006"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5006"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5006"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5006"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5006"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5006"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5006"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5006"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5006"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5006"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5006"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5006"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5006"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5006"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5006"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5006"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5006"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5006"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5006"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5006"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5006"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5006"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5006"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5006"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5006"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5006"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5006"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5006"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5006"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5006"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5006"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5006"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5006"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5006"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5006"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5006"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5006"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5006"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5006"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5006"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5006"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5006"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5006"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5006"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5006"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5006"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5006"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5006"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5006"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5006"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5006"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5006"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5006"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5006"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5006"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5006"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5006"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5006"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5006"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5006"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5006"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5006"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5006"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5006"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5006"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5006"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5006"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5006"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5006"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5006"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5006"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5006"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50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50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5006"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50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50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50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50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50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50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50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50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50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50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50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50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50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50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50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50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50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50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50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50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50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50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50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50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50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50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50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50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50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50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50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50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50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50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50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50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50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50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50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50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50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50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50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50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50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50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50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50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50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50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50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50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50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50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50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50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50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50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50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5006"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5006"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5006"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5006"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5006"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5006"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5006"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83</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9AE31-7115-1865-742F-50F139C6DF4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6615" width="10.7109375" hidden="1" customWidth="1"/>
    <col min="2" max="2" style="24434" width="16.8515625" hidden="1" customWidth="1"/>
    <col min="3" max="3" style="24435" width="5.57421875" hidden="1" customWidth="1"/>
    <col min="4" max="4" style="24354" width="3.00390625" customWidth="1"/>
    <col min="5" max="5" style="24354" width="7.00390625" customWidth="1"/>
    <col min="6" max="6" style="24354" width="54.00390625" customWidth="1"/>
    <col min="7" max="7" style="24354" width="10.00390625" customWidth="1"/>
    <col min="8" max="8" style="24354" width="40.7109375" hidden="1" customWidth="1"/>
    <col min="9" max="9" style="24354" width="40.00390625" customWidth="1"/>
    <col min="10" max="10" style="24354" width="102.00390625" customWidth="1"/>
    <col min="11" max="11" style="24434" width="9.00390625" customWidth="1"/>
    <col min="12" max="12" style="24435" width="5.00390625" customWidth="1"/>
    <col min="13" max="13" style="24435" width="3.00390625" customWidth="1"/>
    <col min="14" max="17" style="24434" width="3.00390625" customWidth="1"/>
    <col min="18" max="18" style="24435" width="10.00390625" customWidth="1"/>
    <col min="19" max="19" style="24434" width="34.00390625" customWidth="1"/>
    <col min="20" max="20" style="24434" width="9.00390625" customWidth="1"/>
    <col min="21" max="21" style="26616" width="8.00390625" customWidth="1"/>
    <col min="22" max="26" style="24434" width="8.00390625" customWidth="1"/>
    <col min="27" max="31" style="24318" width="8.00390625" customWidth="1"/>
    <col min="32" max="32" style="24354" width="9.140625" hidden="1"/>
  </cols>
  <sheetData>
    <row s="24434" customFormat="1" customHeight="1" ht="22.5" hidden="1">
      <c r="A1" s="1385"/>
      <c r="C1" s="2034"/>
      <c r="D1" s="935"/>
      <c r="H1" s="1558">
        <v>4</v>
      </c>
      <c r="I1" s="1558">
        <v>4</v>
      </c>
      <c r="L1" s="2034"/>
      <c r="M1" s="2034"/>
      <c r="R1" s="2034"/>
      <c r="AF1" s="1558" t="s">
        <v>14</v>
      </c>
    </row>
    <row s="24434" customFormat="1" customHeight="1" ht="22.5" hidden="1">
      <c r="A2" s="1385"/>
      <c r="C2" s="2034"/>
      <c r="D2" s="936"/>
      <c r="E2" s="2056"/>
      <c r="F2" s="938"/>
      <c r="G2" s="2055" t="s">
        <v>558</v>
      </c>
      <c r="H2" s="939"/>
      <c r="I2" s="939"/>
      <c r="J2" s="940" t="s">
        <v>561</v>
      </c>
      <c r="K2" s="941"/>
      <c r="L2" s="2034"/>
      <c r="M2" s="2034"/>
      <c r="R2" s="2034"/>
      <c r="U2" s="942"/>
      <c r="AA2" s="2030"/>
      <c r="AB2" s="2030"/>
      <c r="AC2" s="2030"/>
      <c r="AD2" s="2030"/>
      <c r="AE2" s="2030"/>
      <c r="AF2" s="1558">
        <v>0</v>
      </c>
    </row>
    <row customHeight="1" ht="11.25" hidden="1">
      <c r="AF3" s="2029">
        <v>0</v>
      </c>
    </row>
    <row s="24318"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780</v>
      </c>
      <c r="F6" s="2646"/>
      <c r="G6" s="2646"/>
      <c r="H6" s="2646"/>
      <c r="I6" s="2646"/>
      <c r="J6" s="954"/>
      <c r="AF6" s="2029">
        <v>32</v>
      </c>
    </row>
    <row customHeight="1" ht="25.2">
      <c r="E7" s="2647" t="str">
        <f>IF(org=0,"Не определено",org)</f>
        <v>ООО "Новая Энергетика"</v>
      </c>
      <c r="F7" s="2647"/>
      <c r="G7" s="2647"/>
      <c r="H7" s="2647"/>
      <c r="I7" s="2647"/>
      <c r="AF7" s="2029">
        <v>24</v>
      </c>
    </row>
    <row customHeight="1" ht="11.549999999999999">
      <c r="E8" s="1533"/>
      <c r="F8" s="1533"/>
      <c r="G8" s="1533"/>
      <c r="H8" s="1533"/>
      <c r="I8" s="1533"/>
      <c r="AF8" s="2029">
        <v>11</v>
      </c>
    </row>
    <row s="24435" customFormat="1" customHeight="1" ht="1.05">
      <c r="A9" s="1565"/>
      <c r="D9" s="2040"/>
      <c r="H9" s="1287"/>
      <c r="I9" s="1287" t="s">
        <v>118</v>
      </c>
      <c r="AF9" s="2034">
        <v>1</v>
      </c>
    </row>
    <row customHeight="1" ht="11.549999999999999">
      <c r="E10" s="1109"/>
      <c r="F10" s="2765" t="s">
        <v>106</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570</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571</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305</v>
      </c>
      <c r="F13" s="2768"/>
      <c r="G13" s="2768"/>
      <c r="H13" s="2054"/>
      <c r="I13" s="2054"/>
      <c r="J13" s="2525"/>
      <c r="AF13" s="2029">
        <v>11</v>
      </c>
    </row>
    <row customHeight="1" ht="24">
      <c r="E14" s="2055" t="s">
        <v>89</v>
      </c>
      <c r="F14" s="2058" t="s">
        <v>307</v>
      </c>
      <c r="G14" s="2058" t="s">
        <v>572</v>
      </c>
      <c r="H14" s="2058" t="s">
        <v>308</v>
      </c>
      <c r="I14" s="2058" t="s">
        <v>308</v>
      </c>
      <c r="J14" s="2525"/>
      <c r="AF14" s="2029">
        <v>23</v>
      </c>
    </row>
    <row customHeight="1" ht="19.95">
      <c r="D15" s="2036"/>
      <c r="E15" s="2028" t="s">
        <v>110</v>
      </c>
      <c r="F15" s="1105" t="s">
        <v>781</v>
      </c>
      <c r="G15" s="2055" t="s">
        <v>558</v>
      </c>
      <c r="H15" s="955"/>
      <c r="I15" s="955"/>
      <c r="J15" s="687" t="s">
        <v>782</v>
      </c>
      <c r="K15" s="941" t="s">
        <v>636</v>
      </c>
      <c r="AF15" s="2029">
        <v>19</v>
      </c>
    </row>
    <row customHeight="1" ht="24">
      <c r="D16" s="2036"/>
      <c r="E16" s="2028" t="s">
        <v>111</v>
      </c>
      <c r="F16" s="2063" t="s">
        <v>783</v>
      </c>
      <c r="G16" s="2055" t="s">
        <v>558</v>
      </c>
      <c r="H16" s="956">
        <f>SUM(H17,H20:H27)</f>
        <v>0</v>
      </c>
      <c r="I16" s="956">
        <f>SUM(I17,I20:I27)</f>
        <v>0</v>
      </c>
      <c r="J16" s="687" t="s">
        <v>784</v>
      </c>
      <c r="K16" s="941" t="s">
        <v>636</v>
      </c>
      <c r="AF16" s="2029">
        <v>23</v>
      </c>
    </row>
    <row customHeight="1" ht="35.699999999999996">
      <c r="D17" s="2036"/>
      <c r="E17" s="2062" t="s">
        <v>714</v>
      </c>
      <c r="F17" s="2065" t="s">
        <v>785</v>
      </c>
      <c r="G17" s="2052" t="s">
        <v>558</v>
      </c>
      <c r="H17" s="955"/>
      <c r="I17" s="955"/>
      <c r="J17" s="687" t="s">
        <v>786</v>
      </c>
      <c r="K17" s="941"/>
      <c r="AF17" s="2029">
        <v>34</v>
      </c>
    </row>
    <row customHeight="1" ht="19.95">
      <c r="D18" s="2036"/>
      <c r="E18" s="2062" t="s">
        <v>717</v>
      </c>
      <c r="F18" s="2066" t="s">
        <v>787</v>
      </c>
      <c r="G18" s="2052" t="s">
        <v>558</v>
      </c>
      <c r="H18" s="955"/>
      <c r="I18" s="955"/>
      <c r="J18" s="687"/>
      <c r="K18" s="941"/>
      <c r="AF18" s="2029">
        <v>19</v>
      </c>
    </row>
    <row customHeight="1" ht="24">
      <c r="D19" s="2036"/>
      <c r="E19" s="2062" t="s">
        <v>720</v>
      </c>
      <c r="F19" s="2066" t="s">
        <v>788</v>
      </c>
      <c r="G19" s="2052" t="s">
        <v>558</v>
      </c>
      <c r="H19" s="955"/>
      <c r="I19" s="955"/>
      <c r="J19" s="687"/>
      <c r="K19" s="941"/>
      <c r="AF19" s="2029">
        <v>23</v>
      </c>
    </row>
    <row customHeight="1" ht="35.699999999999996">
      <c r="D20" s="2036"/>
      <c r="E20" s="2062" t="s">
        <v>312</v>
      </c>
      <c r="F20" s="2065" t="s">
        <v>789</v>
      </c>
      <c r="G20" s="2052" t="s">
        <v>558</v>
      </c>
      <c r="H20" s="955"/>
      <c r="I20" s="955"/>
      <c r="J20" s="687"/>
      <c r="K20" s="941"/>
      <c r="AF20" s="2029">
        <v>34</v>
      </c>
    </row>
    <row customHeight="1" ht="48.29999999999999">
      <c r="D21" s="2036"/>
      <c r="E21" s="2062" t="s">
        <v>315</v>
      </c>
      <c r="F21" s="2065" t="s">
        <v>790</v>
      </c>
      <c r="G21" s="2052" t="s">
        <v>558</v>
      </c>
      <c r="H21" s="955"/>
      <c r="I21" s="955"/>
      <c r="J21" s="687"/>
      <c r="K21" s="941"/>
      <c r="AF21" s="2029">
        <v>46</v>
      </c>
    </row>
    <row customHeight="1" ht="60">
      <c r="D22" s="2036"/>
      <c r="E22" s="2062" t="s">
        <v>734</v>
      </c>
      <c r="F22" s="2065" t="s">
        <v>791</v>
      </c>
      <c r="G22" s="2052" t="s">
        <v>558</v>
      </c>
      <c r="H22" s="955"/>
      <c r="I22" s="955"/>
      <c r="J22" s="687"/>
      <c r="K22" s="941"/>
      <c r="AF22" s="2029">
        <v>57</v>
      </c>
    </row>
    <row customHeight="1" ht="35.699999999999996">
      <c r="D23" s="2036"/>
      <c r="E23" s="2062" t="s">
        <v>741</v>
      </c>
      <c r="F23" s="2065" t="s">
        <v>792</v>
      </c>
      <c r="G23" s="2052" t="s">
        <v>558</v>
      </c>
      <c r="H23" s="955"/>
      <c r="I23" s="955"/>
      <c r="J23" s="687"/>
      <c r="K23" s="941"/>
      <c r="AF23" s="2029">
        <v>34</v>
      </c>
    </row>
    <row customHeight="1" ht="35.699999999999996">
      <c r="D24" s="2036"/>
      <c r="E24" s="2062" t="s">
        <v>743</v>
      </c>
      <c r="F24" s="2065" t="s">
        <v>793</v>
      </c>
      <c r="G24" s="2052" t="s">
        <v>558</v>
      </c>
      <c r="H24" s="955"/>
      <c r="I24" s="955"/>
      <c r="J24" s="687"/>
      <c r="K24" s="941"/>
      <c r="AF24" s="2029">
        <v>34</v>
      </c>
    </row>
    <row customHeight="1" ht="24">
      <c r="D25" s="2036"/>
      <c r="E25" s="2062" t="s">
        <v>745</v>
      </c>
      <c r="F25" s="2065" t="s">
        <v>794</v>
      </c>
      <c r="G25" s="2052" t="s">
        <v>558</v>
      </c>
      <c r="H25" s="955"/>
      <c r="I25" s="955"/>
      <c r="J25" s="687"/>
      <c r="K25" s="941"/>
      <c r="AF25" s="2029">
        <v>23</v>
      </c>
    </row>
    <row customHeight="1" ht="76.5">
      <c r="D26" s="2036"/>
      <c r="E26" s="2062" t="s">
        <v>747</v>
      </c>
      <c r="F26" s="2065" t="s">
        <v>795</v>
      </c>
      <c r="G26" s="2052" t="s">
        <v>558</v>
      </c>
      <c r="H26" s="955"/>
      <c r="I26" s="955"/>
      <c r="J26" s="687"/>
      <c r="K26" s="941"/>
      <c r="AF26" s="2029">
        <v>73</v>
      </c>
    </row>
    <row s="24434" customFormat="1" customHeight="1" ht="35.699999999999996">
      <c r="A27" s="1385"/>
      <c r="C27" s="2034"/>
      <c r="D27" s="2036"/>
      <c r="E27" s="2027" t="s">
        <v>751</v>
      </c>
      <c r="F27" s="2026" t="s">
        <v>796</v>
      </c>
      <c r="G27" s="2053" t="s">
        <v>558</v>
      </c>
      <c r="H27" s="977">
        <f>SUM(H28:H29)</f>
        <v>0</v>
      </c>
      <c r="I27" s="977">
        <f>SUM(I28:I29)</f>
        <v>0</v>
      </c>
      <c r="J27" s="687" t="s">
        <v>749</v>
      </c>
      <c r="K27" s="941"/>
      <c r="L27" s="2034"/>
      <c r="M27" s="2034"/>
      <c r="R27" s="2034"/>
      <c r="U27" s="942"/>
      <c r="AA27" s="2030"/>
      <c r="AB27" s="2030"/>
      <c r="AC27" s="2030"/>
      <c r="AD27" s="2030"/>
      <c r="AE27" s="2030"/>
      <c r="AF27" s="1558">
        <v>34</v>
      </c>
    </row>
    <row s="24435" customFormat="1" customHeight="1" ht="1.05">
      <c r="A28" s="1565"/>
      <c r="D28" s="946"/>
      <c r="E28" s="1200" t="str">
        <f>E27&amp;".0"</f>
        <v>2.9.0</v>
      </c>
      <c r="F28" s="1389"/>
      <c r="G28" s="949"/>
      <c r="H28" s="1390"/>
      <c r="I28" s="1390"/>
      <c r="J28" s="1391"/>
      <c r="AF28" s="2034">
        <v>1</v>
      </c>
    </row>
    <row s="24434" customFormat="1" customHeight="1" ht="19.95">
      <c r="A29" s="1385"/>
      <c r="C29" s="2034"/>
      <c r="D29" s="2031"/>
      <c r="E29" s="968"/>
      <c r="F29" s="2064" t="s">
        <v>583</v>
      </c>
      <c r="G29" s="970"/>
      <c r="H29" s="971"/>
      <c r="I29" s="971"/>
      <c r="J29" s="699" t="s">
        <v>750</v>
      </c>
      <c r="K29" s="941"/>
      <c r="L29" s="2034"/>
      <c r="M29" s="2034"/>
      <c r="R29" s="2034"/>
      <c r="U29" s="942"/>
      <c r="AA29" s="2030"/>
      <c r="AB29" s="2030"/>
      <c r="AC29" s="2030"/>
      <c r="AD29" s="2030"/>
      <c r="AE29" s="2030"/>
      <c r="AF29" s="1558">
        <v>19</v>
      </c>
    </row>
    <row s="24434" customFormat="1" customHeight="1" ht="24">
      <c r="A30" s="1385"/>
      <c r="C30" s="2034"/>
      <c r="D30" s="2036"/>
      <c r="E30" s="2062" t="s">
        <v>91</v>
      </c>
      <c r="F30" s="2059" t="s">
        <v>797</v>
      </c>
      <c r="G30" s="2052" t="s">
        <v>558</v>
      </c>
      <c r="H30" s="955"/>
      <c r="I30" s="955"/>
      <c r="J30" s="687"/>
      <c r="K30" s="941"/>
      <c r="L30" s="2034"/>
      <c r="M30" s="2034"/>
      <c r="R30" s="2034"/>
      <c r="U30" s="942"/>
      <c r="AA30" s="2030"/>
      <c r="AB30" s="2030"/>
      <c r="AC30" s="2030"/>
      <c r="AD30" s="2030"/>
      <c r="AE30" s="2030"/>
      <c r="AF30" s="1558">
        <v>23</v>
      </c>
    </row>
    <row s="24434" customFormat="1" customHeight="1" ht="35.699999999999996">
      <c r="A31" s="1385"/>
      <c r="C31" s="2034"/>
      <c r="D31" s="973"/>
      <c r="E31" s="2062" t="s">
        <v>92</v>
      </c>
      <c r="F31" s="2059" t="s">
        <v>798</v>
      </c>
      <c r="G31" s="2052" t="s">
        <v>558</v>
      </c>
      <c r="H31" s="955"/>
      <c r="I31" s="955"/>
      <c r="J31" s="687" t="s">
        <v>799</v>
      </c>
      <c r="K31" s="941"/>
      <c r="L31" s="2034"/>
      <c r="M31" s="2034"/>
      <c r="R31" s="2034"/>
      <c r="U31" s="942"/>
      <c r="AA31" s="2030"/>
      <c r="AB31" s="2030"/>
      <c r="AC31" s="2030"/>
      <c r="AD31" s="2030"/>
      <c r="AE31" s="2030"/>
      <c r="AF31" s="1558">
        <v>34</v>
      </c>
    </row>
    <row s="24434" customFormat="1" customHeight="1" ht="24">
      <c r="A32" s="1385"/>
      <c r="C32" s="2034"/>
      <c r="D32" s="2036"/>
      <c r="E32" s="2062" t="s">
        <v>759</v>
      </c>
      <c r="F32" s="1088" t="s">
        <v>763</v>
      </c>
      <c r="G32" s="2052" t="s">
        <v>558</v>
      </c>
      <c r="H32" s="955"/>
      <c r="I32" s="955"/>
      <c r="J32" s="687" t="s">
        <v>800</v>
      </c>
      <c r="K32" s="941"/>
      <c r="L32" s="2034"/>
      <c r="M32" s="2034"/>
      <c r="R32" s="2034"/>
      <c r="U32" s="942"/>
      <c r="AA32" s="2030"/>
      <c r="AB32" s="2030"/>
      <c r="AC32" s="2030"/>
      <c r="AD32" s="2030"/>
      <c r="AE32" s="2030"/>
      <c r="AF32" s="1558">
        <v>23</v>
      </c>
    </row>
    <row s="24434" customFormat="1" customHeight="1" ht="24">
      <c r="A33" s="1385"/>
      <c r="C33" s="2034"/>
      <c r="D33" s="2036"/>
      <c r="E33" s="2062" t="s">
        <v>801</v>
      </c>
      <c r="F33" s="1088" t="s">
        <v>802</v>
      </c>
      <c r="G33" s="2052" t="s">
        <v>558</v>
      </c>
      <c r="H33" s="955"/>
      <c r="I33" s="955"/>
      <c r="J33" s="687" t="s">
        <v>803</v>
      </c>
      <c r="K33" s="941"/>
      <c r="L33" s="2034"/>
      <c r="M33" s="2034"/>
      <c r="R33" s="2034"/>
      <c r="U33" s="942"/>
      <c r="AA33" s="2030"/>
      <c r="AB33" s="2030"/>
      <c r="AC33" s="2030"/>
      <c r="AD33" s="2030"/>
      <c r="AE33" s="2030"/>
      <c r="AF33" s="1558">
        <v>23</v>
      </c>
    </row>
    <row s="24434" customFormat="1" customHeight="1" ht="24">
      <c r="A34" s="1385"/>
      <c r="C34" s="2034"/>
      <c r="D34" s="2036"/>
      <c r="E34" s="2062" t="s">
        <v>804</v>
      </c>
      <c r="F34" s="1088" t="s">
        <v>769</v>
      </c>
      <c r="G34" s="2052" t="s">
        <v>558</v>
      </c>
      <c r="H34" s="955"/>
      <c r="I34" s="955"/>
      <c r="J34" s="687" t="s">
        <v>805</v>
      </c>
      <c r="K34" s="941"/>
      <c r="L34" s="2034"/>
      <c r="M34" s="2034"/>
      <c r="R34" s="2034"/>
      <c r="U34" s="942"/>
      <c r="AA34" s="2030"/>
      <c r="AB34" s="2030"/>
      <c r="AC34" s="2030"/>
      <c r="AD34" s="2030"/>
      <c r="AE34" s="2030"/>
      <c r="AF34" s="1558">
        <v>23</v>
      </c>
    </row>
    <row s="24434" customFormat="1" customHeight="1" ht="35.699999999999996">
      <c r="A35" s="1385"/>
      <c r="C35" s="2034" t="s">
        <v>594</v>
      </c>
      <c r="D35" s="2036"/>
      <c r="E35" s="2062" t="s">
        <v>112</v>
      </c>
      <c r="F35" s="2059" t="s">
        <v>635</v>
      </c>
      <c r="G35" s="2055" t="s">
        <v>311</v>
      </c>
      <c r="H35" s="799"/>
      <c r="I35" s="799"/>
      <c r="J35" s="687" t="s">
        <v>806</v>
      </c>
      <c r="K35" s="941"/>
      <c r="L35" s="2034"/>
      <c r="M35" s="2034"/>
      <c r="R35" s="2034"/>
      <c r="U35" s="942"/>
      <c r="AA35" s="2030"/>
      <c r="AB35" s="2030"/>
      <c r="AC35" s="2030"/>
      <c r="AD35" s="2030"/>
      <c r="AE35" s="2030"/>
      <c r="AF35" s="1558">
        <v>34</v>
      </c>
    </row>
    <row s="24434" customFormat="1" customHeight="1" ht="35.699999999999996">
      <c r="A36" s="1385"/>
      <c r="C36" s="2034"/>
      <c r="D36" s="2036"/>
      <c r="E36" s="2062" t="s">
        <v>93</v>
      </c>
      <c r="F36" s="2059" t="s">
        <v>807</v>
      </c>
      <c r="G36" s="2052" t="s">
        <v>774</v>
      </c>
      <c r="H36" s="943"/>
      <c r="I36" s="943"/>
      <c r="J36" s="687" t="s">
        <v>775</v>
      </c>
      <c r="K36" s="941"/>
      <c r="L36" s="2034"/>
      <c r="M36" s="2034"/>
      <c r="R36" s="2034"/>
      <c r="U36" s="942"/>
      <c r="AA36" s="2030"/>
      <c r="AB36" s="2030"/>
      <c r="AC36" s="2030"/>
      <c r="AD36" s="2030"/>
      <c r="AE36" s="2030"/>
      <c r="AF36" s="1558">
        <v>34</v>
      </c>
    </row>
    <row s="24434" customFormat="1" customHeight="1" ht="24">
      <c r="A37" s="1385"/>
      <c r="C37" s="2034"/>
      <c r="D37" s="2036"/>
      <c r="E37" s="2062" t="s">
        <v>94</v>
      </c>
      <c r="F37" s="2059" t="s">
        <v>808</v>
      </c>
      <c r="G37" s="2052" t="s">
        <v>777</v>
      </c>
      <c r="H37" s="943"/>
      <c r="I37" s="943"/>
      <c r="J37" s="687" t="s">
        <v>778</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809</v>
      </c>
      <c r="F39" s="2683" t="s">
        <v>810</v>
      </c>
      <c r="G39" s="2683"/>
      <c r="H39" s="767"/>
      <c r="I39" s="767"/>
      <c r="J39" s="767"/>
      <c r="AF39" s="2029">
        <v>26</v>
      </c>
    </row>
    <row s="25006" customFormat="1" customHeight="1" ht="39.75">
      <c r="A40" s="1385"/>
      <c r="B40" s="2034"/>
      <c r="C40" s="2034"/>
      <c r="D40" s="749"/>
      <c r="F40" s="2683" t="s">
        <v>811</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25006"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25006"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25006"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25006"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25006"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25006"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25006"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25006"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5006"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5006"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5006"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5006"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5006"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5006"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5006"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5006"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5006"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5006"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5006"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5006"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5006"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5006"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5006"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5006"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5006"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5006"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5006"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5006"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5006"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5006"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5006"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5006"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5006"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5006"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5006"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5006"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5006"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5006"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5006"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5006"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5006"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5006"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5006"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5006"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5006"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5006"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5006"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5006"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5006"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5006"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5006"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5006"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5006"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5006"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5006"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5006"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5006"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5006"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5006"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5006"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5006"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5006"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5006"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5006"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5006"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5006"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5006"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5006"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5006"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5006"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5006"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5006"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5006"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5006"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5006"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5006"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5006"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5006"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5006"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5006"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5006"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5006"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5006"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5006"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5006"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5006"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5006"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5006"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5006"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5006"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5006"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5006"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5006"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50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50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5006"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50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50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50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50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50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50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50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50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50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50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50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50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50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50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50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50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50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50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50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50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50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50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50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50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50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50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50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50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50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50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50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50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50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50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50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50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50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50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50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50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50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50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50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50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50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50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50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50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50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50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50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50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50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50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50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50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50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50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50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83</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76569-CFF8-BC28-057B-5E4B8880066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6842" width="9.140625" hidden="1" customWidth="1"/>
    <col min="2" max="2" style="24435" width="3.57421875" hidden="1" customWidth="1"/>
    <col min="3" max="3" style="24354" width="3.00390625" customWidth="1"/>
    <col min="4" max="4" style="24354" width="7.00390625" customWidth="1"/>
    <col min="5" max="5" style="24354" width="69.00390625" customWidth="1"/>
    <col min="6" max="6" style="24354" width="10.00390625" customWidth="1"/>
    <col min="7" max="8" style="24354" width="44.00390625" hidden="1" customWidth="1"/>
    <col min="9" max="9" style="24354" width="44.00390625" customWidth="1"/>
    <col min="10" max="10" style="24354" width="43.00390625" customWidth="1"/>
    <col min="11" max="11" style="24354" width="73.00390625" customWidth="1"/>
    <col min="12" max="12" style="24354" width="3.00390625" customWidth="1"/>
    <col min="13" max="23" style="24354" width="10.00390625" customWidth="1"/>
    <col min="24" max="24" style="24354" width="10.57421875" hidden="1"/>
  </cols>
  <sheetData>
    <row s="24434"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24354" customFormat="1" customHeight="1" ht="21">
      <c r="A4" s="1349"/>
      <c r="B4" s="909"/>
      <c r="D4" s="2612" t="str">
        <f>IF(org=0,"Не определено",org)</f>
        <v>ООО "Новая Энергетика"</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118</v>
      </c>
      <c r="J6" s="1420"/>
      <c r="X6" s="903">
        <v>1</v>
      </c>
    </row>
    <row customHeight="1" ht="11.549999999999999">
      <c r="D7" s="1109"/>
      <c r="E7" s="2765" t="s">
        <v>106</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570</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571</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24354" customFormat="1" customHeight="1" ht="11.549999999999999">
      <c r="A10" s="1419"/>
      <c r="B10" s="909"/>
      <c r="D10" s="2499" t="s">
        <v>305</v>
      </c>
      <c r="E10" s="2500"/>
      <c r="F10" s="2500"/>
      <c r="G10" s="2500"/>
      <c r="H10" s="2500"/>
      <c r="I10" s="2500"/>
      <c r="J10" s="2501"/>
      <c r="K10" s="2597"/>
      <c r="L10" s="907"/>
      <c r="X10" s="1156">
        <v>11</v>
      </c>
    </row>
    <row s="24354" customFormat="1" customHeight="1" ht="24">
      <c r="A11" s="2783"/>
      <c r="B11" s="2783"/>
      <c r="C11" s="1055"/>
      <c r="D11" s="1101" t="s">
        <v>89</v>
      </c>
      <c r="E11" s="1103" t="s">
        <v>812</v>
      </c>
      <c r="F11" s="1103" t="s">
        <v>572</v>
      </c>
      <c r="G11" s="863" t="s">
        <v>308</v>
      </c>
      <c r="H11" s="863" t="s">
        <v>395</v>
      </c>
      <c r="I11" s="1205" t="s">
        <v>308</v>
      </c>
      <c r="J11" s="1206" t="s">
        <v>395</v>
      </c>
      <c r="K11" s="2630"/>
      <c r="L11" s="1056"/>
      <c r="X11" s="907">
        <v>23</v>
      </c>
    </row>
    <row s="24435" customFormat="1" customHeight="1" ht="10.5">
      <c r="A12" s="1350"/>
      <c r="D12" s="1423" t="s">
        <v>110</v>
      </c>
      <c r="E12" s="1423" t="s">
        <v>111</v>
      </c>
      <c r="F12" s="1423" t="s">
        <v>91</v>
      </c>
      <c r="G12" s="1424" t="str">
        <f>G1&amp;".1"</f>
        <v>4.1</v>
      </c>
      <c r="H12" s="1424" t="str">
        <f>G1&amp;".2"</f>
        <v>4.2</v>
      </c>
      <c r="I12" s="1424" t="str">
        <f>I1&amp;".1"</f>
        <v>4.1</v>
      </c>
      <c r="J12" s="1424" t="str">
        <f>I1&amp;".2"</f>
        <v>4.2</v>
      </c>
      <c r="K12" s="1424"/>
      <c r="X12" s="909">
        <v>10</v>
      </c>
    </row>
    <row customHeight="1" ht="22.5">
      <c r="A13" s="2790" t="s">
        <v>813</v>
      </c>
      <c r="D13" s="1351" t="s">
        <v>110</v>
      </c>
      <c r="E13" s="677" t="s">
        <v>814</v>
      </c>
      <c r="F13" s="1058" t="s">
        <v>815</v>
      </c>
      <c r="G13" s="955"/>
      <c r="H13" s="1059"/>
      <c r="I13" s="955"/>
      <c r="J13" s="1059"/>
      <c r="K13" s="687" t="s">
        <v>816</v>
      </c>
      <c r="L13" s="1118"/>
      <c r="X13" s="903">
        <v>0</v>
      </c>
    </row>
    <row customHeight="1" ht="22.5">
      <c r="A14" s="2790"/>
      <c r="D14" s="937" t="s">
        <v>111</v>
      </c>
      <c r="E14" s="677" t="s">
        <v>817</v>
      </c>
      <c r="F14" s="1058" t="s">
        <v>818</v>
      </c>
      <c r="G14" s="955"/>
      <c r="H14" s="1060"/>
      <c r="I14" s="955"/>
      <c r="J14" s="1060"/>
      <c r="K14" s="687" t="s">
        <v>819</v>
      </c>
      <c r="L14" s="1118"/>
      <c r="X14" s="903">
        <v>0</v>
      </c>
    </row>
    <row s="24354" customFormat="1" customHeight="1" ht="78.75">
      <c r="A15" s="2790"/>
      <c r="B15" s="909"/>
      <c r="D15" s="1351" t="s">
        <v>91</v>
      </c>
      <c r="E15" s="1105" t="s">
        <v>820</v>
      </c>
      <c r="F15" s="1348" t="s">
        <v>311</v>
      </c>
      <c r="G15" s="1348" t="s">
        <v>311</v>
      </c>
      <c r="H15" s="504"/>
      <c r="I15" s="1348" t="s">
        <v>311</v>
      </c>
      <c r="J15" s="504"/>
      <c r="K15" s="687" t="s">
        <v>821</v>
      </c>
      <c r="L15" s="1118"/>
      <c r="X15" s="1156">
        <v>0</v>
      </c>
    </row>
    <row s="24354" customFormat="1" customHeight="1" ht="22.5">
      <c r="A16" s="2790"/>
      <c r="B16" s="909"/>
      <c r="D16" s="1351" t="s">
        <v>329</v>
      </c>
      <c r="E16" s="1352" t="s">
        <v>822</v>
      </c>
      <c r="F16" s="1348" t="s">
        <v>823</v>
      </c>
      <c r="G16" s="1215"/>
      <c r="H16" s="504"/>
      <c r="I16" s="1215"/>
      <c r="J16" s="504"/>
      <c r="K16" s="687"/>
      <c r="L16" s="1118"/>
      <c r="X16" s="1156">
        <v>0</v>
      </c>
    </row>
    <row s="24354" customFormat="1" customHeight="1" ht="22.5">
      <c r="A17" s="2790"/>
      <c r="B17" s="909"/>
      <c r="D17" s="1351" t="s">
        <v>337</v>
      </c>
      <c r="E17" s="1352" t="s">
        <v>824</v>
      </c>
      <c r="F17" s="1348" t="s">
        <v>825</v>
      </c>
      <c r="G17" s="1215"/>
      <c r="H17" s="504"/>
      <c r="I17" s="1215"/>
      <c r="J17" s="504"/>
      <c r="K17" s="687"/>
      <c r="L17" s="1118"/>
      <c r="X17" s="1156">
        <v>0</v>
      </c>
    </row>
    <row s="24354" customFormat="1" customHeight="1" ht="33.75">
      <c r="A18" s="2790"/>
      <c r="B18" s="909"/>
      <c r="D18" s="1351" t="s">
        <v>339</v>
      </c>
      <c r="E18" s="1352" t="s">
        <v>826</v>
      </c>
      <c r="F18" s="1348" t="s">
        <v>577</v>
      </c>
      <c r="G18" s="1078"/>
      <c r="H18" s="504"/>
      <c r="I18" s="1078"/>
      <c r="J18" s="504"/>
      <c r="K18" s="687"/>
      <c r="L18" s="1118"/>
      <c r="X18" s="1156">
        <v>0</v>
      </c>
    </row>
    <row customHeight="1" ht="101.25">
      <c r="A19" s="2790"/>
      <c r="D19" s="1351" t="s">
        <v>92</v>
      </c>
      <c r="E19" s="677" t="s">
        <v>827</v>
      </c>
      <c r="F19" s="1058" t="s">
        <v>552</v>
      </c>
      <c r="G19" s="1061"/>
      <c r="H19" s="1060"/>
      <c r="I19" s="1353"/>
      <c r="J19" s="1060"/>
      <c r="K19" s="687" t="s">
        <v>828</v>
      </c>
      <c r="L19" s="1118"/>
      <c r="X19" s="903">
        <v>0</v>
      </c>
    </row>
    <row s="24354" customFormat="1" customHeight="1" ht="18.75">
      <c r="A20" s="2790"/>
      <c r="C20" s="1354"/>
      <c r="D20" s="1351" t="s">
        <v>759</v>
      </c>
      <c r="E20" s="1352" t="s">
        <v>829</v>
      </c>
      <c r="F20" s="1348" t="s">
        <v>311</v>
      </c>
      <c r="G20" s="1348" t="s">
        <v>311</v>
      </c>
      <c r="H20" s="1347" t="s">
        <v>311</v>
      </c>
      <c r="I20" s="1348" t="s">
        <v>311</v>
      </c>
      <c r="J20" s="1347" t="s">
        <v>311</v>
      </c>
      <c r="K20" s="1346"/>
      <c r="L20" s="1118"/>
      <c r="W20" s="1073"/>
      <c r="X20" s="1156">
        <v>0</v>
      </c>
    </row>
    <row s="24354" customFormat="1" customHeight="1" ht="33.75">
      <c r="A21" s="2790"/>
      <c r="C21" s="1354"/>
      <c r="D21" s="1351" t="s">
        <v>762</v>
      </c>
      <c r="E21" s="974" t="s">
        <v>830</v>
      </c>
      <c r="F21" s="1348" t="s">
        <v>831</v>
      </c>
      <c r="G21" s="1078"/>
      <c r="H21" s="504"/>
      <c r="I21" s="1078"/>
      <c r="J21" s="504"/>
      <c r="K21" s="1346"/>
      <c r="L21" s="1118"/>
      <c r="W21" s="1073"/>
      <c r="X21" s="1156">
        <v>0</v>
      </c>
    </row>
    <row s="24354" customFormat="1" customHeight="1" ht="33.75">
      <c r="A22" s="2790"/>
      <c r="C22" s="1354"/>
      <c r="D22" s="1351" t="s">
        <v>765</v>
      </c>
      <c r="E22" s="974" t="s">
        <v>832</v>
      </c>
      <c r="F22" s="1348" t="s">
        <v>833</v>
      </c>
      <c r="G22" s="1078"/>
      <c r="H22" s="504"/>
      <c r="I22" s="1078"/>
      <c r="J22" s="504"/>
      <c r="K22" s="1346"/>
      <c r="L22" s="1118"/>
      <c r="W22" s="1073"/>
      <c r="X22" s="1156">
        <v>0</v>
      </c>
    </row>
    <row s="24354" customFormat="1" customHeight="1" ht="22.5">
      <c r="A23" s="2790"/>
      <c r="C23" s="1354"/>
      <c r="D23" s="1351" t="s">
        <v>801</v>
      </c>
      <c r="E23" s="1352" t="s">
        <v>834</v>
      </c>
      <c r="F23" s="1348" t="s">
        <v>311</v>
      </c>
      <c r="G23" s="1348" t="s">
        <v>311</v>
      </c>
      <c r="H23" s="1347" t="s">
        <v>311</v>
      </c>
      <c r="I23" s="1348" t="s">
        <v>311</v>
      </c>
      <c r="J23" s="1347" t="s">
        <v>311</v>
      </c>
      <c r="K23" s="1346"/>
      <c r="L23" s="1118"/>
      <c r="W23" s="1073"/>
      <c r="X23" s="1156">
        <v>0</v>
      </c>
    </row>
    <row s="24354" customFormat="1" customHeight="1" ht="22.5">
      <c r="A24" s="2790"/>
      <c r="C24" s="1354"/>
      <c r="D24" s="1351" t="s">
        <v>835</v>
      </c>
      <c r="E24" s="974" t="s">
        <v>836</v>
      </c>
      <c r="F24" s="1348" t="s">
        <v>837</v>
      </c>
      <c r="G24" s="1078"/>
      <c r="H24" s="1084"/>
      <c r="I24" s="1078"/>
      <c r="J24" s="1084"/>
      <c r="K24" s="1346"/>
      <c r="L24" s="1118"/>
      <c r="W24" s="1073"/>
      <c r="X24" s="1156">
        <v>0</v>
      </c>
    </row>
    <row s="24354" customFormat="1" customHeight="1" ht="22.5">
      <c r="A25" s="2790"/>
      <c r="C25" s="1354"/>
      <c r="D25" s="1351" t="s">
        <v>838</v>
      </c>
      <c r="E25" s="974" t="s">
        <v>839</v>
      </c>
      <c r="F25" s="1348" t="s">
        <v>311</v>
      </c>
      <c r="G25" s="1348" t="s">
        <v>311</v>
      </c>
      <c r="H25" s="1347" t="s">
        <v>311</v>
      </c>
      <c r="I25" s="1348" t="s">
        <v>311</v>
      </c>
      <c r="J25" s="1347" t="s">
        <v>311</v>
      </c>
      <c r="K25" s="1346"/>
      <c r="L25" s="1118"/>
      <c r="W25" s="1073"/>
      <c r="X25" s="1156">
        <v>0</v>
      </c>
    </row>
    <row s="24354" customFormat="1" customHeight="1" ht="18.75">
      <c r="A26" s="2790"/>
      <c r="C26" s="1354"/>
      <c r="D26" s="1351" t="s">
        <v>840</v>
      </c>
      <c r="E26" s="951" t="s">
        <v>841</v>
      </c>
      <c r="F26" s="1348" t="s">
        <v>842</v>
      </c>
      <c r="G26" s="1078"/>
      <c r="H26" s="1084"/>
      <c r="I26" s="1078"/>
      <c r="J26" s="1084"/>
      <c r="K26" s="1346"/>
      <c r="L26" s="1118"/>
      <c r="W26" s="1073"/>
      <c r="X26" s="1156">
        <v>0</v>
      </c>
    </row>
    <row s="24354" customFormat="1" customHeight="1" ht="18.75">
      <c r="A27" s="2790"/>
      <c r="C27" s="1354"/>
      <c r="D27" s="1351" t="s">
        <v>843</v>
      </c>
      <c r="E27" s="951" t="s">
        <v>844</v>
      </c>
      <c r="F27" s="1348" t="s">
        <v>845</v>
      </c>
      <c r="G27" s="1078"/>
      <c r="H27" s="1084"/>
      <c r="I27" s="1078"/>
      <c r="J27" s="1084"/>
      <c r="K27" s="1346"/>
      <c r="L27" s="1118"/>
      <c r="W27" s="1073"/>
      <c r="X27" s="1156">
        <v>0</v>
      </c>
    </row>
    <row s="24354" customFormat="1" customHeight="1" ht="18.75">
      <c r="A28" s="2790"/>
      <c r="C28" s="1354"/>
      <c r="D28" s="1351" t="s">
        <v>846</v>
      </c>
      <c r="E28" s="974" t="s">
        <v>847</v>
      </c>
      <c r="F28" s="1348" t="s">
        <v>311</v>
      </c>
      <c r="G28" s="1348" t="s">
        <v>311</v>
      </c>
      <c r="H28" s="1347" t="s">
        <v>311</v>
      </c>
      <c r="I28" s="1348" t="s">
        <v>311</v>
      </c>
      <c r="J28" s="1347" t="s">
        <v>311</v>
      </c>
      <c r="K28" s="1346"/>
      <c r="L28" s="1118"/>
      <c r="W28" s="1073"/>
      <c r="X28" s="1156">
        <v>0</v>
      </c>
    </row>
    <row s="24354" customFormat="1" customHeight="1" ht="18.75">
      <c r="A29" s="2790"/>
      <c r="C29" s="1354"/>
      <c r="D29" s="1351" t="s">
        <v>848</v>
      </c>
      <c r="E29" s="951" t="s">
        <v>841</v>
      </c>
      <c r="F29" s="1348" t="s">
        <v>849</v>
      </c>
      <c r="G29" s="1078"/>
      <c r="H29" s="1084"/>
      <c r="I29" s="1078"/>
      <c r="J29" s="1084"/>
      <c r="K29" s="1346"/>
      <c r="L29" s="1118"/>
      <c r="W29" s="1073"/>
      <c r="X29" s="1156">
        <v>0</v>
      </c>
    </row>
    <row s="24354" customFormat="1" customHeight="1" ht="18.75">
      <c r="A30" s="2790"/>
      <c r="C30" s="1354"/>
      <c r="D30" s="1351" t="s">
        <v>850</v>
      </c>
      <c r="E30" s="951" t="s">
        <v>851</v>
      </c>
      <c r="F30" s="1348" t="s">
        <v>852</v>
      </c>
      <c r="G30" s="1078"/>
      <c r="H30" s="1084"/>
      <c r="I30" s="1078"/>
      <c r="J30" s="1084"/>
      <c r="K30" s="1346"/>
      <c r="L30" s="1118"/>
      <c r="W30" s="1073"/>
      <c r="X30" s="1156">
        <v>0</v>
      </c>
    </row>
    <row customHeight="1" ht="126.75">
      <c r="A31" s="2790"/>
      <c r="D31" s="1351" t="s">
        <v>112</v>
      </c>
      <c r="E31" s="677" t="s">
        <v>853</v>
      </c>
      <c r="F31" s="1058" t="s">
        <v>564</v>
      </c>
      <c r="G31" s="955"/>
      <c r="H31" s="1060"/>
      <c r="I31" s="955"/>
      <c r="J31" s="1060"/>
      <c r="K31" s="687" t="s">
        <v>854</v>
      </c>
      <c r="L31" s="1118"/>
      <c r="X31" s="903">
        <v>0</v>
      </c>
    </row>
    <row customHeight="1" ht="56.25">
      <c r="A32" s="2790"/>
      <c r="D32" s="1351" t="s">
        <v>93</v>
      </c>
      <c r="E32" s="677" t="s">
        <v>855</v>
      </c>
      <c r="F32" s="937" t="s">
        <v>825</v>
      </c>
      <c r="G32" s="955"/>
      <c r="H32" s="1060"/>
      <c r="I32" s="955"/>
      <c r="J32" s="1060"/>
      <c r="K32" s="687" t="s">
        <v>856</v>
      </c>
      <c r="L32" s="1118"/>
      <c r="X32" s="903">
        <v>0</v>
      </c>
    </row>
    <row customHeight="1" ht="11.25">
      <c r="A33" s="2790"/>
      <c r="E33" s="1062"/>
      <c r="F33" s="579"/>
      <c r="G33" s="579"/>
      <c r="H33" s="579"/>
      <c r="I33" s="579"/>
      <c r="J33" s="579"/>
      <c r="K33" s="579"/>
      <c r="X33" s="903">
        <v>0</v>
      </c>
    </row>
    <row customHeight="1" ht="12.75">
      <c r="A34" s="2790"/>
      <c r="D34" s="463">
        <v>1</v>
      </c>
      <c r="E34" s="733" t="s">
        <v>857</v>
      </c>
      <c r="X34" s="903">
        <v>0</v>
      </c>
    </row>
    <row customHeight="1" ht="11.25">
      <c r="A35" s="2790"/>
      <c r="D35" s="767"/>
      <c r="E35" s="733" t="s">
        <v>858</v>
      </c>
      <c r="X35" s="903">
        <v>0</v>
      </c>
    </row>
    <row s="24354" customFormat="1" customHeight="1" ht="11.549999999999999">
      <c r="A36" s="1431"/>
      <c r="B36" s="916"/>
      <c r="D36" s="1432"/>
      <c r="E36" s="1433"/>
      <c r="X36" s="907">
        <v>11</v>
      </c>
    </row>
    <row s="24354" customFormat="1" customHeight="1" ht="22.5" hidden="1">
      <c r="A37" s="2790" t="s">
        <v>859</v>
      </c>
      <c r="B37" s="909"/>
      <c r="D37" s="1351">
        <v>1</v>
      </c>
      <c r="E37" s="1105" t="s">
        <v>860</v>
      </c>
      <c r="F37" s="1058" t="s">
        <v>815</v>
      </c>
      <c r="G37" s="955"/>
      <c r="H37" s="917"/>
      <c r="I37" s="955"/>
      <c r="J37" s="917"/>
      <c r="K37" s="687" t="s">
        <v>861</v>
      </c>
      <c r="X37" s="1156">
        <v>0</v>
      </c>
    </row>
    <row s="24354" customFormat="1" customHeight="1" ht="22.5" hidden="1">
      <c r="A38" s="2790"/>
      <c r="B38" s="909"/>
      <c r="D38" s="1067" t="s">
        <v>111</v>
      </c>
      <c r="E38" s="1430" t="s">
        <v>862</v>
      </c>
      <c r="F38" s="1434" t="s">
        <v>552</v>
      </c>
      <c r="G38" s="1434" t="s">
        <v>552</v>
      </c>
      <c r="H38" s="1428"/>
      <c r="I38" s="1434" t="s">
        <v>552</v>
      </c>
      <c r="J38" s="1428"/>
      <c r="K38" s="1429"/>
      <c r="X38" s="1156">
        <v>0</v>
      </c>
    </row>
    <row s="24354" customFormat="1" customHeight="1" ht="33.75" hidden="1">
      <c r="A39" s="2790"/>
      <c r="B39" s="909"/>
      <c r="D39" s="1063" t="s">
        <v>717</v>
      </c>
      <c r="E39" s="1121" t="s">
        <v>863</v>
      </c>
      <c r="F39" s="1058" t="s">
        <v>864</v>
      </c>
      <c r="G39" s="1066"/>
      <c r="H39" s="1421"/>
      <c r="I39" s="1066"/>
      <c r="J39" s="1421"/>
      <c r="K39" s="687" t="s">
        <v>865</v>
      </c>
      <c r="X39" s="1156">
        <v>0</v>
      </c>
    </row>
    <row s="24354" customFormat="1" customHeight="1" ht="33.75" hidden="1">
      <c r="A40" s="2790"/>
      <c r="B40" s="909"/>
      <c r="D40" s="1063" t="s">
        <v>720</v>
      </c>
      <c r="E40" s="1121" t="s">
        <v>866</v>
      </c>
      <c r="F40" s="1425" t="s">
        <v>867</v>
      </c>
      <c r="G40" s="1139"/>
      <c r="H40" s="1421"/>
      <c r="I40" s="1139"/>
      <c r="J40" s="1421"/>
      <c r="K40" s="687" t="s">
        <v>868</v>
      </c>
      <c r="X40" s="1156">
        <v>0</v>
      </c>
    </row>
    <row s="24354" customFormat="1" customHeight="1" ht="22.5" hidden="1">
      <c r="A41" s="2790"/>
      <c r="B41" s="909"/>
      <c r="D41" s="1063" t="s">
        <v>91</v>
      </c>
      <c r="E41" s="1120" t="s">
        <v>869</v>
      </c>
      <c r="F41" s="1058" t="s">
        <v>552</v>
      </c>
      <c r="G41" s="1058" t="s">
        <v>552</v>
      </c>
      <c r="H41" s="1422"/>
      <c r="I41" s="1058" t="s">
        <v>552</v>
      </c>
      <c r="J41" s="1422"/>
      <c r="K41" s="700"/>
      <c r="X41" s="1156">
        <v>0</v>
      </c>
    </row>
    <row s="24354" customFormat="1" customHeight="1" ht="45" hidden="1">
      <c r="A42" s="2790"/>
      <c r="B42" s="909"/>
      <c r="D42" s="1063" t="s">
        <v>329</v>
      </c>
      <c r="E42" s="1121" t="s">
        <v>870</v>
      </c>
      <c r="F42" s="1058" t="s">
        <v>564</v>
      </c>
      <c r="G42" s="955"/>
      <c r="H42" s="1422"/>
      <c r="I42" s="955"/>
      <c r="J42" s="1422"/>
      <c r="K42" s="700" t="s">
        <v>871</v>
      </c>
      <c r="X42" s="1156">
        <v>0</v>
      </c>
    </row>
    <row s="24354" customFormat="1" customHeight="1" ht="45" hidden="1">
      <c r="A43" s="2790"/>
      <c r="B43" s="909"/>
      <c r="D43" s="1063" t="s">
        <v>337</v>
      </c>
      <c r="E43" s="1065" t="s">
        <v>872</v>
      </c>
      <c r="F43" s="1426" t="s">
        <v>564</v>
      </c>
      <c r="G43" s="1140"/>
      <c r="H43" s="1421"/>
      <c r="I43" s="1140"/>
      <c r="J43" s="1421"/>
      <c r="K43" s="700" t="s">
        <v>873</v>
      </c>
      <c r="X43" s="1156">
        <v>0</v>
      </c>
    </row>
    <row s="24354" customFormat="1" customHeight="1" ht="11.25" hidden="1">
      <c r="A44" s="2790"/>
      <c r="B44" s="909"/>
      <c r="D44" s="1063" t="s">
        <v>92</v>
      </c>
      <c r="E44" s="1064" t="s">
        <v>874</v>
      </c>
      <c r="F44" s="1058" t="s">
        <v>864</v>
      </c>
      <c r="G44" s="1066"/>
      <c r="H44" s="1421"/>
      <c r="I44" s="1066"/>
      <c r="J44" s="1421"/>
      <c r="K44" s="687"/>
      <c r="X44" s="1156">
        <v>0</v>
      </c>
    </row>
    <row s="24354" customFormat="1" customHeight="1" ht="11.25" hidden="1">
      <c r="A45" s="2790"/>
      <c r="B45" s="909"/>
      <c r="D45" s="1063" t="s">
        <v>759</v>
      </c>
      <c r="E45" s="1065" t="s">
        <v>875</v>
      </c>
      <c r="F45" s="1058" t="s">
        <v>864</v>
      </c>
      <c r="G45" s="1066"/>
      <c r="H45" s="1421"/>
      <c r="I45" s="1066"/>
      <c r="J45" s="1421"/>
      <c r="K45" s="687"/>
      <c r="X45" s="1156">
        <v>0</v>
      </c>
    </row>
    <row s="24354" customFormat="1" customHeight="1" ht="11.25" hidden="1">
      <c r="A46" s="2790"/>
      <c r="B46" s="909"/>
      <c r="D46" s="1063" t="s">
        <v>801</v>
      </c>
      <c r="E46" s="1065" t="s">
        <v>876</v>
      </c>
      <c r="F46" s="1058" t="s">
        <v>864</v>
      </c>
      <c r="G46" s="1066"/>
      <c r="H46" s="1421"/>
      <c r="I46" s="1066"/>
      <c r="J46" s="1421"/>
      <c r="K46" s="687"/>
      <c r="X46" s="1156">
        <v>0</v>
      </c>
    </row>
    <row s="24354" customFormat="1" customHeight="1" ht="11.25" hidden="1">
      <c r="A47" s="2790"/>
      <c r="B47" s="909"/>
      <c r="D47" s="1063" t="s">
        <v>804</v>
      </c>
      <c r="E47" s="1065" t="s">
        <v>877</v>
      </c>
      <c r="F47" s="1058" t="s">
        <v>864</v>
      </c>
      <c r="G47" s="1066"/>
      <c r="H47" s="1421"/>
      <c r="I47" s="1066"/>
      <c r="J47" s="1421"/>
      <c r="K47" s="687"/>
      <c r="X47" s="1156">
        <v>0</v>
      </c>
    </row>
    <row s="24354" customFormat="1" customHeight="1" ht="11.25" hidden="1">
      <c r="A48" s="2790"/>
      <c r="B48" s="909"/>
      <c r="D48" s="1063" t="s">
        <v>878</v>
      </c>
      <c r="E48" s="1069" t="s">
        <v>879</v>
      </c>
      <c r="F48" s="1058" t="s">
        <v>864</v>
      </c>
      <c r="G48" s="1066"/>
      <c r="H48" s="1421"/>
      <c r="I48" s="1066"/>
      <c r="J48" s="1421"/>
      <c r="K48" s="687"/>
      <c r="X48" s="1156">
        <v>0</v>
      </c>
    </row>
    <row s="24354" customFormat="1" customHeight="1" ht="11.25" hidden="1">
      <c r="A49" s="2790"/>
      <c r="B49" s="909"/>
      <c r="D49" s="1063" t="s">
        <v>880</v>
      </c>
      <c r="E49" s="1069" t="s">
        <v>881</v>
      </c>
      <c r="F49" s="1058" t="s">
        <v>864</v>
      </c>
      <c r="G49" s="1066"/>
      <c r="H49" s="1421"/>
      <c r="I49" s="1066"/>
      <c r="J49" s="1421"/>
      <c r="K49" s="687"/>
      <c r="X49" s="1156">
        <v>0</v>
      </c>
    </row>
    <row s="24354" customFormat="1" customHeight="1" ht="11.25" hidden="1">
      <c r="A50" s="2790"/>
      <c r="B50" s="909"/>
      <c r="D50" s="1063" t="s">
        <v>882</v>
      </c>
      <c r="E50" s="1065" t="s">
        <v>883</v>
      </c>
      <c r="F50" s="1058" t="s">
        <v>864</v>
      </c>
      <c r="G50" s="1066"/>
      <c r="H50" s="1421"/>
      <c r="I50" s="1066"/>
      <c r="J50" s="1421"/>
      <c r="K50" s="687"/>
      <c r="X50" s="1156">
        <v>0</v>
      </c>
    </row>
    <row s="24354" customFormat="1" customHeight="1" ht="11.25" hidden="1">
      <c r="A51" s="2790"/>
      <c r="B51" s="909"/>
      <c r="D51" s="1063" t="s">
        <v>884</v>
      </c>
      <c r="E51" s="1065" t="s">
        <v>885</v>
      </c>
      <c r="F51" s="1058" t="s">
        <v>864</v>
      </c>
      <c r="G51" s="1066"/>
      <c r="H51" s="1421"/>
      <c r="I51" s="1066"/>
      <c r="J51" s="1421"/>
      <c r="K51" s="687"/>
      <c r="X51" s="1156">
        <v>0</v>
      </c>
    </row>
    <row s="24354" customFormat="1" customHeight="1" ht="45" hidden="1">
      <c r="A52" s="2790"/>
      <c r="B52" s="909"/>
      <c r="D52" s="1063" t="s">
        <v>112</v>
      </c>
      <c r="E52" s="1064" t="s">
        <v>886</v>
      </c>
      <c r="F52" s="1058" t="s">
        <v>864</v>
      </c>
      <c r="G52" s="1066"/>
      <c r="H52" s="1421"/>
      <c r="I52" s="1066"/>
      <c r="J52" s="1421"/>
      <c r="K52" s="687"/>
      <c r="X52" s="1156">
        <v>0</v>
      </c>
    </row>
    <row s="24354" customFormat="1" customHeight="1" ht="11.25" hidden="1">
      <c r="A53" s="2790"/>
      <c r="B53" s="909"/>
      <c r="D53" s="1063" t="s">
        <v>318</v>
      </c>
      <c r="E53" s="1065" t="s">
        <v>875</v>
      </c>
      <c r="F53" s="1058" t="s">
        <v>864</v>
      </c>
      <c r="G53" s="1066"/>
      <c r="H53" s="1421"/>
      <c r="I53" s="1066"/>
      <c r="J53" s="1421"/>
      <c r="K53" s="687"/>
      <c r="X53" s="1156">
        <v>0</v>
      </c>
    </row>
    <row s="24354" customFormat="1" customHeight="1" ht="11.25" hidden="1">
      <c r="A54" s="2790"/>
      <c r="B54" s="909"/>
      <c r="D54" s="1063" t="s">
        <v>887</v>
      </c>
      <c r="E54" s="1065" t="s">
        <v>876</v>
      </c>
      <c r="F54" s="1058" t="s">
        <v>864</v>
      </c>
      <c r="G54" s="1066"/>
      <c r="H54" s="1421"/>
      <c r="I54" s="1066"/>
      <c r="J54" s="1421"/>
      <c r="K54" s="687"/>
      <c r="X54" s="1156">
        <v>0</v>
      </c>
    </row>
    <row s="24354" customFormat="1" customHeight="1" ht="11.25" hidden="1">
      <c r="A55" s="2790"/>
      <c r="B55" s="909"/>
      <c r="D55" s="1063" t="s">
        <v>888</v>
      </c>
      <c r="E55" s="1065" t="s">
        <v>877</v>
      </c>
      <c r="F55" s="1058" t="s">
        <v>864</v>
      </c>
      <c r="G55" s="1066"/>
      <c r="H55" s="1421"/>
      <c r="I55" s="1066"/>
      <c r="J55" s="1421"/>
      <c r="K55" s="687"/>
      <c r="X55" s="1156">
        <v>0</v>
      </c>
    </row>
    <row s="24354" customFormat="1" customHeight="1" ht="11.25" hidden="1">
      <c r="A56" s="2790"/>
      <c r="B56" s="909"/>
      <c r="D56" s="1063" t="s">
        <v>889</v>
      </c>
      <c r="E56" s="1069" t="s">
        <v>879</v>
      </c>
      <c r="F56" s="1058" t="s">
        <v>864</v>
      </c>
      <c r="G56" s="1066"/>
      <c r="H56" s="1421"/>
      <c r="I56" s="1066"/>
      <c r="J56" s="1421"/>
      <c r="K56" s="687"/>
      <c r="X56" s="1156">
        <v>0</v>
      </c>
    </row>
    <row s="24354" customFormat="1" customHeight="1" ht="11.25" hidden="1">
      <c r="A57" s="2790"/>
      <c r="B57" s="909"/>
      <c r="D57" s="1063" t="s">
        <v>890</v>
      </c>
      <c r="E57" s="1069" t="s">
        <v>881</v>
      </c>
      <c r="F57" s="1058" t="s">
        <v>864</v>
      </c>
      <c r="G57" s="1066"/>
      <c r="H57" s="1421"/>
      <c r="I57" s="1066"/>
      <c r="J57" s="1421"/>
      <c r="K57" s="687"/>
      <c r="X57" s="1156">
        <v>0</v>
      </c>
    </row>
    <row s="24354" customFormat="1" customHeight="1" ht="11.25" hidden="1">
      <c r="A58" s="2790"/>
      <c r="B58" s="909"/>
      <c r="D58" s="1063" t="s">
        <v>891</v>
      </c>
      <c r="E58" s="1065" t="s">
        <v>883</v>
      </c>
      <c r="F58" s="1058" t="s">
        <v>864</v>
      </c>
      <c r="G58" s="1066"/>
      <c r="H58" s="1421"/>
      <c r="I58" s="1066"/>
      <c r="J58" s="1421"/>
      <c r="K58" s="687"/>
      <c r="X58" s="1156">
        <v>0</v>
      </c>
    </row>
    <row s="24354" customFormat="1" customHeight="1" ht="11.25" hidden="1">
      <c r="A59" s="2790"/>
      <c r="B59" s="909"/>
      <c r="D59" s="1063" t="s">
        <v>892</v>
      </c>
      <c r="E59" s="1065" t="s">
        <v>885</v>
      </c>
      <c r="F59" s="1058" t="s">
        <v>864</v>
      </c>
      <c r="G59" s="1066"/>
      <c r="H59" s="1421"/>
      <c r="I59" s="1066"/>
      <c r="J59" s="1421"/>
      <c r="K59" s="687"/>
      <c r="X59" s="1156">
        <v>0</v>
      </c>
    </row>
    <row s="24354" customFormat="1" customHeight="1" ht="33.75" hidden="1">
      <c r="A60" s="2790"/>
      <c r="B60" s="909"/>
      <c r="D60" s="1063" t="s">
        <v>93</v>
      </c>
      <c r="E60" s="1064" t="s">
        <v>893</v>
      </c>
      <c r="F60" s="1119" t="s">
        <v>564</v>
      </c>
      <c r="G60" s="1140"/>
      <c r="H60" s="1421"/>
      <c r="I60" s="1140"/>
      <c r="J60" s="1421"/>
      <c r="K60" s="700" t="s">
        <v>894</v>
      </c>
      <c r="X60" s="1156">
        <v>0</v>
      </c>
    </row>
    <row s="24354" customFormat="1" customHeight="1" ht="33.75" hidden="1">
      <c r="A61" s="2790"/>
      <c r="B61" s="909"/>
      <c r="D61" s="1063" t="s">
        <v>94</v>
      </c>
      <c r="E61" s="1064" t="s">
        <v>895</v>
      </c>
      <c r="F61" s="1124" t="s">
        <v>825</v>
      </c>
      <c r="G61" s="1066"/>
      <c r="H61" s="1421"/>
      <c r="I61" s="1066"/>
      <c r="J61" s="1421"/>
      <c r="K61" s="687"/>
      <c r="X61" s="1156">
        <v>0</v>
      </c>
    </row>
    <row s="24354" customFormat="1" customHeight="1" ht="22.5" hidden="1">
      <c r="A62" s="2790"/>
      <c r="B62" s="909" t="s">
        <v>594</v>
      </c>
      <c r="D62" s="1063" t="s">
        <v>113</v>
      </c>
      <c r="E62" s="1064" t="s">
        <v>896</v>
      </c>
      <c r="F62" s="1124" t="s">
        <v>311</v>
      </c>
      <c r="G62" s="780"/>
      <c r="H62" s="1421"/>
      <c r="I62" s="780"/>
      <c r="J62" s="1421"/>
      <c r="K62" s="687" t="s">
        <v>637</v>
      </c>
      <c r="X62" s="1156">
        <v>0</v>
      </c>
    </row>
    <row s="24354" customFormat="1" customHeight="1" ht="45" hidden="1">
      <c r="A63" s="2790"/>
      <c r="B63" s="909" t="s">
        <v>594</v>
      </c>
      <c r="D63" s="1063" t="s">
        <v>897</v>
      </c>
      <c r="E63" s="1065" t="s">
        <v>898</v>
      </c>
      <c r="F63" s="1119" t="s">
        <v>311</v>
      </c>
      <c r="G63" s="780"/>
      <c r="H63" s="1421"/>
      <c r="I63" s="780"/>
      <c r="J63" s="1421"/>
      <c r="K63" s="687" t="s">
        <v>637</v>
      </c>
      <c r="X63" s="1156">
        <v>0</v>
      </c>
    </row>
    <row s="24354" customFormat="1" customHeight="1" ht="11.549999999999999">
      <c r="A64" s="1431"/>
      <c r="B64" s="916"/>
      <c r="D64" s="1432"/>
      <c r="E64" s="1433"/>
      <c r="X64" s="907">
        <v>11</v>
      </c>
    </row>
    <row s="24354" customFormat="1" customHeight="1" ht="22.5" hidden="1">
      <c r="A65" s="2790" t="s">
        <v>899</v>
      </c>
      <c r="B65" s="909"/>
      <c r="D65" s="1063">
        <v>1</v>
      </c>
      <c r="E65" s="1142" t="s">
        <v>900</v>
      </c>
      <c r="F65" s="1138" t="s">
        <v>815</v>
      </c>
      <c r="G65" s="1139"/>
      <c r="H65" s="1427"/>
      <c r="I65" s="1139"/>
      <c r="J65" s="1427"/>
      <c r="K65" s="699" t="s">
        <v>901</v>
      </c>
      <c r="X65" s="1156">
        <v>0</v>
      </c>
    </row>
    <row s="24354" customFormat="1" customHeight="1" ht="56.25" hidden="1">
      <c r="A66" s="2790"/>
      <c r="B66" s="909"/>
      <c r="D66" s="1141" t="s">
        <v>111</v>
      </c>
      <c r="E66" s="1105" t="s">
        <v>902</v>
      </c>
      <c r="F66" s="1058" t="s">
        <v>552</v>
      </c>
      <c r="G66" s="1058" t="s">
        <v>552</v>
      </c>
      <c r="H66" s="917"/>
      <c r="I66" s="1058" t="s">
        <v>552</v>
      </c>
      <c r="J66" s="917"/>
      <c r="K66" s="687"/>
      <c r="X66" s="1156">
        <v>0</v>
      </c>
    </row>
    <row s="24354" customFormat="1" customHeight="1" ht="33.75" hidden="1">
      <c r="A67" s="2790"/>
      <c r="B67" s="909"/>
      <c r="D67" s="1141" t="s">
        <v>714</v>
      </c>
      <c r="E67" s="1352" t="s">
        <v>903</v>
      </c>
      <c r="F67" s="1058" t="s">
        <v>867</v>
      </c>
      <c r="G67" s="1125"/>
      <c r="H67" s="917"/>
      <c r="I67" s="1125"/>
      <c r="J67" s="917"/>
      <c r="K67" s="687"/>
      <c r="X67" s="1156">
        <v>0</v>
      </c>
    </row>
    <row s="24354" customFormat="1" customHeight="1" ht="22.5" hidden="1">
      <c r="A68" s="2790"/>
      <c r="B68" s="909"/>
      <c r="D68" s="1141" t="s">
        <v>312</v>
      </c>
      <c r="E68" s="1352" t="s">
        <v>904</v>
      </c>
      <c r="F68" s="1058" t="s">
        <v>867</v>
      </c>
      <c r="G68" s="1125"/>
      <c r="H68" s="917"/>
      <c r="I68" s="1125"/>
      <c r="J68" s="917"/>
      <c r="K68" s="687"/>
      <c r="X68" s="1156">
        <v>0</v>
      </c>
    </row>
    <row s="24354" customFormat="1" customHeight="1" ht="22.5" hidden="1">
      <c r="A69" s="2790"/>
      <c r="B69" s="909"/>
      <c r="D69" s="1141" t="s">
        <v>315</v>
      </c>
      <c r="E69" s="1352" t="s">
        <v>905</v>
      </c>
      <c r="F69" s="1119" t="s">
        <v>564</v>
      </c>
      <c r="G69" s="1140"/>
      <c r="H69" s="917"/>
      <c r="I69" s="1140"/>
      <c r="J69" s="917"/>
      <c r="K69" s="687"/>
      <c r="X69" s="1156">
        <v>0</v>
      </c>
    </row>
    <row s="24354" customFormat="1" customHeight="1" ht="22.5" hidden="1">
      <c r="A70" s="2790"/>
      <c r="B70" s="909"/>
      <c r="D70" s="1141" t="s">
        <v>734</v>
      </c>
      <c r="E70" s="1352" t="s">
        <v>906</v>
      </c>
      <c r="F70" s="1119" t="s">
        <v>564</v>
      </c>
      <c r="G70" s="1140"/>
      <c r="H70" s="917"/>
      <c r="I70" s="1140"/>
      <c r="J70" s="917"/>
      <c r="K70" s="687"/>
      <c r="X70" s="1156">
        <v>0</v>
      </c>
    </row>
    <row s="24354" customFormat="1" customHeight="1" ht="22.5" hidden="1">
      <c r="A71" s="2790"/>
      <c r="B71" s="909"/>
      <c r="D71" s="1063" t="s">
        <v>91</v>
      </c>
      <c r="E71" s="1064" t="s">
        <v>907</v>
      </c>
      <c r="F71" s="1058" t="s">
        <v>867</v>
      </c>
      <c r="G71" s="955"/>
      <c r="H71" s="1428"/>
      <c r="I71" s="955"/>
      <c r="J71" s="1428"/>
      <c r="K71" s="700"/>
      <c r="X71" s="1156">
        <v>0</v>
      </c>
    </row>
    <row s="24354" customFormat="1" customHeight="1" ht="56.25" hidden="1">
      <c r="A72" s="2790"/>
      <c r="B72" s="909"/>
      <c r="D72" s="1063" t="s">
        <v>92</v>
      </c>
      <c r="E72" s="1064" t="s">
        <v>908</v>
      </c>
      <c r="F72" s="1119" t="s">
        <v>564</v>
      </c>
      <c r="G72" s="1140"/>
      <c r="H72" s="1421"/>
      <c r="I72" s="1140"/>
      <c r="J72" s="1421"/>
      <c r="K72" s="700"/>
      <c r="X72" s="1156">
        <v>0</v>
      </c>
    </row>
    <row s="24354" customFormat="1" customHeight="1" ht="33.75" hidden="1">
      <c r="A73" s="2790"/>
      <c r="B73" s="909"/>
      <c r="D73" s="1063" t="s">
        <v>112</v>
      </c>
      <c r="E73" s="1064" t="s">
        <v>909</v>
      </c>
      <c r="F73" s="1124" t="s">
        <v>825</v>
      </c>
      <c r="G73" s="1066"/>
      <c r="H73" s="1421"/>
      <c r="I73" s="1066"/>
      <c r="J73" s="1421"/>
      <c r="K73" s="687"/>
      <c r="X73" s="1156">
        <v>0</v>
      </c>
    </row>
    <row s="24354" customFormat="1" customHeight="1" ht="22.5" hidden="1">
      <c r="A74" s="2790"/>
      <c r="B74" s="909" t="s">
        <v>594</v>
      </c>
      <c r="D74" s="1063" t="s">
        <v>93</v>
      </c>
      <c r="E74" s="1064" t="s">
        <v>910</v>
      </c>
      <c r="F74" s="1124" t="s">
        <v>311</v>
      </c>
      <c r="G74" s="780"/>
      <c r="H74" s="1421"/>
      <c r="I74" s="780"/>
      <c r="J74" s="1421"/>
      <c r="K74" s="687" t="s">
        <v>637</v>
      </c>
      <c r="X74" s="1156">
        <v>0</v>
      </c>
    </row>
    <row s="24354" customFormat="1" customHeight="1" ht="45" hidden="1">
      <c r="A75" s="2790"/>
      <c r="B75" s="909" t="s">
        <v>594</v>
      </c>
      <c r="D75" s="1063" t="s">
        <v>658</v>
      </c>
      <c r="E75" s="1065" t="s">
        <v>911</v>
      </c>
      <c r="F75" s="1119" t="s">
        <v>311</v>
      </c>
      <c r="G75" s="780"/>
      <c r="H75" s="1421"/>
      <c r="I75" s="780"/>
      <c r="J75" s="1421"/>
      <c r="K75" s="687" t="s">
        <v>637</v>
      </c>
      <c r="X75" s="1156">
        <v>0</v>
      </c>
    </row>
    <row s="24354" customFormat="1" customHeight="1" ht="11.549999999999999">
      <c r="A76" s="1431"/>
      <c r="B76" s="916"/>
      <c r="D76" s="1432"/>
      <c r="E76" s="1433"/>
      <c r="X76" s="907">
        <v>11</v>
      </c>
    </row>
    <row s="24354" customFormat="1" customHeight="1" ht="11.25" hidden="1">
      <c r="A77" s="2790" t="s">
        <v>912</v>
      </c>
      <c r="B77" s="909"/>
      <c r="D77" s="1063">
        <v>1</v>
      </c>
      <c r="E77" s="1064" t="s">
        <v>913</v>
      </c>
      <c r="F77" s="1119" t="s">
        <v>815</v>
      </c>
      <c r="G77" s="1122"/>
      <c r="H77" s="1421"/>
      <c r="I77" s="1122"/>
      <c r="J77" s="1421"/>
      <c r="K77" s="687" t="s">
        <v>914</v>
      </c>
      <c r="X77" s="1156">
        <v>0</v>
      </c>
    </row>
    <row s="24354" customFormat="1" customHeight="1" ht="11.25" hidden="1">
      <c r="A78" s="2790"/>
      <c r="B78" s="909"/>
      <c r="D78" s="1063" t="s">
        <v>111</v>
      </c>
      <c r="E78" s="1064" t="s">
        <v>915</v>
      </c>
      <c r="F78" s="1119" t="s">
        <v>815</v>
      </c>
      <c r="G78" s="1122"/>
      <c r="H78" s="1421"/>
      <c r="I78" s="1122"/>
      <c r="J78" s="1421"/>
      <c r="K78" s="687" t="s">
        <v>916</v>
      </c>
      <c r="X78" s="1156">
        <v>0</v>
      </c>
    </row>
    <row s="24354" customFormat="1" customHeight="1" ht="22.5" hidden="1">
      <c r="A79" s="2790"/>
      <c r="B79" s="909"/>
      <c r="D79" s="1063" t="s">
        <v>91</v>
      </c>
      <c r="E79" s="1120" t="s">
        <v>917</v>
      </c>
      <c r="F79" s="1058" t="s">
        <v>864</v>
      </c>
      <c r="G79" s="1122"/>
      <c r="H79" s="1421"/>
      <c r="I79" s="1122"/>
      <c r="J79" s="1421"/>
      <c r="K79" s="687" t="s">
        <v>918</v>
      </c>
      <c r="X79" s="1156">
        <v>0</v>
      </c>
    </row>
    <row s="24354" customFormat="1" customHeight="1" ht="11.25" hidden="1">
      <c r="A80" s="2790"/>
      <c r="B80" s="909"/>
      <c r="D80" s="1063" t="s">
        <v>329</v>
      </c>
      <c r="E80" s="1121" t="s">
        <v>919</v>
      </c>
      <c r="F80" s="1058" t="s">
        <v>864</v>
      </c>
      <c r="G80" s="1122"/>
      <c r="H80" s="1421"/>
      <c r="I80" s="1122"/>
      <c r="J80" s="1421"/>
      <c r="K80" s="687"/>
      <c r="X80" s="1156">
        <v>0</v>
      </c>
    </row>
    <row s="24354" customFormat="1" customHeight="1" ht="11.25" hidden="1">
      <c r="A81" s="2790"/>
      <c r="B81" s="909"/>
      <c r="D81" s="1063" t="s">
        <v>337</v>
      </c>
      <c r="E81" s="1121" t="s">
        <v>920</v>
      </c>
      <c r="F81" s="1058" t="s">
        <v>864</v>
      </c>
      <c r="G81" s="1122"/>
      <c r="H81" s="1421"/>
      <c r="I81" s="1122"/>
      <c r="J81" s="1421"/>
      <c r="K81" s="687"/>
      <c r="X81" s="1156">
        <v>0</v>
      </c>
    </row>
    <row s="24354" customFormat="1" customHeight="1" ht="11.25" hidden="1">
      <c r="A82" s="2790"/>
      <c r="B82" s="909"/>
      <c r="D82" s="1063" t="s">
        <v>339</v>
      </c>
      <c r="E82" s="1121" t="s">
        <v>921</v>
      </c>
      <c r="F82" s="1058" t="s">
        <v>864</v>
      </c>
      <c r="G82" s="1122"/>
      <c r="H82" s="1421"/>
      <c r="I82" s="1122"/>
      <c r="J82" s="1421"/>
      <c r="K82" s="687"/>
      <c r="X82" s="1156">
        <v>0</v>
      </c>
    </row>
    <row s="24354" customFormat="1" customHeight="1" ht="11.25" hidden="1">
      <c r="A83" s="2790"/>
      <c r="B83" s="909"/>
      <c r="D83" s="1063" t="s">
        <v>341</v>
      </c>
      <c r="E83" s="1121" t="s">
        <v>922</v>
      </c>
      <c r="F83" s="1058" t="s">
        <v>864</v>
      </c>
      <c r="G83" s="1122"/>
      <c r="H83" s="1421"/>
      <c r="I83" s="1122"/>
      <c r="J83" s="1421"/>
      <c r="K83" s="687"/>
      <c r="X83" s="1156">
        <v>0</v>
      </c>
    </row>
    <row s="24354" customFormat="1" customHeight="1" ht="11.25" hidden="1">
      <c r="A84" s="2790"/>
      <c r="B84" s="909"/>
      <c r="D84" s="1063" t="s">
        <v>923</v>
      </c>
      <c r="E84" s="1121" t="s">
        <v>924</v>
      </c>
      <c r="F84" s="1058" t="s">
        <v>864</v>
      </c>
      <c r="G84" s="1122"/>
      <c r="H84" s="1421"/>
      <c r="I84" s="1122"/>
      <c r="J84" s="1421"/>
      <c r="K84" s="687"/>
      <c r="X84" s="1156">
        <v>0</v>
      </c>
    </row>
    <row s="24354" customFormat="1" customHeight="1" ht="11.25" hidden="1">
      <c r="A85" s="2790"/>
      <c r="B85" s="909"/>
      <c r="D85" s="1063" t="s">
        <v>925</v>
      </c>
      <c r="E85" s="1121" t="s">
        <v>926</v>
      </c>
      <c r="F85" s="1058" t="s">
        <v>864</v>
      </c>
      <c r="G85" s="1122"/>
      <c r="H85" s="1421"/>
      <c r="I85" s="1122"/>
      <c r="J85" s="1421"/>
      <c r="K85" s="687"/>
      <c r="X85" s="1156">
        <v>0</v>
      </c>
    </row>
    <row s="24354" customFormat="1" customHeight="1" ht="11.25" hidden="1">
      <c r="A86" s="2790"/>
      <c r="B86" s="909"/>
      <c r="D86" s="1063" t="s">
        <v>927</v>
      </c>
      <c r="E86" s="1121" t="s">
        <v>928</v>
      </c>
      <c r="F86" s="1058" t="s">
        <v>864</v>
      </c>
      <c r="G86" s="1122"/>
      <c r="H86" s="1421"/>
      <c r="I86" s="1122"/>
      <c r="J86" s="1421"/>
      <c r="K86" s="687"/>
      <c r="X86" s="1156">
        <v>0</v>
      </c>
    </row>
    <row s="24354" customFormat="1" customHeight="1" ht="45" hidden="1">
      <c r="A87" s="2790"/>
      <c r="B87" s="909"/>
      <c r="D87" s="1063" t="s">
        <v>92</v>
      </c>
      <c r="E87" s="1064" t="s">
        <v>929</v>
      </c>
      <c r="F87" s="1058" t="s">
        <v>864</v>
      </c>
      <c r="G87" s="1122"/>
      <c r="H87" s="1421"/>
      <c r="I87" s="1122"/>
      <c r="J87" s="1421"/>
      <c r="K87" s="687" t="s">
        <v>930</v>
      </c>
      <c r="X87" s="1156">
        <v>0</v>
      </c>
    </row>
    <row s="24354" customFormat="1" customHeight="1" ht="11.25" hidden="1">
      <c r="A88" s="2790"/>
      <c r="B88" s="909"/>
      <c r="D88" s="1063" t="s">
        <v>759</v>
      </c>
      <c r="E88" s="1121" t="s">
        <v>919</v>
      </c>
      <c r="F88" s="1058" t="s">
        <v>864</v>
      </c>
      <c r="G88" s="1122"/>
      <c r="H88" s="1421"/>
      <c r="I88" s="1122"/>
      <c r="J88" s="1421"/>
      <c r="K88" s="687"/>
      <c r="X88" s="1156">
        <v>0</v>
      </c>
    </row>
    <row s="24354" customFormat="1" customHeight="1" ht="11.25" hidden="1">
      <c r="A89" s="2790"/>
      <c r="B89" s="909"/>
      <c r="D89" s="1063" t="s">
        <v>801</v>
      </c>
      <c r="E89" s="1121" t="s">
        <v>920</v>
      </c>
      <c r="F89" s="1058" t="s">
        <v>864</v>
      </c>
      <c r="G89" s="1122"/>
      <c r="H89" s="1421"/>
      <c r="I89" s="1122"/>
      <c r="J89" s="1421"/>
      <c r="K89" s="687"/>
      <c r="X89" s="1156">
        <v>0</v>
      </c>
    </row>
    <row s="24354" customFormat="1" customHeight="1" ht="11.25" hidden="1">
      <c r="A90" s="2790"/>
      <c r="B90" s="909"/>
      <c r="D90" s="1063" t="s">
        <v>804</v>
      </c>
      <c r="E90" s="1121" t="s">
        <v>921</v>
      </c>
      <c r="F90" s="1058" t="s">
        <v>864</v>
      </c>
      <c r="G90" s="1122"/>
      <c r="H90" s="1421"/>
      <c r="I90" s="1122"/>
      <c r="J90" s="1421"/>
      <c r="K90" s="687"/>
      <c r="X90" s="1156">
        <v>0</v>
      </c>
    </row>
    <row s="24354" customFormat="1" customHeight="1" ht="11.25" hidden="1">
      <c r="A91" s="2790"/>
      <c r="B91" s="909"/>
      <c r="D91" s="1063" t="s">
        <v>882</v>
      </c>
      <c r="E91" s="1121" t="s">
        <v>922</v>
      </c>
      <c r="F91" s="1058" t="s">
        <v>864</v>
      </c>
      <c r="G91" s="1122"/>
      <c r="H91" s="1421"/>
      <c r="I91" s="1122"/>
      <c r="J91" s="1421"/>
      <c r="K91" s="687"/>
      <c r="X91" s="1156">
        <v>0</v>
      </c>
    </row>
    <row s="24354" customFormat="1" customHeight="1" ht="11.25" hidden="1">
      <c r="A92" s="2790"/>
      <c r="B92" s="909"/>
      <c r="D92" s="1063" t="s">
        <v>884</v>
      </c>
      <c r="E92" s="1121" t="s">
        <v>924</v>
      </c>
      <c r="F92" s="1058" t="s">
        <v>864</v>
      </c>
      <c r="G92" s="1122"/>
      <c r="H92" s="1421"/>
      <c r="I92" s="1122"/>
      <c r="J92" s="1421"/>
      <c r="K92" s="687"/>
      <c r="X92" s="1156">
        <v>0</v>
      </c>
    </row>
    <row s="24354" customFormat="1" customHeight="1" ht="11.25" hidden="1">
      <c r="A93" s="2790"/>
      <c r="B93" s="909"/>
      <c r="D93" s="1063" t="s">
        <v>931</v>
      </c>
      <c r="E93" s="1121" t="s">
        <v>926</v>
      </c>
      <c r="F93" s="1058" t="s">
        <v>864</v>
      </c>
      <c r="G93" s="1122"/>
      <c r="H93" s="1421"/>
      <c r="I93" s="1122"/>
      <c r="J93" s="1421"/>
      <c r="K93" s="687"/>
      <c r="X93" s="1156">
        <v>0</v>
      </c>
    </row>
    <row s="24354" customFormat="1" customHeight="1" ht="11.25" hidden="1">
      <c r="A94" s="2790"/>
      <c r="B94" s="909"/>
      <c r="D94" s="1063" t="s">
        <v>932</v>
      </c>
      <c r="E94" s="1121" t="s">
        <v>928</v>
      </c>
      <c r="F94" s="1058" t="s">
        <v>864</v>
      </c>
      <c r="G94" s="1122"/>
      <c r="H94" s="1421"/>
      <c r="I94" s="1122"/>
      <c r="J94" s="1421"/>
      <c r="K94" s="687"/>
      <c r="X94" s="1156">
        <v>0</v>
      </c>
    </row>
    <row s="24354" customFormat="1" customHeight="1" ht="24.75" hidden="1">
      <c r="A95" s="2790"/>
      <c r="B95" s="909"/>
      <c r="D95" s="1063" t="s">
        <v>112</v>
      </c>
      <c r="E95" s="1064" t="s">
        <v>933</v>
      </c>
      <c r="F95" s="1123" t="s">
        <v>564</v>
      </c>
      <c r="G95" s="1125"/>
      <c r="H95" s="1421"/>
      <c r="I95" s="1125"/>
      <c r="J95" s="1421"/>
      <c r="K95" s="687" t="s">
        <v>934</v>
      </c>
      <c r="X95" s="1156">
        <v>0</v>
      </c>
    </row>
    <row s="24354" customFormat="1" customHeight="1" ht="33.75" hidden="1">
      <c r="A96" s="2790"/>
      <c r="B96" s="909"/>
      <c r="D96" s="1063" t="s">
        <v>93</v>
      </c>
      <c r="E96" s="1064" t="s">
        <v>935</v>
      </c>
      <c r="F96" s="1124" t="s">
        <v>825</v>
      </c>
      <c r="G96" s="1126"/>
      <c r="H96" s="1421"/>
      <c r="I96" s="1126"/>
      <c r="J96" s="1421"/>
      <c r="K96" s="687"/>
      <c r="X96" s="1156">
        <v>0</v>
      </c>
    </row>
    <row s="24354" customFormat="1" customHeight="1" ht="22.5" hidden="1">
      <c r="A97" s="2790"/>
      <c r="B97" s="909" t="s">
        <v>594</v>
      </c>
      <c r="D97" s="1063" t="s">
        <v>94</v>
      </c>
      <c r="E97" s="1064" t="s">
        <v>936</v>
      </c>
      <c r="F97" s="1124" t="s">
        <v>311</v>
      </c>
      <c r="G97" s="783"/>
      <c r="H97" s="1421"/>
      <c r="I97" s="783"/>
      <c r="J97" s="1421"/>
      <c r="K97" s="687" t="s">
        <v>637</v>
      </c>
      <c r="X97" s="1156">
        <v>0</v>
      </c>
    </row>
    <row s="24354" customFormat="1" customHeight="1" ht="45" hidden="1">
      <c r="A98" s="2790"/>
      <c r="B98" s="909" t="s">
        <v>594</v>
      </c>
      <c r="D98" s="1063" t="s">
        <v>937</v>
      </c>
      <c r="E98" s="1065" t="s">
        <v>938</v>
      </c>
      <c r="F98" s="1119" t="s">
        <v>311</v>
      </c>
      <c r="G98" s="783"/>
      <c r="H98" s="1421"/>
      <c r="I98" s="783"/>
      <c r="J98" s="1421"/>
      <c r="K98" s="687" t="s">
        <v>637</v>
      </c>
      <c r="X98" s="1156">
        <v>0</v>
      </c>
    </row>
    <row s="24354" customFormat="1" customHeight="1" ht="95.25" hidden="1">
      <c r="A99" s="2790"/>
      <c r="B99" s="909" t="s">
        <v>594</v>
      </c>
      <c r="D99" s="1063" t="s">
        <v>113</v>
      </c>
      <c r="E99" s="1064" t="s">
        <v>939</v>
      </c>
      <c r="F99" s="1119" t="s">
        <v>311</v>
      </c>
      <c r="G99" s="783"/>
      <c r="H99" s="1421"/>
      <c r="I99" s="783"/>
      <c r="J99" s="1421"/>
      <c r="K99" s="687" t="s">
        <v>637</v>
      </c>
      <c r="X99" s="1156">
        <v>0</v>
      </c>
    </row>
    <row s="24354" customFormat="1" customHeight="1" ht="22.5" hidden="1">
      <c r="A100" s="2790"/>
      <c r="B100" s="909" t="s">
        <v>594</v>
      </c>
      <c r="D100" s="1063" t="s">
        <v>149</v>
      </c>
      <c r="E100" s="1064" t="s">
        <v>940</v>
      </c>
      <c r="F100" s="1119" t="s">
        <v>311</v>
      </c>
      <c r="G100" s="783"/>
      <c r="H100" s="1421"/>
      <c r="I100" s="783"/>
      <c r="J100" s="1421"/>
      <c r="K100" s="687" t="s">
        <v>637</v>
      </c>
      <c r="X100" s="1156">
        <v>0</v>
      </c>
    </row>
    <row s="24354" customFormat="1" customHeight="1" ht="11.549999999999999">
      <c r="A101" s="1431"/>
      <c r="B101" s="916"/>
      <c r="D101" s="1432"/>
      <c r="E101" s="1433"/>
      <c r="X101" s="907">
        <v>11</v>
      </c>
    </row>
    <row customHeight="1" ht="22.5" hidden="1">
      <c r="A102" s="934" t="s">
        <v>83</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5710F-AE6F-BBF3-C281-FD2518EF2C7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4318" width="9.140625" hidden="1" customWidth="1"/>
    <col min="2" max="2" style="24354" width="9.140625" hidden="1" customWidth="1"/>
    <col min="3" max="3" style="26871" width="4.00390625" customWidth="1"/>
    <col min="4" max="4" style="24354" width="6.00390625" customWidth="1"/>
    <col min="5" max="5" style="24354" width="36.00390625" customWidth="1"/>
    <col min="6" max="6" style="24354" width="9.00390625" customWidth="1"/>
    <col min="7" max="7" style="24354" width="25.7109375" hidden="1" customWidth="1"/>
    <col min="8" max="8" style="24354" width="33.7109375" hidden="1" customWidth="1"/>
    <col min="9" max="9" style="24354" width="25.7109375" customWidth="1"/>
    <col min="10" max="10" style="24354" width="33.00390625" customWidth="1"/>
    <col min="11" max="11" style="24434" width="93.00390625" customWidth="1"/>
    <col min="12" max="20" style="24354" width="10.00390625" customWidth="1"/>
    <col min="21" max="21" style="26872" width="10.00390625" customWidth="1"/>
    <col min="22" max="22" style="24354" width="10.57421875" hidden="1"/>
  </cols>
  <sheetData>
    <row s="24434" customFormat="1" customHeight="1" ht="22.5" hidden="1">
      <c r="C1" s="1070"/>
      <c r="G1" s="815">
        <v>4</v>
      </c>
      <c r="I1" s="815">
        <v>4</v>
      </c>
      <c r="U1" s="818"/>
      <c r="V1" s="815" t="s">
        <v>14</v>
      </c>
    </row>
    <row s="24434" customFormat="1" customHeight="1" ht="15" hidden="1">
      <c r="C2" s="1070"/>
      <c r="U2" s="818"/>
      <c r="V2" s="815">
        <v>0</v>
      </c>
    </row>
    <row customHeight="1" ht="22.5" hidden="1">
      <c r="A3" s="903"/>
      <c r="B3" s="2795"/>
      <c r="C3" s="2796" t="s">
        <v>430</v>
      </c>
      <c r="D3" s="1087" t="str">
        <f>B3&amp;".1"</f>
        <v>.1</v>
      </c>
      <c r="E3" s="1088" t="s">
        <v>941</v>
      </c>
      <c r="F3" s="1089" t="s">
        <v>311</v>
      </c>
      <c r="G3" s="1084"/>
      <c r="H3" s="799"/>
      <c r="I3" s="1084"/>
      <c r="J3" s="799"/>
      <c r="K3" s="687" t="s">
        <v>942</v>
      </c>
      <c r="V3" s="903">
        <v>0</v>
      </c>
    </row>
    <row customHeight="1" ht="15" hidden="1">
      <c r="A4" s="903"/>
      <c r="B4" s="2795"/>
      <c r="C4" s="2796"/>
      <c r="D4" s="1087" t="str">
        <f>B3&amp;".2"</f>
        <v>.2</v>
      </c>
      <c r="E4" s="1088" t="s">
        <v>943</v>
      </c>
      <c r="F4" s="1089" t="s">
        <v>311</v>
      </c>
      <c r="G4" s="2136" t="s">
        <v>28</v>
      </c>
      <c r="H4" s="799"/>
      <c r="I4" s="2136" t="s">
        <v>28</v>
      </c>
      <c r="J4" s="799"/>
      <c r="K4" s="687" t="s">
        <v>944</v>
      </c>
      <c r="V4" s="903">
        <v>0</v>
      </c>
    </row>
    <row s="24434" customFormat="1" customHeight="1" ht="15" hidden="1">
      <c r="C5" s="1070"/>
      <c r="U5" s="818"/>
      <c r="V5" s="815">
        <v>0</v>
      </c>
    </row>
    <row customHeight="1" ht="22.5" hidden="1">
      <c r="A6" s="903"/>
      <c r="B6" s="2795"/>
      <c r="C6" s="2796" t="s">
        <v>430</v>
      </c>
      <c r="D6" s="1087" t="str">
        <f>B6&amp;".1"</f>
        <v>.1</v>
      </c>
      <c r="E6" s="1088" t="s">
        <v>945</v>
      </c>
      <c r="F6" s="1089" t="s">
        <v>311</v>
      </c>
      <c r="G6" s="1084"/>
      <c r="H6" s="799"/>
      <c r="I6" s="1084"/>
      <c r="J6" s="799"/>
      <c r="K6" s="687" t="s">
        <v>946</v>
      </c>
      <c r="V6" s="903">
        <v>0</v>
      </c>
    </row>
    <row customHeight="1" ht="15" hidden="1">
      <c r="A7" s="903"/>
      <c r="B7" s="2795"/>
      <c r="C7" s="2796"/>
      <c r="D7" s="1087" t="str">
        <f>B6&amp;".2"</f>
        <v>.2</v>
      </c>
      <c r="E7" s="1088" t="s">
        <v>943</v>
      </c>
      <c r="F7" s="1089" t="s">
        <v>311</v>
      </c>
      <c r="G7" s="2136" t="s">
        <v>28</v>
      </c>
      <c r="H7" s="799"/>
      <c r="I7" s="2136" t="s">
        <v>28</v>
      </c>
      <c r="J7" s="799"/>
      <c r="K7" s="687" t="s">
        <v>944</v>
      </c>
      <c r="V7" s="903">
        <v>0</v>
      </c>
    </row>
    <row s="24434" customFormat="1" customHeight="1" ht="15" hidden="1">
      <c r="C8" s="1070"/>
      <c r="U8" s="818"/>
      <c r="V8" s="815">
        <v>0</v>
      </c>
    </row>
    <row customHeight="1" ht="22.5" hidden="1">
      <c r="A9" s="903"/>
      <c r="B9" s="2795"/>
      <c r="C9" s="2796" t="s">
        <v>430</v>
      </c>
      <c r="D9" s="1087" t="str">
        <f>B9&amp;".1"</f>
        <v>.1</v>
      </c>
      <c r="E9" s="1088" t="s">
        <v>947</v>
      </c>
      <c r="F9" s="1089" t="s">
        <v>311</v>
      </c>
      <c r="G9" s="1095" t="s">
        <v>28</v>
      </c>
      <c r="H9" s="799" t="s">
        <v>28</v>
      </c>
      <c r="I9" s="1095" t="s">
        <v>28</v>
      </c>
      <c r="J9" s="799" t="s">
        <v>28</v>
      </c>
      <c r="K9" s="687"/>
      <c r="V9" s="903">
        <v>0</v>
      </c>
    </row>
    <row customHeight="1" ht="15" hidden="1">
      <c r="A10" s="903"/>
      <c r="B10" s="2795"/>
      <c r="C10" s="2796"/>
      <c r="D10" s="1087" t="str">
        <f>B9&amp;".2"</f>
        <v>.2</v>
      </c>
      <c r="E10" s="1088" t="s">
        <v>948</v>
      </c>
      <c r="F10" s="1089" t="s">
        <v>311</v>
      </c>
      <c r="G10" s="2130" t="s">
        <v>28</v>
      </c>
      <c r="H10" s="799" t="s">
        <v>28</v>
      </c>
      <c r="I10" s="2130" t="s">
        <v>28</v>
      </c>
      <c r="J10" s="799" t="s">
        <v>28</v>
      </c>
      <c r="K10" s="687" t="s">
        <v>949</v>
      </c>
      <c r="V10" s="903">
        <v>0</v>
      </c>
    </row>
    <row customHeight="1" ht="15" hidden="1">
      <c r="A11" s="903"/>
      <c r="B11" s="2795"/>
      <c r="C11" s="2796"/>
      <c r="D11" s="1087" t="str">
        <f>B9&amp;".3"</f>
        <v>.3</v>
      </c>
      <c r="E11" s="1088" t="s">
        <v>950</v>
      </c>
      <c r="F11" s="1089" t="s">
        <v>311</v>
      </c>
      <c r="G11" s="2130" t="s">
        <v>28</v>
      </c>
      <c r="H11" s="799" t="s">
        <v>28</v>
      </c>
      <c r="I11" s="2130" t="s">
        <v>28</v>
      </c>
      <c r="J11" s="799" t="s">
        <v>28</v>
      </c>
      <c r="K11" s="687" t="s">
        <v>951</v>
      </c>
      <c r="V11" s="903">
        <v>0</v>
      </c>
    </row>
    <row s="24434" customFormat="1" customHeight="1" ht="15" hidden="1">
      <c r="C12" s="1070"/>
      <c r="U12" s="818"/>
      <c r="V12" s="815">
        <v>0</v>
      </c>
    </row>
    <row customHeight="1" ht="33.75" hidden="1">
      <c r="A13" s="903"/>
      <c r="B13" s="2795"/>
      <c r="C13" s="2796" t="s">
        <v>430</v>
      </c>
      <c r="D13" s="1087" t="str">
        <f>B13&amp;".1"</f>
        <v>.1</v>
      </c>
      <c r="E13" s="1088" t="s">
        <v>952</v>
      </c>
      <c r="F13" s="1089" t="s">
        <v>311</v>
      </c>
      <c r="G13" s="1095" t="s">
        <v>28</v>
      </c>
      <c r="H13" s="799" t="s">
        <v>28</v>
      </c>
      <c r="I13" s="1095" t="s">
        <v>28</v>
      </c>
      <c r="J13" s="799" t="s">
        <v>28</v>
      </c>
      <c r="K13" s="687" t="s">
        <v>953</v>
      </c>
      <c r="V13" s="903">
        <v>0</v>
      </c>
    </row>
    <row customHeight="1" ht="15" hidden="1">
      <c r="B14" s="2795"/>
      <c r="C14" s="2796"/>
      <c r="D14" s="1087" t="str">
        <f>B13&amp;".2"</f>
        <v>.2</v>
      </c>
      <c r="E14" s="1088" t="s">
        <v>954</v>
      </c>
      <c r="F14" s="1089" t="s">
        <v>311</v>
      </c>
      <c r="G14" s="2130" t="s">
        <v>28</v>
      </c>
      <c r="H14" s="799" t="s">
        <v>28</v>
      </c>
      <c r="I14" s="2130" t="s">
        <v>28</v>
      </c>
      <c r="J14" s="799" t="s">
        <v>28</v>
      </c>
      <c r="K14" s="687" t="s">
        <v>955</v>
      </c>
      <c r="V14" s="903">
        <v>0</v>
      </c>
    </row>
    <row s="24434" customFormat="1" customHeight="1" ht="15" hidden="1">
      <c r="C15" s="1070"/>
      <c r="U15" s="818"/>
      <c r="V15" s="815">
        <v>0</v>
      </c>
    </row>
    <row s="24434" customFormat="1" customHeight="1" ht="15" hidden="1">
      <c r="C16" s="1070"/>
      <c r="U16" s="818"/>
      <c r="V16" s="815">
        <v>0</v>
      </c>
    </row>
    <row s="24434" customFormat="1" customHeight="1" ht="15" hidden="1">
      <c r="C17" s="1070"/>
      <c r="U17" s="818"/>
      <c r="V17" s="815">
        <v>0</v>
      </c>
    </row>
    <row s="24434" customFormat="1" customHeight="1" ht="15" hidden="1">
      <c r="C18" s="1070"/>
      <c r="U18" s="818"/>
      <c r="V18" s="815">
        <v>0</v>
      </c>
    </row>
    <row s="24434" customFormat="1" customHeight="1" ht="15" hidden="1">
      <c r="C19" s="1070"/>
      <c r="U19" s="818"/>
      <c r="V19" s="815">
        <v>0</v>
      </c>
    </row>
    <row s="24434"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ООО "Новая Энергетика"</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24354" customFormat="1" customHeight="1" ht="1.05">
      <c r="A25" s="1157"/>
      <c r="C25" s="574"/>
      <c r="D25" s="907"/>
      <c r="E25" s="907"/>
      <c r="F25" s="907"/>
      <c r="G25" s="935"/>
      <c r="H25" s="1150"/>
      <c r="I25" s="935" t="s">
        <v>118</v>
      </c>
      <c r="J25" s="1150"/>
      <c r="K25" s="815"/>
      <c r="U25" s="1073"/>
      <c r="V25" s="1156">
        <v>1</v>
      </c>
    </row>
    <row customHeight="1" ht="15.75">
      <c r="C26" s="574"/>
      <c r="D26" s="1109"/>
      <c r="E26" s="2765" t="s">
        <v>106</v>
      </c>
      <c r="F26" s="2766"/>
      <c r="G26" s="2793" t="str">
        <f>IF(G25="","",INDEX(DIFFERENTIATION_UNMERGE_VD,MATCH(G25,DIFFERENTIATION_ID_DIFF,0)))</f>
        <v/>
      </c>
      <c r="H26" s="2794"/>
      <c r="I26" s="2793">
        <f>IF(I25="","",INDEX(DIFFERENTIATION_UNMERGE_VD,MATCH(I25,DIFFERENTIATION_ID_DIFF,0)))</f>
        <v>0</v>
      </c>
      <c r="J26" s="2794"/>
      <c r="K26" s="2573" t="s">
        <v>306</v>
      </c>
      <c r="V26" s="903">
        <v>15</v>
      </c>
    </row>
    <row s="24354" customFormat="1" customHeight="1" ht="15.75">
      <c r="A27" s="1157"/>
      <c r="C27" s="574"/>
      <c r="D27" s="1109"/>
      <c r="E27" s="2765" t="s">
        <v>570</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24354" customFormat="1" customHeight="1" ht="15.75">
      <c r="A28" s="1157"/>
      <c r="C28" s="574"/>
      <c r="D28" s="1109"/>
      <c r="E28" s="2765" t="s">
        <v>571</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24354" customFormat="1" customHeight="1" ht="15.75">
      <c r="A29" s="1157"/>
      <c r="C29" s="574"/>
      <c r="D29" s="2767" t="s">
        <v>305</v>
      </c>
      <c r="E29" s="2768"/>
      <c r="F29" s="2768"/>
      <c r="G29" s="1285"/>
      <c r="H29" s="1285"/>
      <c r="I29" s="1285"/>
      <c r="J29" s="1286"/>
      <c r="K29" s="2593"/>
      <c r="U29" s="1073"/>
      <c r="V29" s="1156">
        <v>15</v>
      </c>
    </row>
    <row customHeight="1" ht="35.699999999999996">
      <c r="C30" s="574"/>
      <c r="D30" s="1159" t="s">
        <v>89</v>
      </c>
      <c r="E30" s="1158" t="s">
        <v>307</v>
      </c>
      <c r="F30" s="1158" t="s">
        <v>572</v>
      </c>
      <c r="G30" s="1206" t="s">
        <v>308</v>
      </c>
      <c r="H30" s="1205" t="s">
        <v>395</v>
      </c>
      <c r="I30" s="1082" t="s">
        <v>308</v>
      </c>
      <c r="J30" s="863" t="s">
        <v>395</v>
      </c>
      <c r="K30" s="2599"/>
      <c r="V30" s="903">
        <v>34</v>
      </c>
    </row>
    <row customHeight="1" ht="15" hidden="1">
      <c r="C31" s="574"/>
      <c r="D31" s="991"/>
      <c r="E31" s="991"/>
      <c r="F31" s="991"/>
      <c r="G31" s="1057"/>
      <c r="H31" s="1057"/>
      <c r="I31" s="1057"/>
      <c r="J31" s="1057"/>
      <c r="K31" s="687"/>
      <c r="V31" s="903">
        <v>0</v>
      </c>
    </row>
    <row customHeight="1" ht="24">
      <c r="A32" s="903"/>
      <c r="B32" s="903" t="s">
        <v>956</v>
      </c>
      <c r="C32" s="924"/>
      <c r="D32" s="1090">
        <v>1</v>
      </c>
      <c r="E32" s="1091" t="s">
        <v>957</v>
      </c>
      <c r="F32" s="1089" t="s">
        <v>311</v>
      </c>
      <c r="G32" s="1211" t="s">
        <v>311</v>
      </c>
      <c r="H32" s="1211" t="s">
        <v>311</v>
      </c>
      <c r="I32" s="1089" t="s">
        <v>311</v>
      </c>
      <c r="J32" s="1089" t="s">
        <v>311</v>
      </c>
      <c r="K32" s="687"/>
      <c r="V32" s="903">
        <v>23</v>
      </c>
    </row>
    <row customHeight="1" ht="11.549999999999999">
      <c r="A33" s="903"/>
      <c r="C33" s="903"/>
      <c r="D33" s="745"/>
      <c r="E33" s="978" t="s">
        <v>592</v>
      </c>
      <c r="F33" s="970"/>
      <c r="G33" s="970"/>
      <c r="H33" s="970"/>
      <c r="I33" s="970"/>
      <c r="J33" s="970"/>
      <c r="K33" s="971"/>
      <c r="U33" s="903"/>
      <c r="V33" s="903">
        <v>11</v>
      </c>
    </row>
    <row customHeight="1" ht="24">
      <c r="A34" s="903"/>
      <c r="B34" s="979" t="s">
        <v>642</v>
      </c>
      <c r="C34" s="924"/>
      <c r="D34" s="1090">
        <v>2</v>
      </c>
      <c r="E34" s="1091" t="s">
        <v>958</v>
      </c>
      <c r="F34" s="1218" t="s">
        <v>311</v>
      </c>
      <c r="G34" s="1218" t="s">
        <v>311</v>
      </c>
      <c r="H34" s="1218" t="s">
        <v>311</v>
      </c>
      <c r="I34" s="1089"/>
      <c r="J34" s="1089"/>
      <c r="K34" s="687"/>
      <c r="V34" s="903">
        <v>23</v>
      </c>
    </row>
    <row customHeight="1" ht="11.549999999999999">
      <c r="A35" s="903"/>
      <c r="C35" s="903"/>
      <c r="D35" s="745"/>
      <c r="E35" s="978" t="s">
        <v>959</v>
      </c>
      <c r="F35" s="970"/>
      <c r="G35" s="1092"/>
      <c r="H35" s="970"/>
      <c r="I35" s="1092"/>
      <c r="J35" s="970"/>
      <c r="K35" s="971"/>
      <c r="U35" s="903"/>
      <c r="V35" s="903">
        <v>11</v>
      </c>
    </row>
    <row customHeight="1" ht="71.25">
      <c r="A36" s="903"/>
      <c r="B36" s="903" t="s">
        <v>960</v>
      </c>
      <c r="C36" s="924"/>
      <c r="D36" s="1090">
        <v>3</v>
      </c>
      <c r="E36" s="1091" t="s">
        <v>961</v>
      </c>
      <c r="F36" s="1093" t="s">
        <v>311</v>
      </c>
      <c r="G36" s="1212" t="s">
        <v>962</v>
      </c>
      <c r="H36" s="1211" t="s">
        <v>311</v>
      </c>
      <c r="I36" s="922" t="s">
        <v>962</v>
      </c>
      <c r="J36" s="1089" t="s">
        <v>311</v>
      </c>
      <c r="K36" s="687" t="s">
        <v>963</v>
      </c>
      <c r="V36" s="903">
        <v>68</v>
      </c>
    </row>
    <row customHeight="1" ht="11.549999999999999">
      <c r="A37" s="903"/>
      <c r="C37" s="903"/>
      <c r="D37" s="745"/>
      <c r="E37" s="978" t="s">
        <v>964</v>
      </c>
      <c r="F37" s="970"/>
      <c r="G37" s="1092"/>
      <c r="H37" s="1092"/>
      <c r="I37" s="1092"/>
      <c r="J37" s="1092"/>
      <c r="K37" s="971"/>
      <c r="U37" s="903"/>
      <c r="V37" s="903">
        <v>11</v>
      </c>
    </row>
    <row customHeight="1" ht="71.25">
      <c r="A38" s="903"/>
      <c r="B38" s="903" t="s">
        <v>965</v>
      </c>
      <c r="C38" s="924"/>
      <c r="D38" s="1090">
        <v>4</v>
      </c>
      <c r="E38" s="1091" t="s">
        <v>966</v>
      </c>
      <c r="F38" s="1093" t="s">
        <v>311</v>
      </c>
      <c r="G38" s="1212" t="s">
        <v>962</v>
      </c>
      <c r="H38" s="1213" t="s">
        <v>311</v>
      </c>
      <c r="I38" s="922" t="s">
        <v>962</v>
      </c>
      <c r="J38" s="919" t="s">
        <v>311</v>
      </c>
      <c r="K38" s="1077" t="s">
        <v>967</v>
      </c>
      <c r="V38" s="903">
        <v>68</v>
      </c>
    </row>
    <row customHeight="1" ht="11.549999999999999">
      <c r="A39" s="903"/>
      <c r="C39" s="903"/>
      <c r="D39" s="745"/>
      <c r="E39" s="978" t="s">
        <v>968</v>
      </c>
      <c r="F39" s="970"/>
      <c r="G39" s="970"/>
      <c r="H39" s="1094"/>
      <c r="I39" s="970"/>
      <c r="J39" s="1094"/>
      <c r="K39" s="971"/>
      <c r="U39" s="903"/>
      <c r="V39" s="903">
        <v>11</v>
      </c>
    </row>
    <row customHeight="1" ht="22.5" hidden="1">
      <c r="A40" s="847" t="s">
        <v>83</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DD286-D711-05DD-50A9-82A78703F8C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6842" width="6.7109375" hidden="1" customWidth="1"/>
    <col min="4" max="4" style="24434" width="6.7109375" hidden="1" customWidth="1"/>
    <col min="5" max="5" style="24354" width="3.00390625" customWidth="1"/>
    <col min="6" max="6" style="24354" width="6.00390625" customWidth="1"/>
    <col min="7" max="7" style="24354" width="37.00390625" customWidth="1"/>
    <col min="8" max="8" style="24354" width="16.00390625" customWidth="1"/>
    <col min="9" max="10" style="24354" width="19.00390625" customWidth="1"/>
    <col min="11" max="11" style="24354" width="24.00390625" customWidth="1"/>
    <col min="12" max="13" style="24354" width="25.00390625" customWidth="1"/>
    <col min="14" max="16" style="24354" width="17.00390625" customWidth="1"/>
    <col min="17" max="24" style="24354" width="19.00390625" customWidth="1"/>
    <col min="25" max="25" style="24354" width="7.00390625" customWidth="1"/>
    <col min="26" max="26" style="24354" width="3.00390625" customWidth="1"/>
    <col min="27" max="27" style="24354" width="6.00390625" customWidth="1"/>
    <col min="28" max="28" style="24354" width="34.00390625" customWidth="1"/>
    <col min="29" max="30" style="24354" width="8.00390625" customWidth="1"/>
    <col min="31" max="31" style="24354" width="9.140625" hidden="1"/>
  </cols>
  <sheetData>
    <row s="24434" customFormat="1" customHeight="1" ht="10.5" hidden="1">
      <c r="A1" s="1293"/>
      <c r="B1" s="1293"/>
      <c r="C1" s="1293"/>
      <c r="E1" s="935"/>
      <c r="H1" s="1558"/>
      <c r="AE1" s="815" t="s">
        <v>14</v>
      </c>
    </row>
    <row customHeight="1" ht="10.5" hidden="1">
      <c r="AE2" s="1156">
        <v>0</v>
      </c>
    </row>
    <row s="24318" customFormat="1" customHeight="1" ht="10.5" hidden="1">
      <c r="A3" s="1293"/>
      <c r="B3" s="1293"/>
      <c r="C3" s="1293"/>
      <c r="D3" s="815"/>
      <c r="E3" s="760"/>
      <c r="G3" s="2030" t="s">
        <v>969</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4354" customFormat="1" customHeight="1" ht="16.8">
      <c r="A6" s="1564"/>
      <c r="B6" s="1564"/>
      <c r="C6" s="1564"/>
      <c r="D6" s="1558"/>
      <c r="E6" s="2033"/>
      <c r="F6" s="2647" t="str">
        <f>IF(org=0,"Не определено",org)</f>
        <v>ООО "Новая Энергетика"</v>
      </c>
      <c r="G6" s="2647"/>
      <c r="H6" s="2647"/>
      <c r="I6" s="2647"/>
      <c r="J6" s="2647"/>
      <c r="K6" s="2647"/>
      <c r="M6" s="980"/>
      <c r="AB6" s="1546"/>
      <c r="AE6" s="2029">
        <v>16</v>
      </c>
    </row>
    <row customHeight="1" ht="10.5">
      <c r="AE7" s="1156">
        <v>10</v>
      </c>
    </row>
    <row customHeight="1" ht="10.5">
      <c r="A8" s="1449"/>
      <c r="B8" s="1449"/>
      <c r="C8" s="1449"/>
      <c r="F8" s="2499" t="s">
        <v>305</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89</v>
      </c>
      <c r="G9" s="2525" t="s">
        <v>969</v>
      </c>
      <c r="H9" s="2573" t="s">
        <v>970</v>
      </c>
      <c r="I9" s="2525" t="s">
        <v>971</v>
      </c>
      <c r="J9" s="2525" t="s">
        <v>972</v>
      </c>
      <c r="K9" s="2525" t="s">
        <v>973</v>
      </c>
      <c r="L9" s="2525" t="s">
        <v>974</v>
      </c>
      <c r="M9" s="2525" t="s">
        <v>975</v>
      </c>
      <c r="N9" s="2607" t="s">
        <v>976</v>
      </c>
      <c r="O9" s="2607"/>
      <c r="P9" s="2607"/>
      <c r="Q9" s="2797" t="s">
        <v>977</v>
      </c>
      <c r="R9" s="2798"/>
      <c r="S9" s="2798"/>
      <c r="T9" s="2799"/>
      <c r="U9" s="2797" t="s">
        <v>978</v>
      </c>
      <c r="V9" s="2798"/>
      <c r="W9" s="2798"/>
      <c r="X9" s="2799"/>
      <c r="Y9" s="2499" t="s">
        <v>979</v>
      </c>
      <c r="Z9" s="2500"/>
      <c r="AA9" s="2500"/>
      <c r="AB9" s="2501"/>
      <c r="AE9" s="1156">
        <v>41</v>
      </c>
    </row>
    <row customHeight="1" ht="43.050000000000004">
      <c r="A10" s="1303"/>
      <c r="B10" s="1303"/>
      <c r="C10" s="1303"/>
      <c r="F10" s="2573"/>
      <c r="G10" s="2573"/>
      <c r="H10" s="2630"/>
      <c r="I10" s="2573"/>
      <c r="J10" s="2573"/>
      <c r="K10" s="2573"/>
      <c r="L10" s="2573"/>
      <c r="M10" s="2573"/>
      <c r="N10" s="1301" t="s">
        <v>980</v>
      </c>
      <c r="O10" s="1301" t="s">
        <v>981</v>
      </c>
      <c r="P10" s="1302" t="s">
        <v>982</v>
      </c>
      <c r="Q10" s="1313" t="s">
        <v>90</v>
      </c>
      <c r="R10" s="1313" t="s">
        <v>983</v>
      </c>
      <c r="S10" s="1313" t="s">
        <v>984</v>
      </c>
      <c r="T10" s="1314" t="s">
        <v>985</v>
      </c>
      <c r="U10" s="1313" t="s">
        <v>90</v>
      </c>
      <c r="V10" s="1313" t="s">
        <v>986</v>
      </c>
      <c r="W10" s="1313" t="s">
        <v>984</v>
      </c>
      <c r="X10" s="1314" t="s">
        <v>985</v>
      </c>
      <c r="Y10" s="699" t="s">
        <v>987</v>
      </c>
      <c r="Z10" s="2499" t="s">
        <v>89</v>
      </c>
      <c r="AA10" s="2501"/>
      <c r="AB10" s="1447" t="s">
        <v>988</v>
      </c>
      <c r="AE10" s="1156">
        <v>41</v>
      </c>
    </row>
    <row s="24435" customFormat="1" customHeight="1" ht="5.25" hidden="1">
      <c r="A11" s="1450"/>
      <c r="B11" s="1450"/>
      <c r="C11" s="1450"/>
      <c r="E11" s="1448"/>
      <c r="F11" s="2804" t="s">
        <v>381</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989</v>
      </c>
      <c r="AE11" s="909">
        <v>0</v>
      </c>
    </row>
    <row s="24435"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990</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24435" customFormat="1" customHeight="1" ht="10.5">
      <c r="A15" s="1565"/>
      <c r="B15" s="1565"/>
      <c r="C15" s="1565"/>
      <c r="E15" s="916"/>
      <c r="H15" s="909">
        <f>_xlfn.IFERROR(MATCH("нет",IP_MAIN_DIFFERENTIATION_EVENTS_FLAG,0),0)</f>
        <v>0</v>
      </c>
      <c r="AE15" s="909">
        <v>10</v>
      </c>
    </row>
    <row customHeight="1" ht="10.5" hidden="1">
      <c r="A16" s="1293" t="s">
        <v>83</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F72F7-3C4F-F98F-7718-07FF7D2FE33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6842" width="4.140625" hidden="1" customWidth="1"/>
    <col min="4" max="4" style="24434" width="4.140625" hidden="1" customWidth="1"/>
    <col min="5" max="5" style="24354" width="3.00390625" customWidth="1"/>
    <col min="6" max="6" style="24354" width="14.00390625" customWidth="1"/>
    <col min="7" max="7" style="24354" width="3.00390625" customWidth="1"/>
    <col min="8" max="8" style="24354" width="7.00390625" customWidth="1"/>
    <col min="9" max="10" style="24354" width="16.00390625" customWidth="1"/>
    <col min="11" max="11" style="24354" width="25.00390625" customWidth="1"/>
    <col min="12" max="12" style="24354" width="7.00390625" customWidth="1"/>
    <col min="13" max="13" style="24354" width="15.00390625" customWidth="1"/>
    <col min="14" max="14" style="24354" width="3.00390625" customWidth="1"/>
    <col min="15" max="15" style="24354" width="4.00390625" customWidth="1"/>
    <col min="16" max="16" style="24354" width="8.00390625" customWidth="1"/>
    <col min="17" max="17" style="24354" width="21.00390625" customWidth="1"/>
    <col min="18" max="18" style="24354" width="14.00390625" customWidth="1"/>
    <col min="19" max="20" style="24354" width="17.00390625" customWidth="1"/>
    <col min="21" max="21" style="24354" width="9.00390625" customWidth="1"/>
    <col min="22" max="22" style="24354" width="12.00390625" customWidth="1"/>
    <col min="23" max="23" style="24354" width="9.00390625" customWidth="1"/>
    <col min="24" max="24" style="24354" width="21.00390625" customWidth="1"/>
    <col min="25" max="25" style="24354" width="12.00390625" customWidth="1"/>
    <col min="26" max="26" style="24354" width="3.00390625" customWidth="1"/>
    <col min="27" max="27" style="24354" width="6.00390625" customWidth="1"/>
    <col min="28" max="28" style="24354" width="38.00390625" customWidth="1"/>
    <col min="29" max="29" style="24354" width="15.00390625" customWidth="1"/>
    <col min="30" max="30" style="24354" width="37.57421875" hidden="1" customWidth="1"/>
    <col min="31" max="31" style="24354" width="15.7109375" hidden="1" customWidth="1"/>
    <col min="32" max="34" style="24354" width="16.00390625" customWidth="1"/>
    <col min="35" max="37" style="24354" width="16.7109375" hidden="1" customWidth="1"/>
    <col min="38" max="58" style="24354" width="8.00390625" customWidth="1"/>
    <col min="59" max="59" style="24354" width="9.140625" hidden="1"/>
  </cols>
  <sheetData>
    <row s="24434" customFormat="1" customHeight="1" ht="10.5" hidden="1">
      <c r="A1" s="1293"/>
      <c r="B1" s="1293"/>
      <c r="C1" s="1293"/>
      <c r="E1" s="935"/>
      <c r="H1" s="1558"/>
      <c r="L1" s="1526"/>
      <c r="M1" s="1526"/>
      <c r="AD1" s="1526"/>
      <c r="AH1" s="1545"/>
      <c r="AI1" s="1538"/>
      <c r="BG1" s="815" t="s">
        <v>14</v>
      </c>
    </row>
    <row customHeight="1" ht="10.5" hidden="1">
      <c r="BG2" s="1156">
        <v>0</v>
      </c>
    </row>
    <row s="24318"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ООО "Новая Энергетика"</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305</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991</v>
      </c>
      <c r="G9" s="2807" t="s">
        <v>992</v>
      </c>
      <c r="H9" s="2808"/>
      <c r="I9" s="2525" t="s">
        <v>993</v>
      </c>
      <c r="J9" s="2525"/>
      <c r="K9" s="2525" t="s">
        <v>994</v>
      </c>
      <c r="L9" s="2525"/>
      <c r="M9" s="2525"/>
      <c r="N9" s="2525"/>
      <c r="O9" s="2525"/>
      <c r="P9" s="2525"/>
      <c r="Q9" s="2525"/>
      <c r="R9" s="2525"/>
      <c r="S9" s="2525"/>
      <c r="T9" s="2525"/>
      <c r="U9" s="2525"/>
      <c r="V9" s="2525"/>
      <c r="W9" s="2525"/>
      <c r="X9" s="2525"/>
      <c r="Y9" s="2525"/>
      <c r="Z9" s="2590" t="s">
        <v>995</v>
      </c>
      <c r="AA9" s="2591"/>
      <c r="AB9" s="2525" t="s">
        <v>996</v>
      </c>
      <c r="AC9" s="2525"/>
      <c r="AD9" s="2525"/>
      <c r="AE9" s="2525"/>
      <c r="AF9" s="2573" t="s">
        <v>997</v>
      </c>
      <c r="AG9" s="2525" t="s">
        <v>998</v>
      </c>
      <c r="AH9" s="2525"/>
      <c r="AI9" s="2573" t="s">
        <v>999</v>
      </c>
      <c r="AJ9" s="2525" t="s">
        <v>1000</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1001</v>
      </c>
      <c r="L10" s="2499" t="s">
        <v>1002</v>
      </c>
      <c r="M10" s="2501"/>
      <c r="N10" s="2525" t="s">
        <v>1003</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4354" customFormat="1" customHeight="1" ht="25.2">
      <c r="A11" s="1527"/>
      <c r="B11" s="1527"/>
      <c r="C11" s="1527"/>
      <c r="D11" s="1526"/>
      <c r="E11" s="1528"/>
      <c r="F11" s="2806"/>
      <c r="G11" s="2809"/>
      <c r="H11" s="2810"/>
      <c r="I11" s="2525"/>
      <c r="J11" s="2525"/>
      <c r="K11" s="2525"/>
      <c r="L11" s="2573" t="s">
        <v>1004</v>
      </c>
      <c r="M11" s="2573" t="s">
        <v>1005</v>
      </c>
      <c r="N11" s="2525" t="s">
        <v>1006</v>
      </c>
      <c r="O11" s="2525"/>
      <c r="P11" s="2816" t="s">
        <v>987</v>
      </c>
      <c r="Q11" s="2816" t="s">
        <v>1007</v>
      </c>
      <c r="R11" s="2816" t="s">
        <v>1008</v>
      </c>
      <c r="S11" s="2816" t="s">
        <v>1009</v>
      </c>
      <c r="T11" s="2816"/>
      <c r="U11" s="2816"/>
      <c r="V11" s="2816"/>
      <c r="W11" s="2816"/>
      <c r="X11" s="2816"/>
      <c r="Y11" s="2816"/>
      <c r="Z11" s="2592"/>
      <c r="AA11" s="2593"/>
      <c r="AB11" s="2525" t="s">
        <v>1010</v>
      </c>
      <c r="AC11" s="2525"/>
      <c r="AD11" s="2499" t="s">
        <v>1011</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90</v>
      </c>
      <c r="J12" s="1551" t="s">
        <v>1012</v>
      </c>
      <c r="K12" s="2525"/>
      <c r="L12" s="2630"/>
      <c r="M12" s="2630"/>
      <c r="N12" s="2525"/>
      <c r="O12" s="2525"/>
      <c r="P12" s="2816"/>
      <c r="Q12" s="2816"/>
      <c r="R12" s="2816"/>
      <c r="S12" s="1532" t="s">
        <v>87</v>
      </c>
      <c r="T12" s="1532" t="s">
        <v>88</v>
      </c>
      <c r="U12" s="1532" t="s">
        <v>86</v>
      </c>
      <c r="V12" s="1532" t="s">
        <v>1013</v>
      </c>
      <c r="W12" s="1532" t="s">
        <v>86</v>
      </c>
      <c r="X12" s="1532" t="s">
        <v>1014</v>
      </c>
      <c r="Y12" s="1532" t="s">
        <v>1015</v>
      </c>
      <c r="Z12" s="2598"/>
      <c r="AA12" s="2599"/>
      <c r="AB12" s="1539" t="s">
        <v>1016</v>
      </c>
      <c r="AC12" s="1539" t="s">
        <v>1017</v>
      </c>
      <c r="AD12" s="1539" t="s">
        <v>1016</v>
      </c>
      <c r="AE12" s="1539" t="s">
        <v>1017</v>
      </c>
      <c r="AF12" s="2630"/>
      <c r="AG12" s="1552" t="s">
        <v>1018</v>
      </c>
      <c r="AH12" s="1552" t="s">
        <v>1019</v>
      </c>
      <c r="AI12" s="2630"/>
      <c r="AJ12" s="1552" t="s">
        <v>1018</v>
      </c>
      <c r="AK12" s="1552" t="s">
        <v>1019</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1020</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83</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7B2E5-8EC7-1B4E-7C16-926F210304F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6842" width="4.140625" hidden="1" customWidth="1"/>
    <col min="4" max="4" style="24434" width="4.140625" hidden="1" customWidth="1"/>
    <col min="5" max="5" style="24354" width="3.00390625" customWidth="1"/>
    <col min="6" max="6" style="24354" width="6.00390625" customWidth="1"/>
    <col min="7" max="7" style="24354" width="60.00390625" customWidth="1"/>
    <col min="8" max="9" style="24354" width="21.7109375" hidden="1" customWidth="1"/>
    <col min="10" max="10" style="24354" width="0.140625" customWidth="1"/>
    <col min="11" max="11" style="24354" width="1.00390625" customWidth="1"/>
    <col min="12" max="22" style="24354" width="8.00390625" customWidth="1"/>
    <col min="23" max="23" style="24354" width="9.140625" hidden="1"/>
  </cols>
  <sheetData>
    <row s="24434" customFormat="1" customHeight="1" ht="10.5" hidden="1">
      <c r="A1" s="1564"/>
      <c r="B1" s="1564"/>
      <c r="C1" s="1564"/>
      <c r="E1" s="935"/>
      <c r="W1" s="1558" t="s">
        <v>14</v>
      </c>
    </row>
    <row customHeight="1" ht="10.5" hidden="1">
      <c r="W2" s="1553">
        <v>0</v>
      </c>
    </row>
    <row s="24318"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ООО "Новая Энергетика"</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24435"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305</v>
      </c>
      <c r="G9" s="2818"/>
      <c r="H9" s="2818"/>
      <c r="I9" s="2818"/>
      <c r="J9" s="2818"/>
      <c r="K9" s="1638"/>
      <c r="L9" s="1555"/>
      <c r="M9" s="1555"/>
      <c r="N9" s="1555"/>
      <c r="O9" s="1555"/>
      <c r="P9" s="1555"/>
      <c r="Q9" s="1555"/>
      <c r="R9" s="1555"/>
      <c r="S9" s="1555"/>
      <c r="T9" s="1555"/>
      <c r="U9" s="1555"/>
      <c r="V9" s="1555"/>
      <c r="W9" s="1553">
        <v>10</v>
      </c>
    </row>
    <row customHeight="1" ht="25.2">
      <c r="E10" s="1555"/>
      <c r="F10" s="2821" t="s">
        <v>89</v>
      </c>
      <c r="G10" s="2826" t="s">
        <v>1021</v>
      </c>
      <c r="H10" s="2824" t="s">
        <v>1022</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1023</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1024</v>
      </c>
      <c r="G14" s="2819" t="s">
        <v>1025</v>
      </c>
      <c r="H14" s="2819"/>
      <c r="I14" s="2819"/>
      <c r="J14" s="2819"/>
      <c r="K14" s="1632"/>
      <c r="W14" s="1553">
        <v>11</v>
      </c>
    </row>
    <row customHeight="1" ht="11.549999999999999">
      <c r="F15" s="1628">
        <v>1</v>
      </c>
      <c r="G15" s="1088" t="s">
        <v>1026</v>
      </c>
      <c r="H15" s="1634">
        <f>SUM(I15:J15)</f>
        <v>0</v>
      </c>
      <c r="I15" s="1634">
        <f>SUM(I16:I27)</f>
        <v>0</v>
      </c>
      <c r="J15" s="1623"/>
      <c r="K15" s="1632"/>
      <c r="W15" s="1553">
        <v>11</v>
      </c>
    </row>
    <row customHeight="1" ht="24">
      <c r="F16" s="1628" t="s">
        <v>1027</v>
      </c>
      <c r="G16" s="1635" t="s">
        <v>1028</v>
      </c>
      <c r="H16" s="1634">
        <f>SUM(I16:J16)</f>
        <v>0</v>
      </c>
      <c r="I16" s="1633"/>
      <c r="J16" s="1623"/>
      <c r="K16" s="1632"/>
      <c r="W16" s="1553">
        <v>23</v>
      </c>
    </row>
    <row customHeight="1" ht="24">
      <c r="F17" s="1628" t="s">
        <v>1029</v>
      </c>
      <c r="G17" s="1635" t="s">
        <v>1030</v>
      </c>
      <c r="H17" s="1634">
        <f>SUM(I17:J17)</f>
        <v>0</v>
      </c>
      <c r="I17" s="1633"/>
      <c r="J17" s="1623"/>
      <c r="K17" s="1632"/>
      <c r="W17" s="1553">
        <v>23</v>
      </c>
    </row>
    <row customHeight="1" ht="35.699999999999996">
      <c r="F18" s="1628" t="s">
        <v>1031</v>
      </c>
      <c r="G18" s="1635" t="s">
        <v>1032</v>
      </c>
      <c r="H18" s="1634">
        <f>SUM(I18:J18)</f>
        <v>0</v>
      </c>
      <c r="I18" s="1633"/>
      <c r="J18" s="1623"/>
      <c r="K18" s="1632"/>
      <c r="W18" s="1553">
        <v>34</v>
      </c>
    </row>
    <row customHeight="1" ht="35.699999999999996">
      <c r="F19" s="1628" t="s">
        <v>1033</v>
      </c>
      <c r="G19" s="1635" t="s">
        <v>1034</v>
      </c>
      <c r="H19" s="1634">
        <f>SUM(I19:J19)</f>
        <v>0</v>
      </c>
      <c r="I19" s="1633"/>
      <c r="J19" s="1623"/>
      <c r="K19" s="1632"/>
      <c r="W19" s="1553">
        <v>34</v>
      </c>
    </row>
    <row customHeight="1" ht="48.29999999999999">
      <c r="F20" s="1628" t="s">
        <v>1035</v>
      </c>
      <c r="G20" s="1635" t="s">
        <v>1036</v>
      </c>
      <c r="H20" s="1634">
        <f>SUM(I20:J20)</f>
        <v>0</v>
      </c>
      <c r="I20" s="1633"/>
      <c r="J20" s="1623"/>
      <c r="K20" s="1632"/>
      <c r="W20" s="1553">
        <v>46</v>
      </c>
    </row>
    <row customHeight="1" ht="35.699999999999996">
      <c r="F21" s="1628" t="s">
        <v>1037</v>
      </c>
      <c r="G21" s="1635" t="s">
        <v>1038</v>
      </c>
      <c r="H21" s="1634">
        <f>SUM(I21:J21)</f>
        <v>0</v>
      </c>
      <c r="I21" s="1633"/>
      <c r="J21" s="1623"/>
      <c r="K21" s="1632"/>
      <c r="W21" s="1553">
        <v>34</v>
      </c>
    </row>
    <row customHeight="1" ht="35.699999999999996">
      <c r="F22" s="1628" t="s">
        <v>1039</v>
      </c>
      <c r="G22" s="1635" t="s">
        <v>1040</v>
      </c>
      <c r="H22" s="1634">
        <f>SUM(I22:J22)</f>
        <v>0</v>
      </c>
      <c r="I22" s="1633"/>
      <c r="J22" s="1623"/>
      <c r="K22" s="1632"/>
      <c r="W22" s="1553">
        <v>34</v>
      </c>
    </row>
    <row customHeight="1" ht="24">
      <c r="F23" s="1628" t="s">
        <v>1041</v>
      </c>
      <c r="G23" s="1635" t="s">
        <v>1042</v>
      </c>
      <c r="H23" s="1634">
        <f>SUM(I23:J23)</f>
        <v>0</v>
      </c>
      <c r="I23" s="1633"/>
      <c r="J23" s="1623"/>
      <c r="K23" s="1632"/>
      <c r="W23" s="1553">
        <v>23</v>
      </c>
    </row>
    <row customHeight="1" ht="24">
      <c r="F24" s="1628" t="s">
        <v>1043</v>
      </c>
      <c r="G24" s="1635" t="s">
        <v>1044</v>
      </c>
      <c r="H24" s="1634">
        <f>SUM(I24:J24)</f>
        <v>0</v>
      </c>
      <c r="I24" s="1633"/>
      <c r="J24" s="1623"/>
      <c r="K24" s="1632"/>
      <c r="W24" s="1553">
        <v>23</v>
      </c>
    </row>
    <row customHeight="1" ht="35.699999999999996">
      <c r="F25" s="1628" t="s">
        <v>1045</v>
      </c>
      <c r="G25" s="1635" t="s">
        <v>1046</v>
      </c>
      <c r="H25" s="1634">
        <f>SUM(I25:J25)</f>
        <v>0</v>
      </c>
      <c r="I25" s="1633"/>
      <c r="J25" s="1623"/>
      <c r="K25" s="1632"/>
      <c r="W25" s="1553">
        <v>34</v>
      </c>
    </row>
    <row customHeight="1" ht="35.699999999999996">
      <c r="F26" s="1628" t="s">
        <v>1047</v>
      </c>
      <c r="G26" s="1635" t="s">
        <v>1048</v>
      </c>
      <c r="H26" s="1634">
        <f>SUM(I26:J26)</f>
        <v>0</v>
      </c>
      <c r="I26" s="1633"/>
      <c r="J26" s="1623"/>
      <c r="K26" s="1632"/>
      <c r="W26" s="1553">
        <v>34</v>
      </c>
    </row>
    <row customHeight="1" ht="11.549999999999999">
      <c r="F27" s="1628" t="s">
        <v>1049</v>
      </c>
      <c r="G27" s="1635" t="s">
        <v>1050</v>
      </c>
      <c r="H27" s="1634">
        <f>SUM(I27:J27)</f>
        <v>0</v>
      </c>
      <c r="I27" s="1633"/>
      <c r="J27" s="1623"/>
      <c r="K27" s="1632"/>
      <c r="W27" s="1553">
        <v>11</v>
      </c>
    </row>
    <row customHeight="1" ht="11.549999999999999">
      <c r="F28" s="1628">
        <v>2</v>
      </c>
      <c r="G28" s="1088" t="s">
        <v>1051</v>
      </c>
      <c r="H28" s="1634">
        <f>SUM(I28:J28)</f>
        <v>0</v>
      </c>
      <c r="I28" s="1634">
        <f>SUM(I29:I31)</f>
        <v>0</v>
      </c>
      <c r="J28" s="1623"/>
      <c r="K28" s="1632"/>
      <c r="W28" s="1553">
        <v>11</v>
      </c>
    </row>
    <row customHeight="1" ht="11.549999999999999">
      <c r="F29" s="1628" t="s">
        <v>714</v>
      </c>
      <c r="G29" s="1635" t="s">
        <v>1052</v>
      </c>
      <c r="H29" s="1634">
        <f>SUM(I29:J29)</f>
        <v>0</v>
      </c>
      <c r="I29" s="1633"/>
      <c r="J29" s="1623"/>
      <c r="K29" s="1632"/>
      <c r="W29" s="1553">
        <v>11</v>
      </c>
    </row>
    <row customHeight="1" ht="11.549999999999999">
      <c r="F30" s="1628" t="s">
        <v>312</v>
      </c>
      <c r="G30" s="1635" t="s">
        <v>1053</v>
      </c>
      <c r="H30" s="1634">
        <f>SUM(I30:J30)</f>
        <v>0</v>
      </c>
      <c r="I30" s="1633"/>
      <c r="J30" s="1623"/>
      <c r="K30" s="1632"/>
      <c r="W30" s="1553">
        <v>11</v>
      </c>
    </row>
    <row customHeight="1" ht="11.549999999999999">
      <c r="F31" s="1628" t="s">
        <v>315</v>
      </c>
      <c r="G31" s="1635" t="s">
        <v>1054</v>
      </c>
      <c r="H31" s="1634">
        <f>SUM(I31:J31)</f>
        <v>0</v>
      </c>
      <c r="I31" s="1633"/>
      <c r="J31" s="1623"/>
      <c r="K31" s="1632"/>
      <c r="W31" s="1553">
        <v>11</v>
      </c>
    </row>
    <row customHeight="1" ht="11.549999999999999">
      <c r="F32" s="1628">
        <v>3</v>
      </c>
      <c r="G32" s="1088" t="s">
        <v>1055</v>
      </c>
      <c r="H32" s="1634">
        <f>SUM(I32:J32)</f>
        <v>0</v>
      </c>
      <c r="I32" s="1634">
        <f>SUM(I33:I34)</f>
        <v>0</v>
      </c>
      <c r="J32" s="1623"/>
      <c r="K32" s="1632"/>
      <c r="W32" s="1553">
        <v>11</v>
      </c>
    </row>
    <row customHeight="1" ht="48.29999999999999">
      <c r="F33" s="1628" t="s">
        <v>329</v>
      </c>
      <c r="G33" s="1635" t="s">
        <v>1056</v>
      </c>
      <c r="H33" s="1634">
        <f>SUM(I33:J33)</f>
        <v>0</v>
      </c>
      <c r="I33" s="1633"/>
      <c r="J33" s="1623"/>
      <c r="K33" s="1632"/>
      <c r="W33" s="1553">
        <v>46</v>
      </c>
    </row>
    <row customHeight="1" ht="11.549999999999999">
      <c r="F34" s="1628" t="s">
        <v>337</v>
      </c>
      <c r="G34" s="1635" t="s">
        <v>1057</v>
      </c>
      <c r="H34" s="1634">
        <f>SUM(I34:J34)</f>
        <v>0</v>
      </c>
      <c r="I34" s="1633"/>
      <c r="J34" s="1623"/>
      <c r="K34" s="1632"/>
      <c r="W34" s="1553">
        <v>11</v>
      </c>
    </row>
    <row customHeight="1" ht="11.549999999999999">
      <c r="F35" s="1628">
        <v>4</v>
      </c>
      <c r="G35" s="1088" t="s">
        <v>1058</v>
      </c>
      <c r="H35" s="1634">
        <f>SUM(I35:J35)</f>
        <v>0</v>
      </c>
      <c r="I35" s="1633"/>
      <c r="J35" s="1623"/>
      <c r="K35" s="1632"/>
      <c r="W35" s="1553">
        <v>11</v>
      </c>
    </row>
    <row customHeight="1" ht="11.549999999999999">
      <c r="F36" s="1628"/>
      <c r="G36" s="1091" t="s">
        <v>1059</v>
      </c>
      <c r="H36" s="1634">
        <f>SUM(I36:J36)</f>
        <v>0</v>
      </c>
      <c r="I36" s="1634">
        <f>SUM(I15,I28,I32,I35)</f>
        <v>0</v>
      </c>
      <c r="J36" s="1623"/>
      <c r="K36" s="1632"/>
      <c r="W36" s="1553">
        <v>11</v>
      </c>
    </row>
    <row customHeight="1" ht="29.25">
      <c r="F37" s="1629" t="s">
        <v>1060</v>
      </c>
      <c r="G37" s="2820" t="s">
        <v>1061</v>
      </c>
      <c r="H37" s="2820"/>
      <c r="I37" s="2820"/>
      <c r="J37" s="2820"/>
      <c r="K37" s="1632"/>
      <c r="W37" s="1553">
        <v>28</v>
      </c>
    </row>
    <row customHeight="1" ht="24">
      <c r="F38" s="1628" t="s">
        <v>110</v>
      </c>
      <c r="G38" s="1088" t="s">
        <v>1062</v>
      </c>
      <c r="H38" s="1634">
        <f>SUM(I38:J38)</f>
        <v>0</v>
      </c>
      <c r="I38" s="1634">
        <f>SUM(I39,I44,I47)</f>
        <v>0</v>
      </c>
      <c r="J38" s="1623"/>
      <c r="K38" s="1632"/>
      <c r="W38" s="1553">
        <v>23</v>
      </c>
    </row>
    <row customHeight="1" ht="11.549999999999999">
      <c r="F39" s="1628" t="s">
        <v>1027</v>
      </c>
      <c r="G39" s="1635" t="s">
        <v>1026</v>
      </c>
      <c r="H39" s="1634">
        <f>SUM(I39:J39)</f>
        <v>0</v>
      </c>
      <c r="I39" s="1634">
        <f>SUM(I40:I43)</f>
        <v>0</v>
      </c>
      <c r="J39" s="1623"/>
      <c r="K39" s="1632"/>
      <c r="W39" s="1553">
        <v>11</v>
      </c>
    </row>
    <row customHeight="1" ht="24">
      <c r="F40" s="1628" t="s">
        <v>1063</v>
      </c>
      <c r="G40" s="1636" t="s">
        <v>1064</v>
      </c>
      <c r="H40" s="1634">
        <f>SUM(I40:J40)</f>
        <v>0</v>
      </c>
      <c r="I40" s="1633"/>
      <c r="J40" s="1623"/>
      <c r="K40" s="1632"/>
      <c r="W40" s="1553">
        <v>23</v>
      </c>
    </row>
    <row customHeight="1" ht="11.549999999999999">
      <c r="F41" s="1628" t="s">
        <v>1065</v>
      </c>
      <c r="G41" s="1636" t="s">
        <v>1066</v>
      </c>
      <c r="H41" s="1634">
        <f>SUM(I41:J41)</f>
        <v>0</v>
      </c>
      <c r="I41" s="1633"/>
      <c r="J41" s="1623"/>
      <c r="K41" s="1632"/>
      <c r="W41" s="1553">
        <v>11</v>
      </c>
    </row>
    <row customHeight="1" ht="11.549999999999999">
      <c r="F42" s="1628" t="s">
        <v>1067</v>
      </c>
      <c r="G42" s="1636" t="s">
        <v>1068</v>
      </c>
      <c r="H42" s="1634">
        <f>SUM(I42:J42)</f>
        <v>0</v>
      </c>
      <c r="I42" s="1633"/>
      <c r="J42" s="1623"/>
      <c r="K42" s="1632"/>
      <c r="W42" s="1553">
        <v>11</v>
      </c>
    </row>
    <row customHeight="1" ht="35.699999999999996">
      <c r="F43" s="1628" t="s">
        <v>1069</v>
      </c>
      <c r="G43" s="1636" t="s">
        <v>1070</v>
      </c>
      <c r="H43" s="1634">
        <f>SUM(I43:J43)</f>
        <v>0</v>
      </c>
      <c r="I43" s="1633"/>
      <c r="J43" s="1623"/>
      <c r="K43" s="1632"/>
      <c r="W43" s="1553">
        <v>34</v>
      </c>
    </row>
    <row customHeight="1" ht="11.549999999999999">
      <c r="F44" s="1628" t="s">
        <v>1029</v>
      </c>
      <c r="G44" s="1635" t="s">
        <v>1055</v>
      </c>
      <c r="H44" s="1634">
        <f>SUM(I44:J44)</f>
        <v>0</v>
      </c>
      <c r="I44" s="1634">
        <f>SUM(I45:I46)</f>
        <v>0</v>
      </c>
      <c r="J44" s="1623"/>
      <c r="K44" s="1632"/>
      <c r="W44" s="1553">
        <v>11</v>
      </c>
    </row>
    <row customHeight="1" ht="48.29999999999999">
      <c r="F45" s="1628" t="s">
        <v>1071</v>
      </c>
      <c r="G45" s="1636" t="s">
        <v>1056</v>
      </c>
      <c r="H45" s="1634">
        <f>SUM(I45:J45)</f>
        <v>0</v>
      </c>
      <c r="I45" s="1633"/>
      <c r="J45" s="1623"/>
      <c r="K45" s="1632"/>
      <c r="W45" s="1553">
        <v>46</v>
      </c>
    </row>
    <row customHeight="1" ht="11.549999999999999">
      <c r="F46" s="1628" t="s">
        <v>1072</v>
      </c>
      <c r="G46" s="1636" t="s">
        <v>1057</v>
      </c>
      <c r="H46" s="1634">
        <f>SUM(I46:J46)</f>
        <v>0</v>
      </c>
      <c r="I46" s="1633"/>
      <c r="J46" s="1623"/>
      <c r="K46" s="1632"/>
      <c r="W46" s="1553">
        <v>11</v>
      </c>
    </row>
    <row customHeight="1" ht="11.549999999999999">
      <c r="F47" s="1628" t="s">
        <v>1031</v>
      </c>
      <c r="G47" s="1635" t="s">
        <v>1073</v>
      </c>
      <c r="H47" s="1634">
        <f>SUM(I47:J47)</f>
        <v>0</v>
      </c>
      <c r="I47" s="1633"/>
      <c r="J47" s="1623"/>
      <c r="K47" s="1632"/>
      <c r="W47" s="1553">
        <v>11</v>
      </c>
    </row>
    <row customHeight="1" ht="24">
      <c r="F48" s="1628" t="s">
        <v>111</v>
      </c>
      <c r="G48" s="1088" t="s">
        <v>1074</v>
      </c>
      <c r="H48" s="1634">
        <f>SUM(I48:J48)</f>
        <v>0</v>
      </c>
      <c r="I48" s="1634">
        <f>SUM(I49,I54,I57)</f>
        <v>0</v>
      </c>
      <c r="J48" s="1623"/>
      <c r="K48" s="1632"/>
      <c r="W48" s="1553">
        <v>23</v>
      </c>
    </row>
    <row customHeight="1" ht="11.549999999999999">
      <c r="F49" s="1628" t="s">
        <v>714</v>
      </c>
      <c r="G49" s="1635" t="s">
        <v>1026</v>
      </c>
      <c r="H49" s="1634">
        <f>SUM(I49:J49)</f>
        <v>0</v>
      </c>
      <c r="I49" s="1634">
        <f>SUM(I50:I53)</f>
        <v>0</v>
      </c>
      <c r="J49" s="1623"/>
      <c r="K49" s="1632"/>
      <c r="W49" s="1553">
        <v>11</v>
      </c>
    </row>
    <row customHeight="1" ht="24">
      <c r="F50" s="1628" t="s">
        <v>717</v>
      </c>
      <c r="G50" s="1636" t="s">
        <v>1064</v>
      </c>
      <c r="H50" s="1634">
        <f>SUM(I50:J50)</f>
        <v>0</v>
      </c>
      <c r="I50" s="1633"/>
      <c r="J50" s="1623"/>
      <c r="K50" s="1632"/>
      <c r="W50" s="1553">
        <v>23</v>
      </c>
    </row>
    <row customHeight="1" ht="11.549999999999999">
      <c r="F51" s="1628" t="s">
        <v>720</v>
      </c>
      <c r="G51" s="1636" t="s">
        <v>1066</v>
      </c>
      <c r="H51" s="1634">
        <f>SUM(I51:J51)</f>
        <v>0</v>
      </c>
      <c r="I51" s="1633"/>
      <c r="J51" s="1623"/>
      <c r="K51" s="1632"/>
      <c r="W51" s="1553">
        <v>11</v>
      </c>
    </row>
    <row customHeight="1" ht="11.549999999999999">
      <c r="F52" s="1628" t="s">
        <v>1075</v>
      </c>
      <c r="G52" s="1636" t="s">
        <v>1068</v>
      </c>
      <c r="H52" s="1634">
        <f>SUM(I52:J52)</f>
        <v>0</v>
      </c>
      <c r="I52" s="1633"/>
      <c r="J52" s="1623"/>
      <c r="K52" s="1632"/>
      <c r="W52" s="1553">
        <v>11</v>
      </c>
    </row>
    <row customHeight="1" ht="35.699999999999996">
      <c r="F53" s="1628" t="s">
        <v>1076</v>
      </c>
      <c r="G53" s="1636" t="s">
        <v>1070</v>
      </c>
      <c r="H53" s="1634">
        <f>SUM(I53:J53)</f>
        <v>0</v>
      </c>
      <c r="I53" s="1633"/>
      <c r="J53" s="1623"/>
      <c r="K53" s="1632"/>
      <c r="W53" s="1553">
        <v>34</v>
      </c>
    </row>
    <row customHeight="1" ht="11.549999999999999">
      <c r="F54" s="1628" t="s">
        <v>312</v>
      </c>
      <c r="G54" s="1635" t="s">
        <v>1055</v>
      </c>
      <c r="H54" s="1634">
        <f>SUM(I54:J54)</f>
        <v>0</v>
      </c>
      <c r="I54" s="1634">
        <f>SUM(I55:I56)</f>
        <v>0</v>
      </c>
      <c r="J54" s="1623"/>
      <c r="K54" s="1632"/>
      <c r="W54" s="1553">
        <v>11</v>
      </c>
    </row>
    <row customHeight="1" ht="48.29999999999999">
      <c r="F55" s="1628" t="s">
        <v>724</v>
      </c>
      <c r="G55" s="1636" t="s">
        <v>1056</v>
      </c>
      <c r="H55" s="1634">
        <f>SUM(I55:J55)</f>
        <v>0</v>
      </c>
      <c r="I55" s="1633"/>
      <c r="J55" s="1623"/>
      <c r="K55" s="1632"/>
      <c r="W55" s="1553">
        <v>46</v>
      </c>
    </row>
    <row customHeight="1" ht="11.549999999999999">
      <c r="F56" s="1628" t="s">
        <v>726</v>
      </c>
      <c r="G56" s="1636" t="s">
        <v>1057</v>
      </c>
      <c r="H56" s="1634">
        <f>SUM(I56:J56)</f>
        <v>0</v>
      </c>
      <c r="I56" s="1633"/>
      <c r="J56" s="1623"/>
      <c r="K56" s="1632"/>
      <c r="W56" s="1553">
        <v>11</v>
      </c>
    </row>
    <row customHeight="1" ht="11.549999999999999">
      <c r="F57" s="1628" t="s">
        <v>315</v>
      </c>
      <c r="G57" s="1635" t="s">
        <v>1073</v>
      </c>
      <c r="H57" s="1634">
        <f>SUM(I57:J57)</f>
        <v>0</v>
      </c>
      <c r="I57" s="1633"/>
      <c r="J57" s="1623"/>
      <c r="K57" s="1632"/>
      <c r="W57" s="1553">
        <v>11</v>
      </c>
    </row>
    <row customHeight="1" ht="11.549999999999999">
      <c r="F58" s="1628"/>
      <c r="G58" s="1637" t="s">
        <v>1059</v>
      </c>
      <c r="H58" s="1634">
        <f>SUM(I58:J58)</f>
        <v>0</v>
      </c>
      <c r="I58" s="1634">
        <f>SUM(I38,I48)</f>
        <v>0</v>
      </c>
      <c r="J58" s="1623"/>
      <c r="K58" s="1632"/>
      <c r="W58" s="1553">
        <v>11</v>
      </c>
    </row>
    <row customHeight="1" ht="10.5" hidden="1">
      <c r="A59" s="1564" t="s">
        <v>83</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41F57-371F-BB7F-89EC-97AD374D4C1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7047" width="4.7109375" hidden="1" customWidth="1"/>
    <col min="2" max="2" style="27053" width="4.7109375" hidden="1" customWidth="1"/>
    <col min="3" max="4" style="27047" width="4.7109375" hidden="1" customWidth="1"/>
    <col min="5" max="5" style="27047" width="3.00390625" customWidth="1"/>
    <col min="6" max="6" style="27047" width="6.00390625" customWidth="1"/>
    <col min="7" max="7" style="27047" width="18.00390625" customWidth="1"/>
    <col min="8" max="8" style="27047" width="27.00390625" customWidth="1"/>
    <col min="9" max="9" style="27047" width="18.00390625" customWidth="1"/>
    <col min="10" max="14" style="27047" width="0.8515625" hidden="1" customWidth="1"/>
    <col min="15" max="28" style="27047" width="21.7109375" customWidth="1"/>
    <col min="29" max="71" style="27047" width="0.8515625" customWidth="1"/>
    <col min="72" max="79" style="27047" width="21.7109375" hidden="1" customWidth="1"/>
    <col min="80" max="81" style="27047" width="29.140625" hidden="1" customWidth="1"/>
    <col min="82" max="89" style="27047" width="21.7109375" hidden="1" customWidth="1"/>
    <col min="90" max="102" style="27047" width="0.7109375" hidden="1" customWidth="1"/>
    <col min="103" max="114" style="27047" width="21.7109375" hidden="1" customWidth="1"/>
    <col min="115" max="178" style="27047" width="0.7109375" hidden="1" customWidth="1"/>
    <col min="179" max="179" style="27047" width="0.140625" customWidth="1"/>
    <col min="180" max="184" style="27047" width="8.00390625" customWidth="1"/>
    <col min="185" max="185" style="27047" width="9.140625" hidden="1"/>
  </cols>
  <sheetData>
    <row s="26977" customFormat="1" customHeight="1" ht="12" hidden="1">
      <c r="B1" s="1321"/>
      <c r="C1" s="1322"/>
      <c r="D1" s="1322"/>
      <c r="GC1" s="1320" t="s">
        <v>14</v>
      </c>
    </row>
    <row s="26977"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6977"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6987"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6992" customFormat="1" customHeight="1" ht="18.75">
      <c r="B6" s="1341"/>
      <c r="E6" s="1343"/>
      <c r="F6" s="2612" t="str">
        <f>IF(org=0,"Не определено",org)</f>
        <v>ООО "Новая Энергетика"</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6996"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6996" customFormat="1" customHeight="1" ht="11.25" hidden="1">
      <c r="B8" s="1332"/>
      <c r="F8" s="1454"/>
      <c r="G8" s="1161"/>
      <c r="H8" s="758"/>
      <c r="I8" s="758"/>
      <c r="J8" s="758"/>
      <c r="K8" s="758"/>
      <c r="L8" s="758"/>
      <c r="M8" s="1454"/>
      <c r="N8" s="1454"/>
      <c r="O8" s="2848" t="s">
        <v>1077</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1078</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6996"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6996" customFormat="1" customHeight="1" ht="11.549999999999999">
      <c r="B10" s="1332"/>
      <c r="F10" s="2827" t="s">
        <v>305</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89</v>
      </c>
      <c r="G11" s="2603" t="s">
        <v>1079</v>
      </c>
      <c r="H11" s="2835" t="s">
        <v>1080</v>
      </c>
      <c r="I11" s="2835" t="s">
        <v>1081</v>
      </c>
      <c r="J11" s="2836"/>
      <c r="K11" s="2836"/>
      <c r="L11" s="2836"/>
      <c r="M11" s="2836"/>
      <c r="N11" s="2836"/>
      <c r="O11" s="2607" t="s">
        <v>1082</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1082</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1082</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1083</v>
      </c>
      <c r="P12" s="2607"/>
      <c r="Q12" s="2607"/>
      <c r="R12" s="2607"/>
      <c r="S12" s="2607" t="s">
        <v>1084</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1085</v>
      </c>
      <c r="BU12" s="2785"/>
      <c r="BV12" s="2785"/>
      <c r="BW12" s="2831"/>
      <c r="BX12" s="2784" t="s">
        <v>1086</v>
      </c>
      <c r="BY12" s="2785"/>
      <c r="BZ12" s="2785"/>
      <c r="CA12" s="2831"/>
      <c r="CB12" s="2784" t="s">
        <v>1087</v>
      </c>
      <c r="CC12" s="2831"/>
      <c r="CD12" s="2784" t="s">
        <v>1088</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1089</v>
      </c>
      <c r="CZ12" s="2785"/>
      <c r="DA12" s="2785"/>
      <c r="DB12" s="2785"/>
      <c r="DC12" s="2785"/>
      <c r="DD12" s="2831"/>
      <c r="DE12" s="2784" t="s">
        <v>1090</v>
      </c>
      <c r="DF12" s="2831"/>
      <c r="DG12" s="2784" t="s">
        <v>1088</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1091</v>
      </c>
      <c r="P13" s="2607"/>
      <c r="Q13" s="2607"/>
      <c r="R13" s="2607"/>
      <c r="S13" s="2734" t="s">
        <v>1092</v>
      </c>
      <c r="T13" s="2786"/>
      <c r="U13" s="2525" t="s">
        <v>1093</v>
      </c>
      <c r="V13" s="2525"/>
      <c r="W13" s="2525"/>
      <c r="X13" s="2525"/>
      <c r="Y13" s="2525" t="s">
        <v>1094</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1095</v>
      </c>
      <c r="BU13" s="2786"/>
      <c r="BV13" s="2734" t="s">
        <v>1096</v>
      </c>
      <c r="BW13" s="2786"/>
      <c r="BX13" s="2734" t="s">
        <v>1097</v>
      </c>
      <c r="BY13" s="2786"/>
      <c r="BZ13" s="2734" t="s">
        <v>1098</v>
      </c>
      <c r="CA13" s="2786"/>
      <c r="CB13" s="2734" t="s">
        <v>1099</v>
      </c>
      <c r="CC13" s="2786"/>
      <c r="CD13" s="2734" t="s">
        <v>1100</v>
      </c>
      <c r="CE13" s="2786"/>
      <c r="CF13" s="2734" t="s">
        <v>1101</v>
      </c>
      <c r="CG13" s="2786"/>
      <c r="CH13" s="2784" t="s">
        <v>1102</v>
      </c>
      <c r="CI13" s="2785"/>
      <c r="CJ13" s="2785"/>
      <c r="CK13" s="2831"/>
      <c r="CL13" s="2834"/>
      <c r="CM13" s="2832"/>
      <c r="CN13" s="2832"/>
      <c r="CO13" s="2832"/>
      <c r="CP13" s="2832"/>
      <c r="CQ13" s="2832"/>
      <c r="CR13" s="2832"/>
      <c r="CS13" s="2832"/>
      <c r="CT13" s="2832"/>
      <c r="CU13" s="2832"/>
      <c r="CV13" s="2832"/>
      <c r="CW13" s="2832"/>
      <c r="CX13" s="2851"/>
      <c r="CY13" s="2734" t="s">
        <v>1103</v>
      </c>
      <c r="CZ13" s="2786"/>
      <c r="DA13" s="2734" t="s">
        <v>1104</v>
      </c>
      <c r="DB13" s="2786"/>
      <c r="DC13" s="2734" t="s">
        <v>1105</v>
      </c>
      <c r="DD13" s="2786"/>
      <c r="DE13" s="2734" t="s">
        <v>1106</v>
      </c>
      <c r="DF13" s="2786"/>
      <c r="DG13" s="2784" t="s">
        <v>1107</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1108</v>
      </c>
      <c r="P14" s="2786"/>
      <c r="Q14" s="2734" t="s">
        <v>1109</v>
      </c>
      <c r="R14" s="2786"/>
      <c r="S14" s="2735"/>
      <c r="T14" s="2611"/>
      <c r="U14" s="2734" t="s">
        <v>841</v>
      </c>
      <c r="V14" s="2786"/>
      <c r="W14" s="2734" t="s">
        <v>844</v>
      </c>
      <c r="X14" s="2786"/>
      <c r="Y14" s="2734" t="s">
        <v>841</v>
      </c>
      <c r="Z14" s="2786"/>
      <c r="AA14" s="2734" t="s">
        <v>851</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1110</v>
      </c>
      <c r="CI14" s="2786"/>
      <c r="CJ14" s="2734" t="s">
        <v>1111</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1112</v>
      </c>
      <c r="DH14" s="2786"/>
      <c r="DI14" s="2734" t="s">
        <v>1113</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831</v>
      </c>
      <c r="P16" s="2831"/>
      <c r="Q16" s="2784" t="s">
        <v>833</v>
      </c>
      <c r="R16" s="2831"/>
      <c r="S16" s="2784" t="s">
        <v>837</v>
      </c>
      <c r="T16" s="2831"/>
      <c r="U16" s="2784" t="s">
        <v>842</v>
      </c>
      <c r="V16" s="2831"/>
      <c r="W16" s="2784" t="s">
        <v>845</v>
      </c>
      <c r="X16" s="2831"/>
      <c r="Y16" s="2784" t="s">
        <v>849</v>
      </c>
      <c r="Z16" s="2831"/>
      <c r="AA16" s="2784" t="s">
        <v>852</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564</v>
      </c>
      <c r="BU16" s="2831"/>
      <c r="BV16" s="2784" t="s">
        <v>564</v>
      </c>
      <c r="BW16" s="2831"/>
      <c r="BX16" s="2784" t="s">
        <v>564</v>
      </c>
      <c r="BY16" s="2831"/>
      <c r="BZ16" s="2784" t="s">
        <v>564</v>
      </c>
      <c r="CA16" s="2831"/>
      <c r="CB16" s="2784" t="s">
        <v>1114</v>
      </c>
      <c r="CC16" s="2831"/>
      <c r="CD16" s="2784" t="s">
        <v>564</v>
      </c>
      <c r="CE16" s="2831"/>
      <c r="CF16" s="2784" t="s">
        <v>1115</v>
      </c>
      <c r="CG16" s="2831"/>
      <c r="CH16" s="2784" t="s">
        <v>1116</v>
      </c>
      <c r="CI16" s="2831"/>
      <c r="CJ16" s="2784" t="s">
        <v>1116</v>
      </c>
      <c r="CK16" s="2831"/>
      <c r="CL16" s="2834"/>
      <c r="CM16" s="2832"/>
      <c r="CN16" s="2832"/>
      <c r="CO16" s="2832"/>
      <c r="CP16" s="2832"/>
      <c r="CQ16" s="2832"/>
      <c r="CR16" s="2832"/>
      <c r="CS16" s="2832"/>
      <c r="CT16" s="2832"/>
      <c r="CU16" s="2832"/>
      <c r="CV16" s="2832"/>
      <c r="CW16" s="2832"/>
      <c r="CX16" s="2851"/>
      <c r="CY16" s="2734" t="s">
        <v>564</v>
      </c>
      <c r="CZ16" s="2786"/>
      <c r="DA16" s="2734" t="s">
        <v>564</v>
      </c>
      <c r="DB16" s="2786"/>
      <c r="DC16" s="2734" t="s">
        <v>564</v>
      </c>
      <c r="DD16" s="2786"/>
      <c r="DE16" s="2784" t="s">
        <v>1114</v>
      </c>
      <c r="DF16" s="2831"/>
      <c r="DG16" s="2784" t="s">
        <v>1117</v>
      </c>
      <c r="DH16" s="2831"/>
      <c r="DI16" s="2784" t="s">
        <v>1117</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1118</v>
      </c>
      <c r="P17" s="1589" t="s">
        <v>1119</v>
      </c>
      <c r="Q17" s="1589" t="s">
        <v>1118</v>
      </c>
      <c r="R17" s="1589" t="s">
        <v>1119</v>
      </c>
      <c r="S17" s="1589" t="s">
        <v>1118</v>
      </c>
      <c r="T17" s="1589" t="s">
        <v>1119</v>
      </c>
      <c r="U17" s="1589" t="s">
        <v>1118</v>
      </c>
      <c r="V17" s="1589" t="s">
        <v>1119</v>
      </c>
      <c r="W17" s="1589" t="s">
        <v>1118</v>
      </c>
      <c r="X17" s="1589" t="s">
        <v>1119</v>
      </c>
      <c r="Y17" s="1589" t="s">
        <v>1118</v>
      </c>
      <c r="Z17" s="1589" t="s">
        <v>1119</v>
      </c>
      <c r="AA17" s="1589" t="s">
        <v>1118</v>
      </c>
      <c r="AB17" s="1589" t="s">
        <v>1119</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1118</v>
      </c>
      <c r="BU17" s="1589" t="s">
        <v>1119</v>
      </c>
      <c r="BV17" s="1589" t="s">
        <v>1118</v>
      </c>
      <c r="BW17" s="1589" t="s">
        <v>1119</v>
      </c>
      <c r="BX17" s="1589" t="s">
        <v>1118</v>
      </c>
      <c r="BY17" s="1589" t="s">
        <v>1119</v>
      </c>
      <c r="BZ17" s="1589" t="s">
        <v>1118</v>
      </c>
      <c r="CA17" s="1589" t="s">
        <v>1119</v>
      </c>
      <c r="CB17" s="1589" t="s">
        <v>1118</v>
      </c>
      <c r="CC17" s="1589" t="s">
        <v>1119</v>
      </c>
      <c r="CD17" s="1589" t="s">
        <v>1118</v>
      </c>
      <c r="CE17" s="1589" t="s">
        <v>1119</v>
      </c>
      <c r="CF17" s="1589" t="s">
        <v>1118</v>
      </c>
      <c r="CG17" s="1589" t="s">
        <v>1119</v>
      </c>
      <c r="CH17" s="1589" t="s">
        <v>1118</v>
      </c>
      <c r="CI17" s="1589" t="s">
        <v>1119</v>
      </c>
      <c r="CJ17" s="1589" t="s">
        <v>1118</v>
      </c>
      <c r="CK17" s="1589" t="s">
        <v>1119</v>
      </c>
      <c r="CL17" s="2834"/>
      <c r="CM17" s="2832"/>
      <c r="CN17" s="2832"/>
      <c r="CO17" s="2832"/>
      <c r="CP17" s="2832"/>
      <c r="CQ17" s="2832"/>
      <c r="CR17" s="2832"/>
      <c r="CS17" s="2832"/>
      <c r="CT17" s="2832"/>
      <c r="CU17" s="2832"/>
      <c r="CV17" s="2832"/>
      <c r="CW17" s="2832"/>
      <c r="CX17" s="2851"/>
      <c r="CY17" s="1589" t="s">
        <v>1118</v>
      </c>
      <c r="CZ17" s="1589" t="s">
        <v>1119</v>
      </c>
      <c r="DA17" s="1589" t="s">
        <v>1118</v>
      </c>
      <c r="DB17" s="1589" t="s">
        <v>1119</v>
      </c>
      <c r="DC17" s="1589" t="s">
        <v>1118</v>
      </c>
      <c r="DD17" s="1589" t="s">
        <v>1119</v>
      </c>
      <c r="DE17" s="1589" t="s">
        <v>1118</v>
      </c>
      <c r="DF17" s="1589" t="s">
        <v>1119</v>
      </c>
      <c r="DG17" s="1589" t="s">
        <v>1118</v>
      </c>
      <c r="DH17" s="1589" t="s">
        <v>1119</v>
      </c>
      <c r="DI17" s="1589" t="s">
        <v>1118</v>
      </c>
      <c r="DJ17" s="1589" t="s">
        <v>1119</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6977"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6977"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6977" customFormat="1" customHeight="1" ht="11.25" hidden="1">
      <c r="B20" s="1338"/>
      <c r="D20" s="1322"/>
      <c r="E20" s="1337"/>
      <c r="F20" s="1595" t="s">
        <v>381</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6977"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6977" customFormat="1" customHeight="1" ht="12.75">
      <c r="A22" s="1339"/>
      <c r="B22" s="1339"/>
      <c r="C22" s="1339"/>
      <c r="D22" s="1339"/>
      <c r="E22" s="1339"/>
      <c r="FX22" s="1339"/>
      <c r="FY22" s="1339"/>
      <c r="FZ22" s="1339"/>
      <c r="GA22" s="1339"/>
      <c r="GB22" s="1339"/>
      <c r="GC22" s="1320">
        <v>12</v>
      </c>
    </row>
    <row s="27047"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83</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2165F-5875-3DDE-467C-961C4D8D7FB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4318" width="9.140625" hidden="1" customWidth="1"/>
    <col min="2" max="2" style="24354" width="9.140625" hidden="1" customWidth="1"/>
    <col min="3" max="3" style="26871" width="4.00390625" customWidth="1"/>
    <col min="4" max="4" style="24354" width="6.00390625" customWidth="1"/>
    <col min="5" max="5" style="24354" width="36.00390625" customWidth="1"/>
    <col min="6" max="6" style="24354" width="9.00390625" customWidth="1"/>
    <col min="7" max="7" style="24354" width="42.421875" hidden="1" customWidth="1"/>
    <col min="8" max="8" style="24354" width="40.7109375" customWidth="1"/>
    <col min="9" max="9" style="24434" width="93.00390625" customWidth="1"/>
    <col min="10" max="17" style="24354" width="10.00390625" customWidth="1"/>
    <col min="18" max="18" style="26872" width="10.00390625" customWidth="1"/>
    <col min="19" max="19" style="24354" width="10.57421875" hidden="1"/>
  </cols>
  <sheetData>
    <row s="24434" customFormat="1" customHeight="1" ht="15" hidden="1">
      <c r="C1" s="1070"/>
      <c r="H1" s="815">
        <v>4</v>
      </c>
      <c r="R1" s="818"/>
      <c r="S1" s="815" t="s">
        <v>14</v>
      </c>
    </row>
    <row customHeight="1" ht="22.5" hidden="1">
      <c r="C2" s="2326" t="s">
        <v>430</v>
      </c>
      <c r="D2" s="937"/>
      <c r="E2" s="1061"/>
      <c r="F2" s="2159" t="str">
        <f>IF(TEMPLATE_SPHERE="HEAT","Гкал/час","тыс. куб. м/сутки")</f>
        <v>Гкал/час</v>
      </c>
      <c r="G2" s="1078"/>
      <c r="H2" s="1078"/>
      <c r="I2" s="687"/>
      <c r="S2" s="903">
        <v>0</v>
      </c>
    </row>
    <row s="24434"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ООО "Новая Энергетика"</v>
      </c>
      <c r="E6" s="2574"/>
      <c r="F6" s="2574"/>
      <c r="G6" s="2574"/>
      <c r="H6" s="2574"/>
      <c r="I6" s="935"/>
      <c r="S6" s="903">
        <v>15</v>
      </c>
    </row>
    <row s="24354" customFormat="1" customHeight="1" ht="15.75">
      <c r="A7" s="1157"/>
      <c r="C7" s="574"/>
      <c r="D7" s="1074"/>
      <c r="E7" s="1074"/>
      <c r="F7" s="1074"/>
      <c r="G7" s="1074"/>
      <c r="H7" s="1150"/>
      <c r="I7" s="935"/>
      <c r="R7" s="1073"/>
      <c r="S7" s="1156">
        <v>15</v>
      </c>
    </row>
    <row customHeight="1" ht="1.05">
      <c r="C8" s="574"/>
      <c r="D8" s="907"/>
      <c r="E8" s="907"/>
      <c r="F8" s="907"/>
      <c r="G8" s="907"/>
      <c r="H8" s="935" t="s">
        <v>118</v>
      </c>
      <c r="S8" s="903">
        <v>1</v>
      </c>
    </row>
    <row customHeight="1" ht="15.75">
      <c r="C9" s="574"/>
      <c r="D9" s="1109"/>
      <c r="E9" s="2765" t="s">
        <v>106</v>
      </c>
      <c r="F9" s="2766"/>
      <c r="G9" s="1214" t="str">
        <f>IF(G8="","",INDEX(DIFFERENTIATION_UNMERGE_VD,MATCH(G8,DIFFERENTIATION_ID_DIFF,0)))</f>
        <v/>
      </c>
      <c r="H9" s="1214">
        <f>IF(H8="","",INDEX(DIFFERENTIATION_UNMERGE_VD,MATCH(H8,DIFFERENTIATION_ID_DIFF,0)))</f>
        <v>0</v>
      </c>
      <c r="I9" s="2525" t="s">
        <v>306</v>
      </c>
      <c r="S9" s="903">
        <v>15</v>
      </c>
    </row>
    <row s="24354" customFormat="1" customHeight="1" ht="15.75">
      <c r="A10" s="1157"/>
      <c r="C10" s="574"/>
      <c r="D10" s="1109"/>
      <c r="E10" s="2765" t="s">
        <v>570</v>
      </c>
      <c r="F10" s="2766"/>
      <c r="G10" s="1214" t="str">
        <f>IF(G8="","",INDEX(DIFFERENTIATION_UNMERGE_AREA,MATCH(G8,DIFFERENTIATION_ID_DIFF,0)))</f>
        <v/>
      </c>
      <c r="H10" s="1214" t="str">
        <f>IF(H8="","",INDEX(DIFFERENTIATION_UNMERGE_AREA,MATCH(H8,DIFFERENTIATION_ID_DIFF,0)))</f>
        <v/>
      </c>
      <c r="I10" s="2525"/>
      <c r="R10" s="1073"/>
      <c r="S10" s="1156">
        <v>15</v>
      </c>
    </row>
    <row s="24354" customFormat="1" customHeight="1" ht="15.75">
      <c r="A11" s="1157"/>
      <c r="C11" s="574"/>
      <c r="D11" s="1109"/>
      <c r="E11" s="2765" t="s">
        <v>571</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24354" customFormat="1" customHeight="1" ht="15.75">
      <c r="A12" s="1157"/>
      <c r="C12" s="574"/>
      <c r="D12" s="2767" t="s">
        <v>305</v>
      </c>
      <c r="E12" s="2768"/>
      <c r="F12" s="2768"/>
      <c r="G12" s="1285"/>
      <c r="H12" s="1285"/>
      <c r="I12" s="2525"/>
      <c r="R12" s="1073"/>
      <c r="S12" s="1156">
        <v>15</v>
      </c>
    </row>
    <row customHeight="1" ht="35.699999999999996">
      <c r="C13" s="574"/>
      <c r="D13" s="1159" t="s">
        <v>89</v>
      </c>
      <c r="E13" s="1158" t="s">
        <v>307</v>
      </c>
      <c r="F13" s="1158" t="s">
        <v>572</v>
      </c>
      <c r="G13" s="1206" t="s">
        <v>308</v>
      </c>
      <c r="H13" s="1152" t="s">
        <v>308</v>
      </c>
      <c r="I13" s="2525"/>
      <c r="S13" s="903">
        <v>34</v>
      </c>
    </row>
    <row customHeight="1" ht="15" hidden="1">
      <c r="C14" s="574"/>
      <c r="D14" s="991" t="s">
        <v>110</v>
      </c>
      <c r="E14" s="991" t="s">
        <v>111</v>
      </c>
      <c r="F14" s="991" t="s">
        <v>91</v>
      </c>
      <c r="G14" s="1057" t="str">
        <f>G1&amp;".1"</f>
        <v>.1</v>
      </c>
      <c r="H14" s="1057" t="str">
        <f>H1&amp;".1"</f>
        <v>4.1</v>
      </c>
      <c r="I14" s="687"/>
      <c r="S14" s="903">
        <v>0</v>
      </c>
    </row>
    <row customHeight="1" ht="15.75">
      <c r="A15" s="903"/>
      <c r="C15" s="924"/>
      <c r="D15" s="919">
        <v>1</v>
      </c>
      <c r="E15" s="2328" t="str">
        <f>TP_P_A</f>
        <v>Количество поданных заявок</v>
      </c>
      <c r="F15" s="919" t="s">
        <v>1120</v>
      </c>
      <c r="G15" s="1083"/>
      <c r="H15" s="1083"/>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1120</v>
      </c>
      <c r="G16" s="1083"/>
      <c r="H16" s="1083"/>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1120</v>
      </c>
      <c r="G17" s="1083"/>
      <c r="H17" s="1083"/>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311</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1121</v>
      </c>
      <c r="E20" s="1086"/>
      <c r="F20" s="907"/>
      <c r="G20" s="907"/>
      <c r="H20" s="907"/>
      <c r="I20" s="2161"/>
      <c r="S20" s="903">
        <v>0</v>
      </c>
    </row>
    <row customHeight="1" ht="29.25">
      <c r="C21" s="849"/>
      <c r="D21" s="937" t="s">
        <v>318</v>
      </c>
      <c r="E21" s="1068"/>
      <c r="F21" s="2159" t="str">
        <f>IF(TEMPLATE_SPHERE="HEAT","Гкал/час","тыс. куб. м/сутки")</f>
        <v>Гкал/час</v>
      </c>
      <c r="G21" s="1078"/>
      <c r="H21" s="1078"/>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customHeight="1" ht="15.75">
      <c r="A22" s="903"/>
      <c r="C22" s="903"/>
      <c r="D22" s="745"/>
      <c r="E22" s="978" t="s">
        <v>1122</v>
      </c>
      <c r="F22" s="970"/>
      <c r="G22" s="970"/>
      <c r="H22" s="970"/>
      <c r="I22" s="2569"/>
      <c r="R22" s="903"/>
      <c r="S22" s="903">
        <v>15</v>
      </c>
    </row>
    <row customHeight="1" ht="22.5" hidden="1">
      <c r="A23" s="847" t="s">
        <v>83</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0AC37-1D47-1667-9A09-085A2C68ED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6193" width="9.140625" hidden="1" customWidth="1"/>
    <col min="2" max="2" style="24434" width="9.140625" hidden="1" customWidth="1"/>
    <col min="3" max="3" style="26194" width="3.00390625" customWidth="1"/>
    <col min="4" max="4" style="24354" width="6.00390625" customWidth="1"/>
    <col min="5" max="6" style="24354" width="64.00390625" customWidth="1"/>
    <col min="7" max="7" style="24354" width="140.00390625" customWidth="1"/>
    <col min="8" max="8" style="24354" width="10.00390625" customWidth="1"/>
    <col min="9" max="10" style="24524" width="10.00390625" customWidth="1"/>
    <col min="11" max="16" style="24354" width="10.00390625" customWidth="1"/>
    <col min="17" max="17" style="24354"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4354" customFormat="1" customHeight="1" ht="18.75">
      <c r="A6" s="1280"/>
      <c r="B6" s="815"/>
      <c r="C6" s="774"/>
      <c r="D6" s="2855" t="str">
        <f>IF(org=0,"Не определено",org)</f>
        <v>ООО "Новая Энергетика"</v>
      </c>
      <c r="E6" s="2856"/>
      <c r="F6" s="2856"/>
      <c r="G6" s="2857"/>
      <c r="I6" s="898"/>
      <c r="J6" s="898"/>
      <c r="Q6" s="1156">
        <v>18</v>
      </c>
    </row>
    <row customHeight="1" ht="14.699999999999998">
      <c r="C7" s="494"/>
      <c r="D7" s="482"/>
      <c r="E7" s="493"/>
      <c r="F7" s="1150"/>
      <c r="G7" s="591"/>
      <c r="Q7" s="481">
        <v>14</v>
      </c>
    </row>
    <row s="24354" customFormat="1" customHeight="1" ht="1.05">
      <c r="A8" s="2067"/>
      <c r="B8" s="1558"/>
      <c r="C8" s="774"/>
      <c r="D8" s="761"/>
      <c r="E8" s="787"/>
      <c r="F8" s="1150"/>
      <c r="G8" s="591"/>
      <c r="I8" s="2022"/>
      <c r="J8" s="2022"/>
      <c r="Q8" s="2029">
        <v>1</v>
      </c>
    </row>
    <row customHeight="1" ht="14.699999999999998">
      <c r="C9" s="494"/>
      <c r="D9" s="2607" t="s">
        <v>305</v>
      </c>
      <c r="E9" s="2607"/>
      <c r="F9" s="2607"/>
      <c r="G9" s="2787" t="s">
        <v>306</v>
      </c>
      <c r="Q9" s="481">
        <v>14</v>
      </c>
    </row>
    <row customHeight="1" ht="24">
      <c r="C10" s="494"/>
      <c r="D10" s="503" t="s">
        <v>89</v>
      </c>
      <c r="E10" s="506" t="s">
        <v>307</v>
      </c>
      <c r="F10" s="506" t="s">
        <v>395</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311</v>
      </c>
      <c r="G12" s="549"/>
      <c r="Q12" s="481">
        <v>62</v>
      </c>
    </row>
    <row customHeight="1" ht="24">
      <c r="A13" s="590"/>
      <c r="C13" s="494"/>
      <c r="D13" s="545" t="s">
        <v>1027</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311</v>
      </c>
      <c r="G13" s="549"/>
      <c r="Q13" s="481">
        <v>23</v>
      </c>
    </row>
    <row customHeight="1" ht="14.699999999999998">
      <c r="A14" s="590"/>
      <c r="C14" s="494"/>
      <c r="D14" s="545" t="s">
        <v>1063</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1123</v>
      </c>
      <c r="F15" s="599"/>
      <c r="G15" s="2569"/>
      <c r="Q15" s="481">
        <v>15</v>
      </c>
    </row>
    <row customHeight="1" ht="14.699999999999998">
      <c r="A16" s="590"/>
      <c r="C16" s="494"/>
      <c r="D16" s="545" t="s">
        <v>1029</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311</v>
      </c>
      <c r="G16" s="735"/>
      <c r="Q16" s="481">
        <v>14</v>
      </c>
    </row>
    <row customHeight="1" ht="14.699999999999998">
      <c r="A17" s="590"/>
      <c r="C17" s="494"/>
      <c r="D17" s="545" t="s">
        <v>1071</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4354" customFormat="1" customHeight="1" ht="22.049999999999997">
      <c r="A18" s="741"/>
      <c r="B18" s="544"/>
      <c r="C18" s="705"/>
      <c r="D18" s="745"/>
      <c r="E18" s="747" t="s">
        <v>1124</v>
      </c>
      <c r="F18" s="736"/>
      <c r="G18" s="2569"/>
      <c r="I18" s="748"/>
      <c r="J18" s="748"/>
      <c r="Q18" s="740">
        <v>21</v>
      </c>
    </row>
    <row s="24354" customFormat="1" customHeight="1" ht="256.5" hidden="1">
      <c r="A19" s="741"/>
      <c r="B19" s="815"/>
      <c r="C19" s="774"/>
      <c r="D19" s="1282" t="s">
        <v>1031</v>
      </c>
      <c r="E19" s="1281" t="s">
        <v>1125</v>
      </c>
      <c r="F19" s="783"/>
      <c r="G19" s="735" t="s">
        <v>1126</v>
      </c>
      <c r="I19" s="898"/>
      <c r="J19" s="898"/>
      <c r="Q19" s="1156">
        <v>0</v>
      </c>
    </row>
    <row s="24354" customFormat="1" customHeight="1" ht="14.699999999999998">
      <c r="A20" s="741"/>
      <c r="B20" s="544"/>
      <c r="C20" s="705"/>
      <c r="D20" s="1283">
        <v>2</v>
      </c>
      <c r="E20" s="728" t="s">
        <v>1127</v>
      </c>
      <c r="F20" s="596" t="s">
        <v>311</v>
      </c>
      <c r="G20" s="735"/>
      <c r="I20" s="748"/>
      <c r="J20" s="748"/>
      <c r="Q20" s="740">
        <v>14</v>
      </c>
    </row>
    <row s="24354" customFormat="1" customHeight="1" ht="18.75" hidden="1">
      <c r="A21" s="741"/>
      <c r="B21" s="544"/>
      <c r="C21" s="705"/>
      <c r="D21" s="731" t="s">
        <v>642</v>
      </c>
      <c r="E21" s="730"/>
      <c r="F21" s="729"/>
      <c r="G21" s="739"/>
      <c r="H21" s="732"/>
      <c r="I21" s="748"/>
      <c r="J21" s="748"/>
      <c r="Q21" s="740">
        <v>0</v>
      </c>
    </row>
    <row customHeight="1" ht="15.75">
      <c r="A22" s="590"/>
      <c r="C22" s="494"/>
      <c r="D22" s="507"/>
      <c r="E22" s="601" t="s">
        <v>327</v>
      </c>
      <c r="F22" s="736"/>
      <c r="G22" s="737"/>
      <c r="Q22" s="481">
        <v>15</v>
      </c>
    </row>
    <row s="24354" customFormat="1" customHeight="1" ht="22.5" hidden="1">
      <c r="A23" s="741"/>
      <c r="B23" s="1558"/>
      <c r="C23" s="774"/>
      <c r="D23" s="2071" t="s">
        <v>111</v>
      </c>
      <c r="E23" s="595" t="s">
        <v>1128</v>
      </c>
      <c r="F23" s="2068" t="s">
        <v>311</v>
      </c>
      <c r="G23" s="743"/>
      <c r="I23" s="2022"/>
      <c r="J23" s="2022"/>
      <c r="Q23" s="2029">
        <v>0</v>
      </c>
    </row>
    <row s="24354" customFormat="1" customHeight="1" ht="14.25" hidden="1">
      <c r="A24" s="741"/>
      <c r="B24" s="1558"/>
      <c r="C24" s="774"/>
      <c r="D24" s="2071" t="s">
        <v>714</v>
      </c>
      <c r="E24" s="2070" t="s">
        <v>1129</v>
      </c>
      <c r="F24" s="2068" t="s">
        <v>311</v>
      </c>
      <c r="G24" s="735"/>
      <c r="I24" s="2022"/>
      <c r="J24" s="2022"/>
      <c r="Q24" s="2029">
        <v>0</v>
      </c>
    </row>
    <row s="24354" customFormat="1" customHeight="1" ht="14.25" hidden="1">
      <c r="A25" s="741"/>
      <c r="B25" s="1558"/>
      <c r="C25" s="774"/>
      <c r="D25" s="2071" t="s">
        <v>717</v>
      </c>
      <c r="E25" s="593"/>
      <c r="F25" s="783"/>
      <c r="G25" s="2567" t="s">
        <v>1130</v>
      </c>
      <c r="I25" s="2022"/>
      <c r="J25" s="2022"/>
      <c r="Q25" s="2029">
        <v>0</v>
      </c>
    </row>
    <row s="24354" customFormat="1" customHeight="1" ht="22.5" hidden="1">
      <c r="A26" s="741"/>
      <c r="B26" s="1558"/>
      <c r="C26" s="774"/>
      <c r="D26" s="745"/>
      <c r="E26" s="747" t="s">
        <v>1131</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83</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C78C9-5A69-B405-117C-7806E75854C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6192" width="9.140625" hidden="1" customWidth="1"/>
    <col min="2" max="2" style="24434" width="9.140625" hidden="1" customWidth="1"/>
    <col min="3" max="3" style="26194" width="3.00390625" customWidth="1"/>
    <col min="4" max="4" style="24354" width="6.00390625" customWidth="1"/>
    <col min="5" max="5" style="24354" width="63.00390625" customWidth="1"/>
    <col min="6" max="6" style="24354" width="1.7109375" hidden="1" customWidth="1"/>
    <col min="7" max="8" style="24354" width="35.00390625" customWidth="1"/>
    <col min="9" max="9" style="24354" width="91.00390625" customWidth="1"/>
    <col min="10" max="10" style="24354" width="68.00390625" customWidth="1"/>
    <col min="11" max="12" style="24524" width="10.00390625" customWidth="1"/>
    <col min="13" max="13" style="24354" width="10.57421875" hidden="1"/>
  </cols>
  <sheetData>
    <row customHeight="1" ht="22.5" hidden="1">
      <c r="M1" s="481" t="s">
        <v>14</v>
      </c>
    </row>
    <row s="24354" customFormat="1" customHeight="1" ht="18.75" hidden="1">
      <c r="A2" s="2081"/>
      <c r="B2" s="1558"/>
      <c r="C2" s="2128" t="s">
        <v>430</v>
      </c>
      <c r="D2" s="2071"/>
      <c r="E2" s="597"/>
      <c r="F2" s="2068"/>
      <c r="G2" s="2068" t="s">
        <v>311</v>
      </c>
      <c r="H2" s="1559"/>
      <c r="K2" s="2022"/>
      <c r="L2" s="2022"/>
      <c r="M2" s="2029">
        <v>0</v>
      </c>
    </row>
    <row s="24354" customFormat="1" customHeight="1" ht="14.25" hidden="1">
      <c r="A3" s="1760"/>
      <c r="B3" s="1558"/>
      <c r="C3" s="742"/>
      <c r="K3" s="2022"/>
      <c r="L3" s="2022"/>
      <c r="M3" s="2029">
        <v>0</v>
      </c>
    </row>
    <row s="24354" customFormat="1" customHeight="1" ht="18.75" hidden="1">
      <c r="A4" s="2081"/>
      <c r="B4" s="1558"/>
      <c r="C4" s="2128" t="s">
        <v>430</v>
      </c>
      <c r="D4" s="2071"/>
      <c r="E4" s="603" t="s">
        <v>1132</v>
      </c>
      <c r="F4" s="2068"/>
      <c r="G4" s="655"/>
      <c r="H4" s="2068" t="s">
        <v>311</v>
      </c>
      <c r="K4" s="2022"/>
      <c r="L4" s="2022"/>
      <c r="M4" s="2029">
        <v>0</v>
      </c>
    </row>
    <row s="24354" customFormat="1" customHeight="1" ht="14.25" hidden="1">
      <c r="A5" s="1760"/>
      <c r="B5" s="1558"/>
      <c r="C5" s="742"/>
      <c r="K5" s="2022"/>
      <c r="L5" s="2022"/>
      <c r="M5" s="2029">
        <v>0</v>
      </c>
    </row>
    <row s="24354" customFormat="1" customHeight="1" ht="18.75" hidden="1">
      <c r="A6" s="2081"/>
      <c r="B6" s="1558"/>
      <c r="C6" s="2128" t="s">
        <v>430</v>
      </c>
      <c r="D6" s="2071"/>
      <c r="E6" s="604" t="s">
        <v>1133</v>
      </c>
      <c r="F6" s="2068"/>
      <c r="G6" s="655"/>
      <c r="H6" s="2068" t="s">
        <v>311</v>
      </c>
      <c r="K6" s="2022"/>
      <c r="L6" s="2022"/>
      <c r="M6" s="2029">
        <v>0</v>
      </c>
    </row>
    <row s="24354" customFormat="1" customHeight="1" ht="14.25" hidden="1">
      <c r="A7" s="1760"/>
      <c r="B7" s="1558"/>
      <c r="C7" s="742"/>
      <c r="K7" s="2022"/>
      <c r="L7" s="2022"/>
      <c r="M7" s="2029">
        <v>0</v>
      </c>
    </row>
    <row s="24354" customFormat="1" customHeight="1" ht="18.75" hidden="1">
      <c r="A8" s="2081"/>
      <c r="B8" s="1558"/>
      <c r="C8" s="2128" t="s">
        <v>430</v>
      </c>
      <c r="D8" s="2071"/>
      <c r="E8" s="604" t="s">
        <v>1134</v>
      </c>
      <c r="F8" s="2068"/>
      <c r="G8" s="655"/>
      <c r="H8" s="2068" t="s">
        <v>311</v>
      </c>
      <c r="K8" s="2022"/>
      <c r="L8" s="2022"/>
      <c r="M8" s="2029">
        <v>0</v>
      </c>
    </row>
    <row s="24354" customFormat="1" customHeight="1" ht="14.25" hidden="1">
      <c r="A9" s="1760"/>
      <c r="B9" s="1558"/>
      <c r="C9" s="742"/>
      <c r="K9" s="2022"/>
      <c r="L9" s="2022"/>
      <c r="M9" s="2029">
        <v>0</v>
      </c>
    </row>
    <row s="24354" customFormat="1" customHeight="1" ht="18.75" hidden="1">
      <c r="A10" s="2081"/>
      <c r="B10" s="1558"/>
      <c r="C10" s="2128" t="s">
        <v>430</v>
      </c>
      <c r="D10" s="2071"/>
      <c r="E10" s="604" t="s">
        <v>1135</v>
      </c>
      <c r="F10" s="2068"/>
      <c r="G10" s="2072"/>
      <c r="H10" s="2068" t="s">
        <v>311</v>
      </c>
      <c r="K10" s="2022"/>
      <c r="L10" s="2022" t="s">
        <v>1136</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4354" customFormat="1" customHeight="1" ht="14.699999999999998">
      <c r="A15" s="1760"/>
      <c r="B15" s="1558"/>
      <c r="C15" s="774"/>
      <c r="D15" s="2855" t="str">
        <f>IF(org=0,"Не определено",org)</f>
        <v>ООО "Новая Энергетика"</v>
      </c>
      <c r="E15" s="2856"/>
      <c r="F15" s="2856"/>
      <c r="G15" s="2856"/>
      <c r="H15" s="2857"/>
      <c r="J15" s="1250"/>
      <c r="K15" s="2022"/>
      <c r="L15" s="2022"/>
      <c r="M15" s="2029">
        <v>14</v>
      </c>
    </row>
    <row customHeight="1" ht="14.699999999999998">
      <c r="C16" s="494"/>
      <c r="D16" s="482"/>
      <c r="E16" s="493"/>
      <c r="F16" s="493"/>
      <c r="G16" s="493"/>
      <c r="H16" s="1150"/>
      <c r="I16" s="591"/>
      <c r="M16" s="481">
        <v>14</v>
      </c>
    </row>
    <row s="24354" customFormat="1" customHeight="1" ht="14.25" hidden="1">
      <c r="A17" s="1760"/>
      <c r="B17" s="1558"/>
      <c r="C17" s="774"/>
      <c r="D17" s="761"/>
      <c r="E17" s="787"/>
      <c r="F17" s="787"/>
      <c r="G17" s="787"/>
      <c r="H17" s="1150"/>
      <c r="I17" s="591"/>
      <c r="K17" s="2022"/>
      <c r="L17" s="2022"/>
      <c r="M17" s="2029">
        <v>0</v>
      </c>
    </row>
    <row customHeight="1" ht="22.049999999999997">
      <c r="C18" s="494"/>
      <c r="D18" s="2607" t="s">
        <v>305</v>
      </c>
      <c r="E18" s="2607"/>
      <c r="F18" s="2607"/>
      <c r="G18" s="2607"/>
      <c r="H18" s="2607"/>
      <c r="I18" s="2787" t="s">
        <v>306</v>
      </c>
      <c r="M18" s="481">
        <v>21</v>
      </c>
    </row>
    <row customHeight="1" ht="22.049999999999997">
      <c r="C19" s="494"/>
      <c r="D19" s="503" t="s">
        <v>89</v>
      </c>
      <c r="E19" s="506" t="s">
        <v>307</v>
      </c>
      <c r="F19" s="506"/>
      <c r="G19" s="506" t="s">
        <v>308</v>
      </c>
      <c r="H19" s="506" t="s">
        <v>395</v>
      </c>
      <c r="I19" s="2787"/>
      <c r="M19" s="481">
        <v>21</v>
      </c>
    </row>
    <row customHeight="1" ht="12" hidden="1">
      <c r="C20" s="494"/>
      <c r="D20" s="485"/>
      <c r="E20" s="485"/>
      <c r="F20" s="485"/>
      <c r="G20" s="485"/>
      <c r="H20" s="485"/>
      <c r="I20" s="485"/>
      <c r="M20" s="481">
        <v>0</v>
      </c>
    </row>
    <row customHeight="1" ht="14.699999999999998">
      <c r="A21" s="2081"/>
      <c r="C21" s="494"/>
      <c r="D21" s="545">
        <v>1</v>
      </c>
      <c r="E21" s="2859" t="s">
        <v>1137</v>
      </c>
      <c r="F21" s="2859"/>
      <c r="G21" s="2859"/>
      <c r="H21" s="2859"/>
      <c r="I21" s="606"/>
      <c r="M21" s="481">
        <v>14</v>
      </c>
    </row>
    <row customHeight="1" ht="21">
      <c r="A22" s="2081"/>
      <c r="C22" s="494"/>
      <c r="D22" s="545" t="s">
        <v>1027</v>
      </c>
      <c r="E22" s="592" t="s">
        <v>1138</v>
      </c>
      <c r="F22" s="596"/>
      <c r="G22" s="2135"/>
      <c r="H22" s="596" t="s">
        <v>311</v>
      </c>
      <c r="I22" s="549" t="s">
        <v>1139</v>
      </c>
      <c r="M22" s="481">
        <v>20</v>
      </c>
    </row>
    <row customHeight="1" ht="60">
      <c r="A23" s="2081"/>
      <c r="C23" s="494"/>
      <c r="D23" s="545" t="s">
        <v>1029</v>
      </c>
      <c r="E23" s="592" t="s">
        <v>1140</v>
      </c>
      <c r="F23" s="596"/>
      <c r="G23" s="655"/>
      <c r="H23" s="611"/>
      <c r="I23" s="656" t="s">
        <v>1141</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311</v>
      </c>
      <c r="H24" s="611"/>
      <c r="I24" s="657" t="s">
        <v>637</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329</v>
      </c>
      <c r="E26" s="597"/>
      <c r="F26" s="596"/>
      <c r="G26" s="596" t="s">
        <v>311</v>
      </c>
      <c r="H26" s="611"/>
      <c r="I26" s="2567" t="s">
        <v>1142</v>
      </c>
      <c r="M26" s="481">
        <v>14</v>
      </c>
    </row>
    <row customHeight="1" ht="15.75">
      <c r="A27" s="2081" t="s">
        <v>110</v>
      </c>
      <c r="C27" s="494"/>
      <c r="D27" s="507"/>
      <c r="E27" s="601" t="s">
        <v>327</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759</v>
      </c>
      <c r="E29" s="603" t="s">
        <v>1132</v>
      </c>
      <c r="F29" s="596"/>
      <c r="G29" s="655"/>
      <c r="H29" s="596" t="s">
        <v>311</v>
      </c>
      <c r="I29" s="2567" t="s">
        <v>1143</v>
      </c>
      <c r="M29" s="481">
        <v>20</v>
      </c>
    </row>
    <row customHeight="1" ht="15.75">
      <c r="A30" s="2081" t="s">
        <v>111</v>
      </c>
      <c r="C30" s="494"/>
      <c r="D30" s="507"/>
      <c r="E30" s="601" t="s">
        <v>327</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318</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1144</v>
      </c>
      <c r="E33" s="604" t="s">
        <v>1133</v>
      </c>
      <c r="F33" s="596"/>
      <c r="G33" s="655"/>
      <c r="H33" s="596" t="s">
        <v>311</v>
      </c>
      <c r="I33" s="2567" t="s">
        <v>1145</v>
      </c>
      <c r="M33" s="481">
        <v>14</v>
      </c>
    </row>
    <row customHeight="1" ht="15.75">
      <c r="A34" s="2081" t="s">
        <v>91</v>
      </c>
      <c r="C34" s="494"/>
      <c r="D34" s="507"/>
      <c r="E34" s="602" t="s">
        <v>327</v>
      </c>
      <c r="F34" s="598"/>
      <c r="G34" s="598"/>
      <c r="H34" s="599"/>
      <c r="I34" s="2569"/>
      <c r="M34" s="481">
        <v>15</v>
      </c>
    </row>
    <row customHeight="1" ht="25.2">
      <c r="A35" s="2081"/>
      <c r="C35" s="494"/>
      <c r="D35" s="545" t="s">
        <v>887</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1146</v>
      </c>
      <c r="E36" s="604" t="s">
        <v>1134</v>
      </c>
      <c r="F36" s="596"/>
      <c r="G36" s="655"/>
      <c r="H36" s="596" t="s">
        <v>311</v>
      </c>
      <c r="I36" s="2541" t="s">
        <v>1147</v>
      </c>
      <c r="M36" s="481">
        <v>14</v>
      </c>
    </row>
    <row customHeight="1" ht="15.75">
      <c r="A37" s="2081" t="s">
        <v>92</v>
      </c>
      <c r="C37" s="494"/>
      <c r="D37" s="507"/>
      <c r="E37" s="602" t="s">
        <v>327</v>
      </c>
      <c r="F37" s="598"/>
      <c r="G37" s="598"/>
      <c r="H37" s="599"/>
      <c r="I37" s="2541"/>
      <c r="M37" s="481">
        <v>15</v>
      </c>
    </row>
    <row customHeight="1" ht="27.299999999999997">
      <c r="A38" s="2081"/>
      <c r="C38" s="494"/>
      <c r="D38" s="545" t="s">
        <v>888</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889</v>
      </c>
      <c r="E39" s="604" t="s">
        <v>1135</v>
      </c>
      <c r="F39" s="596"/>
      <c r="G39" s="605"/>
      <c r="H39" s="596" t="s">
        <v>311</v>
      </c>
      <c r="I39" s="2567" t="s">
        <v>1148</v>
      </c>
      <c r="L39" s="553" t="s">
        <v>1136</v>
      </c>
      <c r="M39" s="481">
        <v>14</v>
      </c>
    </row>
    <row customHeight="1" ht="15.75">
      <c r="A40" s="2081" t="s">
        <v>112</v>
      </c>
      <c r="C40" s="494"/>
      <c r="D40" s="507"/>
      <c r="E40" s="602" t="s">
        <v>327</v>
      </c>
      <c r="F40" s="598"/>
      <c r="G40" s="598"/>
      <c r="H40" s="599"/>
      <c r="I40" s="2569"/>
      <c r="M40" s="481">
        <v>15</v>
      </c>
    </row>
    <row s="27130" customFormat="1" customHeight="1" ht="3">
      <c r="A41" s="2081"/>
      <c r="K41" s="594"/>
      <c r="L41" s="594"/>
      <c r="M41" s="538">
        <v>3</v>
      </c>
    </row>
    <row customHeight="1" ht="26.25">
      <c r="D42" s="2079" t="s">
        <v>809</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83</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49C1C-80F1-8B4C-D1D7-670DCC5BD9F6}" mc:Ignorable="x14ac xr xr2 xr3">
  <sheetPr>
    <tabColor theme="6" tint="0.4"/>
  </sheetPr>
  <dimension ref="A1:AH364"/>
  <sheetViews>
    <sheetView topLeftCell="D13" showGridLines="0" zoomScale="90" workbookViewId="0" tabSelected="1">
      <selection activeCell="F24" sqref="F24:F26"/>
    </sheetView>
  </sheetViews>
  <sheetFormatPr defaultColWidth="10.57421875" customHeight="1" defaultRowHeight="14.25"/>
  <cols>
    <col min="1" max="2" style="27197" width="25.140625" hidden="1" customWidth="1"/>
    <col min="3" max="3" style="27198" width="9.140625" hidden="1" customWidth="1"/>
    <col min="4" max="4" style="26194" width="3.00390625" customWidth="1"/>
    <col min="5" max="5" style="24354" width="6.00390625" customWidth="1"/>
    <col min="6" max="6" style="24354" width="46.7109375" customWidth="1"/>
    <col min="7" max="7" style="24354" width="35.00390625" customWidth="1"/>
    <col min="8" max="8" style="24354" width="3.00390625" customWidth="1"/>
    <col min="9" max="9" style="24354" width="12.7109375" customWidth="1"/>
    <col min="10" max="10" style="24354" width="13.421875" customWidth="1"/>
    <col min="11" max="12" style="24354" width="35.00390625" customWidth="1"/>
    <col min="13" max="13" style="24354" width="84.00390625" customWidth="1"/>
    <col min="14" max="14" style="24354" width="10.00390625" customWidth="1"/>
    <col min="15" max="16" style="24524" width="10.00390625" customWidth="1"/>
    <col min="17" max="33" style="24354" width="10.00390625" customWidth="1"/>
    <col min="34" max="34" style="24354" width="10.57421875" hidden="1"/>
  </cols>
  <sheetData>
    <row s="24354"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4354" customFormat="1" customHeight="1" ht="18.75" hidden="1">
      <c r="A2" s="2178" t="s">
        <v>158</v>
      </c>
      <c r="B2" s="2178" t="s">
        <v>159</v>
      </c>
      <c r="C2" s="767"/>
      <c r="D2" s="742"/>
      <c r="E2" s="1429"/>
      <c r="F2" s="1429"/>
      <c r="G2" s="2825" t="str">
        <f>INDEX(PT_DIFFERENTIATION_NTAR,MATCH(B2,PT_DIFFERENTIATION_NTAR_ID,0))</f>
        <v>Тариф на производство и передачу тепловой энергии</v>
      </c>
      <c r="H2" s="2262"/>
      <c r="I2" s="2137"/>
      <c r="J2" s="2171"/>
      <c r="K2" s="2263"/>
      <c r="L2" s="2262" t="s">
        <v>311</v>
      </c>
      <c r="M2" s="2273"/>
      <c r="N2" s="732"/>
      <c r="O2" s="2022"/>
      <c r="P2" s="2022"/>
      <c r="AH2" s="2029">
        <v>0</v>
      </c>
    </row>
    <row s="24354" customFormat="1" customHeight="1" ht="18.75" hidden="1">
      <c r="A3" s="2178"/>
      <c r="B3" s="2178"/>
      <c r="C3" s="767" t="s">
        <v>1149</v>
      </c>
      <c r="D3" s="742"/>
      <c r="E3" s="1429"/>
      <c r="F3" s="1429"/>
      <c r="G3" s="2825"/>
      <c r="H3" s="1898"/>
      <c r="I3" s="1049" t="s">
        <v>1150</v>
      </c>
      <c r="J3" s="969"/>
      <c r="K3" s="1898"/>
      <c r="L3" s="612"/>
      <c r="M3" s="2273"/>
      <c r="N3" s="732"/>
      <c r="O3" s="2022"/>
      <c r="P3" s="2022"/>
      <c r="AH3" s="2029">
        <v>0</v>
      </c>
    </row>
    <row s="24354"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4354" customFormat="1" customHeight="1" ht="18.75" hidden="1">
      <c r="A5" s="2178" t="s">
        <v>158</v>
      </c>
      <c r="B5" s="2178" t="s">
        <v>159</v>
      </c>
      <c r="C5" s="767"/>
      <c r="D5" s="742"/>
      <c r="E5" s="1429"/>
      <c r="F5" s="1429"/>
      <c r="G5" s="2825" t="str">
        <f>INDEX(PT_DIFFERENTIATION_NTAR,MATCH(B5,PT_DIFFERENTIATION_NTAR_ID,0))</f>
        <v>Тариф на производство и передачу тепловой энергии</v>
      </c>
      <c r="H5" s="2262"/>
      <c r="I5" s="2137"/>
      <c r="J5" s="2171"/>
      <c r="K5" s="2176"/>
      <c r="L5" s="2262" t="s">
        <v>311</v>
      </c>
      <c r="M5" s="2273"/>
      <c r="N5" s="732"/>
      <c r="O5" s="2022"/>
      <c r="P5" s="2022"/>
      <c r="AH5" s="2029">
        <v>0</v>
      </c>
    </row>
    <row s="24354" customFormat="1" customHeight="1" ht="18.75" hidden="1">
      <c r="A6" s="2178"/>
      <c r="B6" s="2178"/>
      <c r="C6" s="767" t="s">
        <v>1151</v>
      </c>
      <c r="D6" s="742"/>
      <c r="E6" s="1429"/>
      <c r="F6" s="1429"/>
      <c r="G6" s="2825"/>
      <c r="H6" s="1898"/>
      <c r="I6" s="1049" t="s">
        <v>1150</v>
      </c>
      <c r="J6" s="969"/>
      <c r="K6" s="1898"/>
      <c r="L6" s="612"/>
      <c r="M6" s="2273"/>
      <c r="N6" s="732"/>
      <c r="O6" s="2022"/>
      <c r="P6" s="2022"/>
      <c r="AH6" s="2029">
        <v>0</v>
      </c>
    </row>
    <row s="24354"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4354" customFormat="1" customHeight="1" ht="56.25" hidden="1">
      <c r="A8" s="2178"/>
      <c r="B8" s="2178"/>
      <c r="C8" s="767"/>
      <c r="D8" s="742"/>
      <c r="E8" s="1429"/>
      <c r="F8" s="1429"/>
      <c r="G8" s="1429"/>
      <c r="H8" s="2169"/>
      <c r="I8" s="2137"/>
      <c r="J8" s="2171"/>
      <c r="K8" s="2263"/>
      <c r="L8" s="2169" t="s">
        <v>311</v>
      </c>
      <c r="M8" s="2273"/>
      <c r="N8" s="732"/>
      <c r="O8" s="2022"/>
      <c r="P8" s="2022"/>
      <c r="AH8" s="2029">
        <v>0</v>
      </c>
    </row>
    <row customHeight="1" ht="14.25" hidden="1">
      <c r="T9" s="795"/>
      <c r="AG9" s="653"/>
      <c r="AH9" s="772">
        <v>0</v>
      </c>
    </row>
    <row s="24354" customFormat="1" customHeight="1" ht="56.25" hidden="1">
      <c r="A10" s="2178"/>
      <c r="B10" s="2178"/>
      <c r="C10" s="767"/>
      <c r="D10" s="742"/>
      <c r="E10" s="1429"/>
      <c r="F10" s="1429"/>
      <c r="G10" s="1429"/>
      <c r="H10" s="2168"/>
      <c r="I10" s="2137"/>
      <c r="J10" s="2171"/>
      <c r="K10" s="2176"/>
      <c r="L10" s="2169" t="s">
        <v>311</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изменении тарифов</v>
      </c>
      <c r="G16" s="2662" t="str">
        <f>IF(TITLE_DATE_PR_CHANGE="",IF(TITLE_DATE_PR="","",TITLE_DATE_PR),TITLE_DATE_PR_CHANGE)</f>
        <v>45649.66804398148</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изменении тарифов</v>
      </c>
      <c r="G17" s="2649" t="str">
        <f>IF(TITLE_NUMBER_PR_CHANGE="",IF(TITLE_NUMBER_PR="","",TITLE_NUMBER_PR),TITLE_NUMBER_PR_CHANGE)</f>
        <v>27/6419</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305</v>
      </c>
      <c r="F19" s="2607"/>
      <c r="G19" s="2607"/>
      <c r="H19" s="2607"/>
      <c r="I19" s="2607"/>
      <c r="J19" s="2607"/>
      <c r="K19" s="2607"/>
      <c r="L19" s="2607"/>
      <c r="M19" s="2787" t="s">
        <v>306</v>
      </c>
      <c r="AH19" s="772">
        <v>21</v>
      </c>
    </row>
    <row customHeight="1" ht="22.049999999999997">
      <c r="D20" s="774"/>
      <c r="E20" s="2675" t="s">
        <v>89</v>
      </c>
      <c r="F20" s="2622" t="s">
        <v>123</v>
      </c>
      <c r="G20" s="2622" t="s">
        <v>124</v>
      </c>
      <c r="H20" s="2784" t="s">
        <v>1152</v>
      </c>
      <c r="I20" s="2785"/>
      <c r="J20" s="2831"/>
      <c r="K20" s="2622" t="s">
        <v>308</v>
      </c>
      <c r="L20" s="2622" t="s">
        <v>395</v>
      </c>
      <c r="M20" s="2787"/>
      <c r="AH20" s="772">
        <v>21</v>
      </c>
    </row>
    <row customHeight="1" ht="22.049999999999997">
      <c r="D21" s="774"/>
      <c r="E21" s="2677"/>
      <c r="F21" s="2623"/>
      <c r="G21" s="2623"/>
      <c r="H21" s="2616" t="s">
        <v>1153</v>
      </c>
      <c r="I21" s="2618"/>
      <c r="J21" s="506" t="s">
        <v>1154</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110</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311</v>
      </c>
      <c r="L23" s="2859"/>
      <c r="M23" s="2167"/>
      <c r="N23" s="732"/>
      <c r="AH23" s="772">
        <v>19</v>
      </c>
    </row>
    <row customHeight="1" ht="60.75">
      <c r="A24" s="2178" t="s">
        <v>158</v>
      </c>
      <c r="B24" s="2178" t="s">
        <v>159</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Тариф на производство и передачу тепловой энергии</v>
      </c>
      <c r="H24" s="2260"/>
      <c r="I24" s="9112">
        <v>45658.474016203705</v>
      </c>
      <c r="J24" s="9113">
        <v>51501.47415509259</v>
      </c>
      <c r="K24" s="2263" t="s">
        <v>1155</v>
      </c>
      <c r="L24" s="2166" t="s">
        <v>311</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4354" customFormat="1" customHeight="1" ht="18.75">
      <c r="A25" s="2178"/>
      <c r="B25" s="2178"/>
      <c r="C25" s="767" t="s">
        <v>1149</v>
      </c>
      <c r="D25" s="2864"/>
      <c r="E25" s="2602"/>
      <c r="F25" s="2868"/>
      <c r="G25" s="2825"/>
      <c r="H25" s="1898"/>
      <c r="I25" s="1049" t="s">
        <v>1150</v>
      </c>
      <c r="J25" s="969"/>
      <c r="K25" s="1898"/>
      <c r="L25" s="612"/>
      <c r="M25" s="2568"/>
      <c r="N25" s="732"/>
      <c r="O25" s="2022"/>
      <c r="P25" s="2022"/>
      <c r="AH25" s="2029">
        <v>0</v>
      </c>
    </row>
    <row customHeight="1" ht="0.75">
      <c r="A26" s="2178"/>
      <c r="B26" s="2178"/>
      <c r="C26" s="767" t="s">
        <v>1156</v>
      </c>
      <c r="D26" s="2864"/>
      <c r="E26" s="2602"/>
      <c r="F26" s="2781"/>
      <c r="G26" s="798"/>
      <c r="H26" s="1898"/>
      <c r="I26" s="793"/>
      <c r="J26" s="747"/>
      <c r="K26" s="1898"/>
      <c r="L26" s="599"/>
      <c r="M26" s="2568"/>
      <c r="N26" s="732"/>
      <c r="AH26" s="772">
        <v>0</v>
      </c>
    </row>
    <row s="24354" customFormat="1" customHeight="1" ht="45" hidden="1">
      <c r="A27" s="2178" t="s">
        <v>168</v>
      </c>
      <c r="B27" s="2178" t="s">
        <v>169</v>
      </c>
      <c r="C27" s="767"/>
      <c r="D27" s="2860"/>
      <c r="E27" s="2861"/>
      <c r="F27" s="28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5" t="str">
        <f>INDEX(PT_DIFFERENTIATION_NTAR,MATCH(B27,PT_DIFFERENTIATION_NTAR_ID,0))</f>
        <v/>
      </c>
      <c r="H27" s="2260"/>
      <c r="I27" s="2137"/>
      <c r="J27" s="2171"/>
      <c r="K27" s="2263"/>
      <c r="L27" s="2260" t="s">
        <v>311</v>
      </c>
      <c r="M27" s="2568"/>
      <c r="N27" s="732"/>
      <c r="O27" s="2022"/>
      <c r="P27" s="2022"/>
      <c r="AH27" s="2029">
        <v>0</v>
      </c>
    </row>
    <row s="24354" customFormat="1" customHeight="1" ht="18.75" hidden="1">
      <c r="A28" s="2178"/>
      <c r="B28" s="2178"/>
      <c r="C28" s="767" t="s">
        <v>1149</v>
      </c>
      <c r="D28" s="2860"/>
      <c r="E28" s="2861"/>
      <c r="F28" s="2862"/>
      <c r="G28" s="2825"/>
      <c r="H28" s="1898"/>
      <c r="I28" s="1049" t="s">
        <v>1150</v>
      </c>
      <c r="J28" s="969"/>
      <c r="K28" s="1898"/>
      <c r="L28" s="612"/>
      <c r="M28" s="2568"/>
      <c r="N28" s="732"/>
      <c r="O28" s="2022"/>
      <c r="P28" s="2022"/>
      <c r="AH28" s="2029">
        <v>0</v>
      </c>
    </row>
    <row s="24354" customFormat="1" customHeight="1" ht="0.75" hidden="1">
      <c r="A29" s="2178"/>
      <c r="B29" s="2178"/>
      <c r="C29" s="767" t="s">
        <v>1156</v>
      </c>
      <c r="D29" s="2860"/>
      <c r="E29" s="2602"/>
      <c r="F29" s="2781"/>
      <c r="G29" s="798"/>
      <c r="H29" s="1898"/>
      <c r="I29" s="1049"/>
      <c r="J29" s="969"/>
      <c r="K29" s="1898"/>
      <c r="L29" s="612"/>
      <c r="M29" s="2568"/>
      <c r="N29" s="732"/>
      <c r="O29" s="2022"/>
      <c r="P29" s="2022"/>
      <c r="AH29" s="2029">
        <v>0</v>
      </c>
    </row>
    <row s="24354" customFormat="1" customHeight="1" ht="45" hidden="1">
      <c r="A30" s="2178" t="s">
        <v>174</v>
      </c>
      <c r="B30" s="2178" t="s">
        <v>175</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311</v>
      </c>
      <c r="M30" s="2568"/>
      <c r="N30" s="732"/>
      <c r="O30" s="2022"/>
      <c r="P30" s="2022"/>
      <c r="AH30" s="2029">
        <v>0</v>
      </c>
    </row>
    <row s="24354" customFormat="1" customHeight="1" ht="18.75" hidden="1">
      <c r="A31" s="2178"/>
      <c r="B31" s="2178"/>
      <c r="C31" s="767" t="s">
        <v>1149</v>
      </c>
      <c r="D31" s="2860"/>
      <c r="E31" s="2602"/>
      <c r="F31" s="2781"/>
      <c r="G31" s="2825"/>
      <c r="H31" s="1898"/>
      <c r="I31" s="1049" t="s">
        <v>1150</v>
      </c>
      <c r="J31" s="969"/>
      <c r="K31" s="1898"/>
      <c r="L31" s="612"/>
      <c r="M31" s="2568"/>
      <c r="N31" s="732"/>
      <c r="O31" s="2022"/>
      <c r="P31" s="2022"/>
      <c r="AH31" s="2029">
        <v>0</v>
      </c>
    </row>
    <row s="24354" customFormat="1" customHeight="1" ht="0.75" hidden="1">
      <c r="A32" s="2178"/>
      <c r="B32" s="2178"/>
      <c r="C32" s="767" t="s">
        <v>1156</v>
      </c>
      <c r="D32" s="2860"/>
      <c r="E32" s="2602"/>
      <c r="F32" s="2781"/>
      <c r="G32" s="798"/>
      <c r="H32" s="1898"/>
      <c r="I32" s="1049"/>
      <c r="J32" s="969"/>
      <c r="K32" s="1898"/>
      <c r="L32" s="612"/>
      <c r="M32" s="2568"/>
      <c r="N32" s="732"/>
      <c r="O32" s="2022"/>
      <c r="P32" s="2022"/>
      <c r="AH32" s="2029">
        <v>0</v>
      </c>
    </row>
    <row s="24354" customFormat="1" customHeight="1" ht="45" hidden="1">
      <c r="A33" s="2178" t="s">
        <v>180</v>
      </c>
      <c r="B33" s="2178" t="s">
        <v>181</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311</v>
      </c>
      <c r="M33" s="2568"/>
      <c r="N33" s="732"/>
      <c r="O33" s="2022"/>
      <c r="P33" s="2022"/>
      <c r="AH33" s="2029">
        <v>0</v>
      </c>
    </row>
    <row s="24354" customFormat="1" customHeight="1" ht="18.75" hidden="1">
      <c r="A34" s="2178"/>
      <c r="B34" s="2178"/>
      <c r="C34" s="767" t="s">
        <v>1149</v>
      </c>
      <c r="D34" s="2860"/>
      <c r="E34" s="2602"/>
      <c r="F34" s="2781"/>
      <c r="G34" s="2825"/>
      <c r="H34" s="1898"/>
      <c r="I34" s="1049" t="s">
        <v>1150</v>
      </c>
      <c r="J34" s="969"/>
      <c r="K34" s="1898"/>
      <c r="L34" s="612"/>
      <c r="M34" s="2568"/>
      <c r="N34" s="732"/>
      <c r="O34" s="2022"/>
      <c r="P34" s="2022"/>
      <c r="AH34" s="2029">
        <v>0</v>
      </c>
    </row>
    <row s="24354" customFormat="1" customHeight="1" ht="0.75" hidden="1">
      <c r="A35" s="2178"/>
      <c r="B35" s="2178"/>
      <c r="C35" s="767" t="s">
        <v>1156</v>
      </c>
      <c r="D35" s="2860"/>
      <c r="E35" s="2602"/>
      <c r="F35" s="2781"/>
      <c r="G35" s="798"/>
      <c r="H35" s="1898"/>
      <c r="I35" s="1049"/>
      <c r="J35" s="969"/>
      <c r="K35" s="1898"/>
      <c r="L35" s="612"/>
      <c r="M35" s="2568"/>
      <c r="N35" s="732"/>
      <c r="O35" s="2022"/>
      <c r="P35" s="2022"/>
      <c r="AH35" s="2029">
        <v>0</v>
      </c>
    </row>
    <row s="24354" customFormat="1" customHeight="1" ht="18.75" hidden="1">
      <c r="A36" s="2178" t="s">
        <v>186</v>
      </c>
      <c r="B36" s="2178" t="s">
        <v>187</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311</v>
      </c>
      <c r="M36" s="2568"/>
      <c r="N36" s="732"/>
      <c r="O36" s="2022"/>
      <c r="P36" s="2022"/>
      <c r="AH36" s="2029">
        <v>0</v>
      </c>
    </row>
    <row s="24354" customFormat="1" customHeight="1" ht="18.75" hidden="1">
      <c r="A37" s="2178"/>
      <c r="B37" s="2178"/>
      <c r="C37" s="767" t="s">
        <v>1149</v>
      </c>
      <c r="D37" s="2860"/>
      <c r="E37" s="2602"/>
      <c r="F37" s="2781"/>
      <c r="G37" s="2825"/>
      <c r="H37" s="1898"/>
      <c r="I37" s="1049" t="s">
        <v>1150</v>
      </c>
      <c r="J37" s="969"/>
      <c r="K37" s="1898"/>
      <c r="L37" s="612"/>
      <c r="M37" s="2568"/>
      <c r="N37" s="732"/>
      <c r="O37" s="2022"/>
      <c r="P37" s="2022"/>
      <c r="AH37" s="2029">
        <v>0</v>
      </c>
    </row>
    <row s="24354" customFormat="1" customHeight="1" ht="0.75" hidden="1">
      <c r="A38" s="2178"/>
      <c r="B38" s="2178"/>
      <c r="C38" s="767" t="s">
        <v>1156</v>
      </c>
      <c r="D38" s="2860"/>
      <c r="E38" s="2602"/>
      <c r="F38" s="2781"/>
      <c r="G38" s="798"/>
      <c r="H38" s="1898"/>
      <c r="I38" s="1049"/>
      <c r="J38" s="969"/>
      <c r="K38" s="1898"/>
      <c r="L38" s="612"/>
      <c r="M38" s="2568"/>
      <c r="N38" s="732"/>
      <c r="O38" s="2022"/>
      <c r="P38" s="2022"/>
      <c r="AH38" s="2029">
        <v>0</v>
      </c>
    </row>
    <row s="24354" customFormat="1" customHeight="1" ht="18.75" hidden="1">
      <c r="A39" s="2178" t="s">
        <v>192</v>
      </c>
      <c r="B39" s="2178" t="s">
        <v>193</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311</v>
      </c>
      <c r="M39" s="2568"/>
      <c r="N39" s="732"/>
      <c r="O39" s="2022"/>
      <c r="P39" s="2022"/>
      <c r="AH39" s="2029">
        <v>0</v>
      </c>
    </row>
    <row s="24354" customFormat="1" customHeight="1" ht="18.75" hidden="1">
      <c r="A40" s="2178"/>
      <c r="B40" s="2178"/>
      <c r="C40" s="767" t="s">
        <v>1149</v>
      </c>
      <c r="D40" s="2860"/>
      <c r="E40" s="2602"/>
      <c r="F40" s="2781"/>
      <c r="G40" s="2825"/>
      <c r="H40" s="1898"/>
      <c r="I40" s="1049" t="s">
        <v>1150</v>
      </c>
      <c r="J40" s="969"/>
      <c r="K40" s="1898"/>
      <c r="L40" s="612"/>
      <c r="M40" s="2568"/>
      <c r="N40" s="732"/>
      <c r="O40" s="2022"/>
      <c r="P40" s="2022"/>
      <c r="AH40" s="2029">
        <v>0</v>
      </c>
    </row>
    <row s="24354" customFormat="1" customHeight="1" ht="0.75" hidden="1">
      <c r="A41" s="2178"/>
      <c r="B41" s="2178"/>
      <c r="C41" s="767" t="s">
        <v>1156</v>
      </c>
      <c r="D41" s="2860"/>
      <c r="E41" s="2602"/>
      <c r="F41" s="2781"/>
      <c r="G41" s="798"/>
      <c r="H41" s="1898"/>
      <c r="I41" s="1049"/>
      <c r="J41" s="969"/>
      <c r="K41" s="1898"/>
      <c r="L41" s="612"/>
      <c r="M41" s="2568"/>
      <c r="N41" s="732"/>
      <c r="O41" s="2022"/>
      <c r="P41" s="2022"/>
      <c r="AH41" s="2029">
        <v>0</v>
      </c>
    </row>
    <row s="24354" customFormat="1" customHeight="1" ht="18.75" hidden="1">
      <c r="A42" s="2178" t="s">
        <v>198</v>
      </c>
      <c r="B42" s="2178" t="s">
        <v>199</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311</v>
      </c>
      <c r="M42" s="2568"/>
      <c r="N42" s="732"/>
      <c r="O42" s="2022"/>
      <c r="P42" s="2022"/>
      <c r="AH42" s="2029">
        <v>0</v>
      </c>
    </row>
    <row s="24354" customFormat="1" customHeight="1" ht="18.75" hidden="1">
      <c r="A43" s="2178"/>
      <c r="B43" s="2178"/>
      <c r="C43" s="767" t="s">
        <v>1149</v>
      </c>
      <c r="D43" s="2860"/>
      <c r="E43" s="2602"/>
      <c r="F43" s="2781"/>
      <c r="G43" s="2825"/>
      <c r="H43" s="1898"/>
      <c r="I43" s="1049" t="s">
        <v>1150</v>
      </c>
      <c r="J43" s="969"/>
      <c r="K43" s="1898"/>
      <c r="L43" s="612"/>
      <c r="M43" s="2568"/>
      <c r="N43" s="732"/>
      <c r="O43" s="2022"/>
      <c r="P43" s="2022"/>
      <c r="AH43" s="2029">
        <v>0</v>
      </c>
    </row>
    <row s="24354" customFormat="1" customHeight="1" ht="0.75" hidden="1">
      <c r="A44" s="2178"/>
      <c r="B44" s="2178"/>
      <c r="C44" s="767" t="s">
        <v>1156</v>
      </c>
      <c r="D44" s="2860"/>
      <c r="E44" s="2602"/>
      <c r="F44" s="2781"/>
      <c r="G44" s="798"/>
      <c r="H44" s="1898"/>
      <c r="I44" s="1049"/>
      <c r="J44" s="969"/>
      <c r="K44" s="1898"/>
      <c r="L44" s="612"/>
      <c r="M44" s="2568"/>
      <c r="N44" s="732"/>
      <c r="O44" s="2022"/>
      <c r="P44" s="2022"/>
      <c r="AH44" s="2029">
        <v>0</v>
      </c>
    </row>
    <row s="24354" customFormat="1" customHeight="1" ht="18.75" hidden="1">
      <c r="A45" s="2178" t="s">
        <v>204</v>
      </c>
      <c r="B45" s="2178" t="s">
        <v>205</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311</v>
      </c>
      <c r="M45" s="2568"/>
      <c r="N45" s="732"/>
      <c r="O45" s="2022"/>
      <c r="P45" s="2022"/>
      <c r="AH45" s="2029">
        <v>0</v>
      </c>
    </row>
    <row s="24354" customFormat="1" customHeight="1" ht="18.75" hidden="1">
      <c r="A46" s="2178"/>
      <c r="B46" s="2178"/>
      <c r="C46" s="767" t="s">
        <v>1149</v>
      </c>
      <c r="D46" s="2860"/>
      <c r="E46" s="2602"/>
      <c r="F46" s="2781"/>
      <c r="G46" s="2825"/>
      <c r="H46" s="1898"/>
      <c r="I46" s="1049" t="s">
        <v>1150</v>
      </c>
      <c r="J46" s="969"/>
      <c r="K46" s="1898"/>
      <c r="L46" s="612"/>
      <c r="M46" s="2568"/>
      <c r="N46" s="732"/>
      <c r="O46" s="2022"/>
      <c r="P46" s="2022"/>
      <c r="AH46" s="2029">
        <v>0</v>
      </c>
    </row>
    <row s="24354" customFormat="1" customHeight="1" ht="0.75" hidden="1">
      <c r="A47" s="2178"/>
      <c r="B47" s="2178"/>
      <c r="C47" s="767" t="s">
        <v>1156</v>
      </c>
      <c r="D47" s="2860"/>
      <c r="E47" s="2602"/>
      <c r="F47" s="2781"/>
      <c r="G47" s="798"/>
      <c r="H47" s="1898"/>
      <c r="I47" s="1049"/>
      <c r="J47" s="969"/>
      <c r="K47" s="1898"/>
      <c r="L47" s="612"/>
      <c r="M47" s="2568"/>
      <c r="N47" s="732"/>
      <c r="O47" s="2022"/>
      <c r="P47" s="2022"/>
      <c r="AH47" s="2029">
        <v>0</v>
      </c>
    </row>
    <row s="24354" customFormat="1" customHeight="1" ht="18.75" hidden="1">
      <c r="A48" s="2178" t="s">
        <v>210</v>
      </c>
      <c r="B48" s="2178" t="s">
        <v>211</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311</v>
      </c>
      <c r="M48" s="2568"/>
      <c r="N48" s="732"/>
      <c r="O48" s="2022"/>
      <c r="P48" s="2022"/>
      <c r="AH48" s="2029">
        <v>0</v>
      </c>
    </row>
    <row s="24354" customFormat="1" customHeight="1" ht="18.75" hidden="1">
      <c r="A49" s="2178"/>
      <c r="B49" s="2178"/>
      <c r="C49" s="767" t="s">
        <v>1149</v>
      </c>
      <c r="D49" s="2860"/>
      <c r="E49" s="2602"/>
      <c r="F49" s="2781"/>
      <c r="G49" s="2825"/>
      <c r="H49" s="1898"/>
      <c r="I49" s="1049" t="s">
        <v>1150</v>
      </c>
      <c r="J49" s="969"/>
      <c r="K49" s="1898"/>
      <c r="L49" s="612"/>
      <c r="M49" s="2568"/>
      <c r="N49" s="732"/>
      <c r="O49" s="2022"/>
      <c r="P49" s="2022"/>
      <c r="AH49" s="2029">
        <v>0</v>
      </c>
    </row>
    <row s="24354" customFormat="1" customHeight="1" ht="0.75" hidden="1">
      <c r="A50" s="2178"/>
      <c r="B50" s="2178"/>
      <c r="C50" s="767" t="s">
        <v>1156</v>
      </c>
      <c r="D50" s="2860"/>
      <c r="E50" s="2602"/>
      <c r="F50" s="2781"/>
      <c r="G50" s="798"/>
      <c r="H50" s="1898"/>
      <c r="I50" s="1049"/>
      <c r="J50" s="969"/>
      <c r="K50" s="1898"/>
      <c r="L50" s="612"/>
      <c r="M50" s="2568"/>
      <c r="N50" s="732"/>
      <c r="O50" s="2022"/>
      <c r="P50" s="2022"/>
      <c r="AH50" s="2029">
        <v>0</v>
      </c>
    </row>
    <row s="24354" customFormat="1" customHeight="1" ht="18.75" hidden="1">
      <c r="A51" s="2178" t="s">
        <v>230</v>
      </c>
      <c r="B51" s="2178" t="s">
        <v>231</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311</v>
      </c>
      <c r="M51" s="2568"/>
      <c r="N51" s="732"/>
      <c r="O51" s="2022"/>
      <c r="P51" s="2022"/>
      <c r="AH51" s="2029">
        <v>0</v>
      </c>
    </row>
    <row s="24354" customFormat="1" customHeight="1" ht="18.75" hidden="1">
      <c r="A52" s="2178"/>
      <c r="B52" s="2178"/>
      <c r="C52" s="767" t="s">
        <v>1149</v>
      </c>
      <c r="D52" s="2860"/>
      <c r="E52" s="2602"/>
      <c r="F52" s="2781"/>
      <c r="G52" s="2825"/>
      <c r="H52" s="1898"/>
      <c r="I52" s="1049" t="s">
        <v>1150</v>
      </c>
      <c r="J52" s="969"/>
      <c r="K52" s="1898"/>
      <c r="L52" s="612"/>
      <c r="M52" s="2568"/>
      <c r="N52" s="732"/>
      <c r="O52" s="2022"/>
      <c r="P52" s="2022"/>
      <c r="AH52" s="2029">
        <v>0</v>
      </c>
    </row>
    <row s="24354" customFormat="1" customHeight="1" ht="0.75" hidden="1">
      <c r="A53" s="2178"/>
      <c r="B53" s="2178"/>
      <c r="C53" s="767" t="s">
        <v>1156</v>
      </c>
      <c r="D53" s="2860"/>
      <c r="E53" s="2602"/>
      <c r="F53" s="2781"/>
      <c r="G53" s="798"/>
      <c r="H53" s="1898"/>
      <c r="I53" s="1049"/>
      <c r="J53" s="969"/>
      <c r="K53" s="1898"/>
      <c r="L53" s="612"/>
      <c r="M53" s="2568"/>
      <c r="N53" s="732"/>
      <c r="O53" s="2022"/>
      <c r="P53" s="2022"/>
      <c r="AH53" s="2029">
        <v>0</v>
      </c>
    </row>
    <row s="24354" customFormat="1" customHeight="1" ht="18.75" hidden="1">
      <c r="A54" s="2178" t="s">
        <v>235</v>
      </c>
      <c r="B54" s="2178" t="s">
        <v>236</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311</v>
      </c>
      <c r="M54" s="2568"/>
      <c r="N54" s="732"/>
      <c r="O54" s="2022"/>
      <c r="P54" s="2022"/>
      <c r="AH54" s="2029">
        <v>0</v>
      </c>
    </row>
    <row s="24354" customFormat="1" customHeight="1" ht="18.75" hidden="1">
      <c r="A55" s="2178"/>
      <c r="B55" s="2178"/>
      <c r="C55" s="767" t="s">
        <v>1149</v>
      </c>
      <c r="D55" s="2860"/>
      <c r="E55" s="2602"/>
      <c r="F55" s="2781"/>
      <c r="G55" s="2825"/>
      <c r="H55" s="1898"/>
      <c r="I55" s="1049" t="s">
        <v>1150</v>
      </c>
      <c r="J55" s="969"/>
      <c r="K55" s="1898"/>
      <c r="L55" s="612"/>
      <c r="M55" s="2568"/>
      <c r="N55" s="732"/>
      <c r="O55" s="2022"/>
      <c r="P55" s="2022"/>
      <c r="AH55" s="2029">
        <v>0</v>
      </c>
    </row>
    <row s="24354" customFormat="1" customHeight="1" ht="0.75" hidden="1">
      <c r="A56" s="2178"/>
      <c r="B56" s="2178"/>
      <c r="C56" s="767" t="s">
        <v>1156</v>
      </c>
      <c r="D56" s="2860"/>
      <c r="E56" s="2602"/>
      <c r="F56" s="2781"/>
      <c r="G56" s="798"/>
      <c r="H56" s="1898"/>
      <c r="I56" s="1049"/>
      <c r="J56" s="969"/>
      <c r="K56" s="1898"/>
      <c r="L56" s="612"/>
      <c r="M56" s="2568"/>
      <c r="N56" s="732"/>
      <c r="O56" s="2022"/>
      <c r="P56" s="2022"/>
      <c r="AH56" s="2029">
        <v>0</v>
      </c>
    </row>
    <row s="24354" customFormat="1" customHeight="1" ht="18.75" hidden="1">
      <c r="A57" s="2178" t="s">
        <v>240</v>
      </c>
      <c r="B57" s="2178" t="s">
        <v>241</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311</v>
      </c>
      <c r="M57" s="2568"/>
      <c r="N57" s="732"/>
      <c r="O57" s="2022"/>
      <c r="P57" s="2022"/>
      <c r="AH57" s="2029">
        <v>0</v>
      </c>
    </row>
    <row s="24354" customFormat="1" customHeight="1" ht="18.75" hidden="1">
      <c r="A58" s="2178"/>
      <c r="B58" s="2178"/>
      <c r="C58" s="767" t="s">
        <v>1149</v>
      </c>
      <c r="D58" s="2860"/>
      <c r="E58" s="2602"/>
      <c r="F58" s="2781"/>
      <c r="G58" s="2825"/>
      <c r="H58" s="1898"/>
      <c r="I58" s="1049" t="s">
        <v>1150</v>
      </c>
      <c r="J58" s="969"/>
      <c r="K58" s="1898"/>
      <c r="L58" s="612"/>
      <c r="M58" s="2568"/>
      <c r="N58" s="732"/>
      <c r="O58" s="2022"/>
      <c r="P58" s="2022"/>
      <c r="AH58" s="2029">
        <v>0</v>
      </c>
    </row>
    <row s="24354" customFormat="1" customHeight="1" ht="0.75" hidden="1">
      <c r="A59" s="2178"/>
      <c r="B59" s="2178"/>
      <c r="C59" s="767" t="s">
        <v>1156</v>
      </c>
      <c r="D59" s="2860"/>
      <c r="E59" s="2602"/>
      <c r="F59" s="2781"/>
      <c r="G59" s="798"/>
      <c r="H59" s="1898"/>
      <c r="I59" s="1049"/>
      <c r="J59" s="969"/>
      <c r="K59" s="1898"/>
      <c r="L59" s="612"/>
      <c r="M59" s="2568"/>
      <c r="N59" s="732"/>
      <c r="O59" s="2022"/>
      <c r="P59" s="2022"/>
      <c r="AH59" s="2029">
        <v>0</v>
      </c>
    </row>
    <row s="24354" customFormat="1" customHeight="1" ht="18.75" hidden="1">
      <c r="A60" s="2178" t="s">
        <v>245</v>
      </c>
      <c r="B60" s="2178" t="s">
        <v>246</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311</v>
      </c>
      <c r="M60" s="2568"/>
      <c r="N60" s="732"/>
      <c r="O60" s="2022"/>
      <c r="P60" s="2022"/>
      <c r="AH60" s="2029">
        <v>0</v>
      </c>
    </row>
    <row s="24354" customFormat="1" customHeight="1" ht="18.75" hidden="1">
      <c r="A61" s="2178"/>
      <c r="B61" s="2178"/>
      <c r="C61" s="767" t="s">
        <v>1149</v>
      </c>
      <c r="D61" s="2860"/>
      <c r="E61" s="2602"/>
      <c r="F61" s="2781"/>
      <c r="G61" s="2825"/>
      <c r="H61" s="1898"/>
      <c r="I61" s="1049" t="s">
        <v>1150</v>
      </c>
      <c r="J61" s="969"/>
      <c r="K61" s="1898"/>
      <c r="L61" s="612"/>
      <c r="M61" s="2568"/>
      <c r="N61" s="732"/>
      <c r="O61" s="2022"/>
      <c r="P61" s="2022"/>
      <c r="AH61" s="2029">
        <v>0</v>
      </c>
    </row>
    <row s="24354" customFormat="1" customHeight="1" ht="0.75" hidden="1">
      <c r="A62" s="2178"/>
      <c r="B62" s="2178"/>
      <c r="C62" s="767" t="s">
        <v>1156</v>
      </c>
      <c r="D62" s="2860"/>
      <c r="E62" s="2602"/>
      <c r="F62" s="2781"/>
      <c r="G62" s="798"/>
      <c r="H62" s="1898"/>
      <c r="I62" s="1049"/>
      <c r="J62" s="969"/>
      <c r="K62" s="1898"/>
      <c r="L62" s="612"/>
      <c r="M62" s="2568"/>
      <c r="N62" s="732"/>
      <c r="O62" s="2022"/>
      <c r="P62" s="2022"/>
      <c r="AH62" s="2029">
        <v>0</v>
      </c>
    </row>
    <row s="24354" customFormat="1" customHeight="1" ht="18.75" hidden="1">
      <c r="A63" s="2178" t="s">
        <v>250</v>
      </c>
      <c r="B63" s="2178" t="s">
        <v>251</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311</v>
      </c>
      <c r="M63" s="2568"/>
      <c r="N63" s="732"/>
      <c r="O63" s="2022"/>
      <c r="P63" s="2022"/>
      <c r="AH63" s="2029">
        <v>0</v>
      </c>
    </row>
    <row s="24354" customFormat="1" customHeight="1" ht="18.75" hidden="1">
      <c r="A64" s="2178"/>
      <c r="B64" s="2178"/>
      <c r="C64" s="767" t="s">
        <v>1149</v>
      </c>
      <c r="D64" s="2860"/>
      <c r="E64" s="2602"/>
      <c r="F64" s="2781"/>
      <c r="G64" s="2825"/>
      <c r="H64" s="1898"/>
      <c r="I64" s="1049" t="s">
        <v>1150</v>
      </c>
      <c r="J64" s="969"/>
      <c r="K64" s="1898"/>
      <c r="L64" s="612"/>
      <c r="M64" s="2568"/>
      <c r="N64" s="732"/>
      <c r="O64" s="2022"/>
      <c r="P64" s="2022"/>
      <c r="AH64" s="2029">
        <v>0</v>
      </c>
    </row>
    <row s="24354" customFormat="1" customHeight="1" ht="0.75" hidden="1">
      <c r="A65" s="2178"/>
      <c r="B65" s="2178"/>
      <c r="C65" s="767" t="s">
        <v>1156</v>
      </c>
      <c r="D65" s="2860"/>
      <c r="E65" s="2602"/>
      <c r="F65" s="2781"/>
      <c r="G65" s="798"/>
      <c r="H65" s="1898"/>
      <c r="I65" s="1049"/>
      <c r="J65" s="969"/>
      <c r="K65" s="1898"/>
      <c r="L65" s="612"/>
      <c r="M65" s="2568"/>
      <c r="N65" s="732"/>
      <c r="O65" s="2022"/>
      <c r="P65" s="2022"/>
      <c r="AH65" s="2029">
        <v>0</v>
      </c>
    </row>
    <row s="24354" customFormat="1" customHeight="1" ht="18.75" hidden="1">
      <c r="A66" s="2178" t="s">
        <v>255</v>
      </c>
      <c r="B66" s="2178" t="s">
        <v>256</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311</v>
      </c>
      <c r="M66" s="2568"/>
      <c r="N66" s="732"/>
      <c r="O66" s="2022"/>
      <c r="P66" s="2022"/>
      <c r="AH66" s="2029">
        <v>0</v>
      </c>
    </row>
    <row s="24354" customFormat="1" customHeight="1" ht="18.75" hidden="1">
      <c r="A67" s="2178"/>
      <c r="B67" s="2178"/>
      <c r="C67" s="767" t="s">
        <v>1149</v>
      </c>
      <c r="D67" s="2860"/>
      <c r="E67" s="2602"/>
      <c r="F67" s="2781"/>
      <c r="G67" s="2825"/>
      <c r="H67" s="1898"/>
      <c r="I67" s="1049" t="s">
        <v>1150</v>
      </c>
      <c r="J67" s="969"/>
      <c r="K67" s="1898"/>
      <c r="L67" s="612"/>
      <c r="M67" s="2568"/>
      <c r="N67" s="732"/>
      <c r="O67" s="2022"/>
      <c r="P67" s="2022"/>
      <c r="AH67" s="2029">
        <v>0</v>
      </c>
    </row>
    <row s="24354" customFormat="1" customHeight="1" ht="0.75" hidden="1">
      <c r="A68" s="2178"/>
      <c r="B68" s="2178"/>
      <c r="C68" s="767" t="s">
        <v>1156</v>
      </c>
      <c r="D68" s="2860"/>
      <c r="E68" s="2602"/>
      <c r="F68" s="2781"/>
      <c r="G68" s="798"/>
      <c r="H68" s="1898"/>
      <c r="I68" s="1049"/>
      <c r="J68" s="969"/>
      <c r="K68" s="1898"/>
      <c r="L68" s="612"/>
      <c r="M68" s="2568"/>
      <c r="N68" s="732"/>
      <c r="O68" s="2022"/>
      <c r="P68" s="2022"/>
      <c r="AH68" s="2029">
        <v>0</v>
      </c>
    </row>
    <row s="24354" customFormat="1" customHeight="1" ht="18.75" hidden="1">
      <c r="A69" s="2178" t="s">
        <v>260</v>
      </c>
      <c r="B69" s="2178" t="s">
        <v>261</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311</v>
      </c>
      <c r="M69" s="2568"/>
      <c r="N69" s="732"/>
      <c r="O69" s="2022"/>
      <c r="P69" s="2022"/>
      <c r="AH69" s="2029">
        <v>0</v>
      </c>
    </row>
    <row s="24354" customFormat="1" customHeight="1" ht="18.75" hidden="1">
      <c r="A70" s="2178"/>
      <c r="B70" s="2178"/>
      <c r="C70" s="767" t="s">
        <v>1149</v>
      </c>
      <c r="D70" s="2860"/>
      <c r="E70" s="2602"/>
      <c r="F70" s="2781"/>
      <c r="G70" s="2825"/>
      <c r="H70" s="1898"/>
      <c r="I70" s="1049" t="s">
        <v>1150</v>
      </c>
      <c r="J70" s="969"/>
      <c r="K70" s="1898"/>
      <c r="L70" s="612"/>
      <c r="M70" s="2568"/>
      <c r="N70" s="732"/>
      <c r="O70" s="2022"/>
      <c r="P70" s="2022"/>
      <c r="AH70" s="2029">
        <v>0</v>
      </c>
    </row>
    <row s="24354" customFormat="1" customHeight="1" ht="0.75" hidden="1">
      <c r="A71" s="2178"/>
      <c r="B71" s="2178"/>
      <c r="C71" s="767" t="s">
        <v>1156</v>
      </c>
      <c r="D71" s="2860"/>
      <c r="E71" s="2602"/>
      <c r="F71" s="2781"/>
      <c r="G71" s="798"/>
      <c r="H71" s="1898"/>
      <c r="I71" s="1049"/>
      <c r="J71" s="969"/>
      <c r="K71" s="1898"/>
      <c r="L71" s="612"/>
      <c r="M71" s="2568"/>
      <c r="N71" s="732"/>
      <c r="O71" s="2022"/>
      <c r="P71" s="2022"/>
      <c r="AH71" s="2029">
        <v>0</v>
      </c>
    </row>
    <row s="24354" customFormat="1" customHeight="1" ht="18.75" hidden="1">
      <c r="A72" s="2178" t="s">
        <v>265</v>
      </c>
      <c r="B72" s="2178" t="s">
        <v>266</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311</v>
      </c>
      <c r="M72" s="2568"/>
      <c r="N72" s="732"/>
      <c r="O72" s="2022"/>
      <c r="P72" s="2022"/>
      <c r="AH72" s="2029">
        <v>0</v>
      </c>
    </row>
    <row s="24354" customFormat="1" customHeight="1" ht="18.75" hidden="1">
      <c r="A73" s="2178"/>
      <c r="B73" s="2178"/>
      <c r="C73" s="767" t="s">
        <v>1149</v>
      </c>
      <c r="D73" s="2860"/>
      <c r="E73" s="2602"/>
      <c r="F73" s="2781"/>
      <c r="G73" s="2825"/>
      <c r="H73" s="1898"/>
      <c r="I73" s="1049" t="s">
        <v>1150</v>
      </c>
      <c r="J73" s="969"/>
      <c r="K73" s="1898"/>
      <c r="L73" s="612"/>
      <c r="M73" s="2568"/>
      <c r="N73" s="732"/>
      <c r="O73" s="2022"/>
      <c r="P73" s="2022"/>
      <c r="AH73" s="2029">
        <v>0</v>
      </c>
    </row>
    <row s="24354" customFormat="1" customHeight="1" ht="0.75" hidden="1">
      <c r="A74" s="2178"/>
      <c r="B74" s="2178"/>
      <c r="C74" s="767" t="s">
        <v>1156</v>
      </c>
      <c r="D74" s="2860"/>
      <c r="E74" s="2602"/>
      <c r="F74" s="2781"/>
      <c r="G74" s="798"/>
      <c r="H74" s="1898"/>
      <c r="I74" s="1049"/>
      <c r="J74" s="969"/>
      <c r="K74" s="1898"/>
      <c r="L74" s="612"/>
      <c r="M74" s="2568"/>
      <c r="N74" s="732"/>
      <c r="O74" s="2022"/>
      <c r="P74" s="2022"/>
      <c r="AH74" s="2029">
        <v>0</v>
      </c>
    </row>
    <row s="24354" customFormat="1" customHeight="1" ht="18.75" hidden="1">
      <c r="A75" s="2178" t="s">
        <v>270</v>
      </c>
      <c r="B75" s="2178" t="s">
        <v>271</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311</v>
      </c>
      <c r="M75" s="2568"/>
      <c r="N75" s="732"/>
      <c r="O75" s="2022"/>
      <c r="P75" s="2022"/>
      <c r="AH75" s="2029">
        <v>0</v>
      </c>
    </row>
    <row s="24354" customFormat="1" customHeight="1" ht="18.75" hidden="1">
      <c r="A76" s="2178"/>
      <c r="B76" s="2178"/>
      <c r="C76" s="767" t="s">
        <v>1149</v>
      </c>
      <c r="D76" s="2860"/>
      <c r="E76" s="2602"/>
      <c r="F76" s="2781"/>
      <c r="G76" s="2825"/>
      <c r="H76" s="1898"/>
      <c r="I76" s="1049" t="s">
        <v>1150</v>
      </c>
      <c r="J76" s="969"/>
      <c r="K76" s="1898"/>
      <c r="L76" s="612"/>
      <c r="M76" s="2568"/>
      <c r="N76" s="732"/>
      <c r="O76" s="2022"/>
      <c r="P76" s="2022"/>
      <c r="AH76" s="2029">
        <v>0</v>
      </c>
    </row>
    <row s="24354" customFormat="1" customHeight="1" ht="0.75" hidden="1">
      <c r="A77" s="2178"/>
      <c r="B77" s="2178"/>
      <c r="C77" s="767" t="s">
        <v>1156</v>
      </c>
      <c r="D77" s="2860"/>
      <c r="E77" s="2602"/>
      <c r="F77" s="2781"/>
      <c r="G77" s="798"/>
      <c r="H77" s="1898"/>
      <c r="I77" s="1049"/>
      <c r="J77" s="969"/>
      <c r="K77" s="1898"/>
      <c r="L77" s="612"/>
      <c r="M77" s="2568"/>
      <c r="N77" s="732"/>
      <c r="O77" s="2022"/>
      <c r="P77" s="2022"/>
      <c r="AH77" s="2029">
        <v>0</v>
      </c>
    </row>
    <row s="24354" customFormat="1" customHeight="1" ht="18.75" hidden="1">
      <c r="A78" s="2178" t="s">
        <v>275</v>
      </c>
      <c r="B78" s="2178" t="s">
        <v>276</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311</v>
      </c>
      <c r="M78" s="2568"/>
      <c r="N78" s="732"/>
      <c r="O78" s="2022"/>
      <c r="P78" s="2022"/>
      <c r="AH78" s="2029">
        <v>0</v>
      </c>
    </row>
    <row s="24354" customFormat="1" customHeight="1" ht="18.75" hidden="1">
      <c r="A79" s="2178"/>
      <c r="B79" s="2178"/>
      <c r="C79" s="767" t="s">
        <v>1149</v>
      </c>
      <c r="D79" s="2860"/>
      <c r="E79" s="2602"/>
      <c r="F79" s="2781"/>
      <c r="G79" s="2825"/>
      <c r="H79" s="1898"/>
      <c r="I79" s="1049" t="s">
        <v>1150</v>
      </c>
      <c r="J79" s="969"/>
      <c r="K79" s="1898"/>
      <c r="L79" s="612"/>
      <c r="M79" s="2568"/>
      <c r="N79" s="732"/>
      <c r="O79" s="2022"/>
      <c r="P79" s="2022"/>
      <c r="AH79" s="2029">
        <v>0</v>
      </c>
    </row>
    <row s="24354" customFormat="1" customHeight="1" ht="0.75" hidden="1">
      <c r="A80" s="2178"/>
      <c r="B80" s="2178"/>
      <c r="C80" s="767" t="s">
        <v>1156</v>
      </c>
      <c r="D80" s="2860"/>
      <c r="E80" s="2602"/>
      <c r="F80" s="2781"/>
      <c r="G80" s="798"/>
      <c r="H80" s="1898"/>
      <c r="I80" s="1049"/>
      <c r="J80" s="969"/>
      <c r="K80" s="1898"/>
      <c r="L80" s="612"/>
      <c r="M80" s="2568"/>
      <c r="N80" s="732"/>
      <c r="O80" s="2022"/>
      <c r="P80" s="2022"/>
      <c r="AH80" s="2029">
        <v>0</v>
      </c>
    </row>
    <row s="24354" customFormat="1" customHeight="1" ht="18.75" hidden="1">
      <c r="A81" s="2178" t="s">
        <v>280</v>
      </c>
      <c r="B81" s="2178" t="s">
        <v>281</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311</v>
      </c>
      <c r="M81" s="2568"/>
      <c r="N81" s="732"/>
      <c r="O81" s="2022"/>
      <c r="P81" s="2022"/>
      <c r="AH81" s="2029">
        <v>0</v>
      </c>
    </row>
    <row s="24354" customFormat="1" customHeight="1" ht="18.75" hidden="1">
      <c r="A82" s="2178"/>
      <c r="B82" s="2178"/>
      <c r="C82" s="767" t="s">
        <v>1149</v>
      </c>
      <c r="D82" s="2860"/>
      <c r="E82" s="2602"/>
      <c r="F82" s="2781"/>
      <c r="G82" s="2825"/>
      <c r="H82" s="1898"/>
      <c r="I82" s="1049" t="s">
        <v>1150</v>
      </c>
      <c r="J82" s="969"/>
      <c r="K82" s="1898"/>
      <c r="L82" s="612"/>
      <c r="M82" s="2568"/>
      <c r="N82" s="732"/>
      <c r="O82" s="2022"/>
      <c r="P82" s="2022"/>
      <c r="AH82" s="2029">
        <v>0</v>
      </c>
    </row>
    <row s="24354" customFormat="1" customHeight="1" ht="1.05">
      <c r="A83" s="2178"/>
      <c r="B83" s="2178"/>
      <c r="C83" s="767" t="s">
        <v>1156</v>
      </c>
      <c r="D83" s="2860"/>
      <c r="E83" s="2602"/>
      <c r="F83" s="2781"/>
      <c r="G83" s="798"/>
      <c r="H83" s="1898"/>
      <c r="I83" s="1049"/>
      <c r="J83" s="969"/>
      <c r="K83" s="1898"/>
      <c r="L83" s="612"/>
      <c r="M83" s="2568"/>
      <c r="N83" s="732"/>
      <c r="O83" s="2022"/>
      <c r="P83" s="2022"/>
      <c r="AH83" s="2029">
        <v>1</v>
      </c>
    </row>
    <row customHeight="1" ht="19.95">
      <c r="A84" s="2178"/>
      <c r="B84" s="2178"/>
      <c r="D84" s="774"/>
      <c r="E84" s="545" t="s">
        <v>111</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6">
      <c r="A85" s="2178"/>
      <c r="B85" s="2178"/>
      <c r="D85" s="774"/>
      <c r="E85" s="797"/>
      <c r="F85" s="596" t="s">
        <v>311</v>
      </c>
      <c r="G85" s="596" t="s">
        <v>311</v>
      </c>
      <c r="H85" s="2616" t="s">
        <v>311</v>
      </c>
      <c r="I85" s="2618"/>
      <c r="J85" s="596" t="s">
        <v>311</v>
      </c>
      <c r="K85" s="596" t="s">
        <v>311</v>
      </c>
      <c r="L85" s="9122" t="s">
        <v>1157</v>
      </c>
      <c r="M85" s="743" t="s">
        <v>1158</v>
      </c>
      <c r="N85" s="732"/>
      <c r="AH85" s="772">
        <v>34</v>
      </c>
    </row>
    <row customHeight="1" ht="19.95">
      <c r="A86" s="2178"/>
      <c r="B86" s="2178"/>
      <c r="D86" s="774"/>
      <c r="E86" s="545" t="s">
        <v>91</v>
      </c>
      <c r="F86" s="2858" t="s">
        <v>1159</v>
      </c>
      <c r="G86" s="2858"/>
      <c r="H86" s="2858"/>
      <c r="I86" s="2858"/>
      <c r="J86" s="2858"/>
      <c r="K86" s="2858"/>
      <c r="L86" s="2858"/>
      <c r="M86" s="695"/>
      <c r="N86" s="732"/>
      <c r="AH86" s="772">
        <v>19</v>
      </c>
    </row>
    <row s="24354" customFormat="1" customHeight="1" ht="60.75">
      <c r="A87" s="2178" t="s">
        <v>158</v>
      </c>
      <c r="B87" s="2178" t="s">
        <v>159</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Тариф на производство и передачу тепловой энергии</v>
      </c>
      <c r="H87" s="2260"/>
      <c r="I87" s="9112">
        <v>45658.44689814815</v>
      </c>
      <c r="J87" s="16217">
        <v>51501.44665509259</v>
      </c>
      <c r="K87" s="2176">
        <v>23963241.5</v>
      </c>
      <c r="L87" s="2260" t="s">
        <v>311</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7169" customFormat="1" customHeight="1" ht="56.25">
      <c r="A88" s="9124"/>
      <c r="B88" s="9124"/>
      <c r="C88" s="9125"/>
      <c r="D88" s="9126"/>
      <c r="E88" s="9127"/>
      <c r="F88" s="9127"/>
      <c r="G88" s="9127"/>
      <c r="H88" s="9128" t="s">
        <v>430</v>
      </c>
      <c r="I88" s="9112">
        <v>45658.447384259256</v>
      </c>
      <c r="J88" s="9113">
        <v>46022.447534722225</v>
      </c>
      <c r="K88" s="9129">
        <v>922149.04674062</v>
      </c>
      <c r="L88" s="9130" t="s">
        <v>311</v>
      </c>
      <c r="M88" s="9131"/>
      <c r="N88" s="9132"/>
      <c r="O88" s="9133"/>
      <c r="P88" s="9133"/>
      <c r="Q88" s="9134"/>
      <c r="R88" s="9134"/>
      <c r="S88" s="9134"/>
      <c r="T88" s="9134"/>
      <c r="U88" s="9134"/>
      <c r="V88" s="9134"/>
      <c r="W88" s="9134"/>
      <c r="X88" s="9134"/>
      <c r="Y88" s="9134"/>
      <c r="Z88" s="9134"/>
      <c r="AA88" s="9134"/>
      <c r="AB88" s="9134"/>
      <c r="AC88" s="9134"/>
      <c r="AD88" s="9134"/>
      <c r="AE88" s="9134"/>
      <c r="AF88" s="9134"/>
      <c r="AG88" s="9134"/>
      <c r="AH88" s="9134">
        <v>0</v>
      </c>
    </row>
    <row s="27181" customFormat="1" customHeight="1" ht="56.25">
      <c r="A89" s="9124"/>
      <c r="B89" s="9124"/>
      <c r="C89" s="9125"/>
      <c r="D89" s="9126"/>
      <c r="E89" s="9127"/>
      <c r="F89" s="9127"/>
      <c r="G89" s="9127"/>
      <c r="H89" s="9128" t="s">
        <v>430</v>
      </c>
      <c r="I89" s="9112">
        <v>46023.44767361111</v>
      </c>
      <c r="J89" s="9113">
        <v>46387.44799768519</v>
      </c>
      <c r="K89" s="9129">
        <v>1069611.0890003</v>
      </c>
      <c r="L89" s="9130" t="s">
        <v>311</v>
      </c>
      <c r="M89" s="9131"/>
      <c r="N89" s="9132"/>
      <c r="O89" s="9133"/>
      <c r="P89" s="9133"/>
      <c r="Q89" s="9134"/>
      <c r="R89" s="9134"/>
      <c r="S89" s="9134"/>
      <c r="T89" s="9134"/>
      <c r="U89" s="9134"/>
      <c r="V89" s="9134"/>
      <c r="W89" s="9134"/>
      <c r="X89" s="9134"/>
      <c r="Y89" s="9134"/>
      <c r="Z89" s="9134"/>
      <c r="AA89" s="9134"/>
      <c r="AB89" s="9134"/>
      <c r="AC89" s="9134"/>
      <c r="AD89" s="9134"/>
      <c r="AE89" s="9134"/>
      <c r="AF89" s="9134"/>
      <c r="AG89" s="9134"/>
      <c r="AH89" s="9134">
        <v>0</v>
      </c>
    </row>
    <row s="27181" customFormat="1" customHeight="1" ht="56.25">
      <c r="A90" s="9124"/>
      <c r="B90" s="9124"/>
      <c r="C90" s="9125"/>
      <c r="D90" s="9126"/>
      <c r="E90" s="9127"/>
      <c r="F90" s="9127"/>
      <c r="G90" s="9127"/>
      <c r="H90" s="9128" t="s">
        <v>430</v>
      </c>
      <c r="I90" s="9112">
        <v>46388.44819444444</v>
      </c>
      <c r="J90" s="9113">
        <v>46752.44832175926</v>
      </c>
      <c r="K90" s="9129">
        <v>1144352.79793719</v>
      </c>
      <c r="L90" s="9130" t="s">
        <v>311</v>
      </c>
      <c r="M90" s="9131"/>
      <c r="N90" s="9132"/>
      <c r="O90" s="9133"/>
      <c r="P90" s="9133"/>
      <c r="Q90" s="9134"/>
      <c r="R90" s="9134"/>
      <c r="S90" s="9134"/>
      <c r="T90" s="9134"/>
      <c r="U90" s="9134"/>
      <c r="V90" s="9134"/>
      <c r="W90" s="9134"/>
      <c r="X90" s="9134"/>
      <c r="Y90" s="9134"/>
      <c r="Z90" s="9134"/>
      <c r="AA90" s="9134"/>
      <c r="AB90" s="9134"/>
      <c r="AC90" s="9134"/>
      <c r="AD90" s="9134"/>
      <c r="AE90" s="9134"/>
      <c r="AF90" s="9134"/>
      <c r="AG90" s="9134"/>
      <c r="AH90" s="9134">
        <v>0</v>
      </c>
    </row>
    <row s="27181" customFormat="1" customHeight="1" ht="56.25">
      <c r="A91" s="9124"/>
      <c r="B91" s="9124"/>
      <c r="C91" s="9125"/>
      <c r="D91" s="9126"/>
      <c r="E91" s="9127"/>
      <c r="F91" s="9127"/>
      <c r="G91" s="9127"/>
      <c r="H91" s="9128" t="s">
        <v>430</v>
      </c>
      <c r="I91" s="9112">
        <v>46753.44857638889</v>
      </c>
      <c r="J91" s="9113">
        <v>47118.4487037037</v>
      </c>
      <c r="K91" s="9129">
        <v>1287948.58648063</v>
      </c>
      <c r="L91" s="9130" t="s">
        <v>311</v>
      </c>
      <c r="M91" s="9131"/>
      <c r="N91" s="9132"/>
      <c r="O91" s="9133"/>
      <c r="P91" s="9133"/>
      <c r="Q91" s="9134"/>
      <c r="R91" s="9134"/>
      <c r="S91" s="9134"/>
      <c r="T91" s="9134"/>
      <c r="U91" s="9134"/>
      <c r="V91" s="9134"/>
      <c r="W91" s="9134"/>
      <c r="X91" s="9134"/>
      <c r="Y91" s="9134"/>
      <c r="Z91" s="9134"/>
      <c r="AA91" s="9134"/>
      <c r="AB91" s="9134"/>
      <c r="AC91" s="9134"/>
      <c r="AD91" s="9134"/>
      <c r="AE91" s="9134"/>
      <c r="AF91" s="9134"/>
      <c r="AG91" s="9134"/>
      <c r="AH91" s="9134">
        <v>0</v>
      </c>
    </row>
    <row s="27181" customFormat="1" customHeight="1" ht="56.25">
      <c r="A92" s="9124"/>
      <c r="B92" s="9124"/>
      <c r="C92" s="9125"/>
      <c r="D92" s="9126"/>
      <c r="E92" s="9127"/>
      <c r="F92" s="9127"/>
      <c r="G92" s="9127"/>
      <c r="H92" s="9128" t="s">
        <v>430</v>
      </c>
      <c r="I92" s="9112">
        <v>47119.44887731481</v>
      </c>
      <c r="J92" s="9113">
        <v>47483.44900462963</v>
      </c>
      <c r="K92" s="9129">
        <v>1363230.52062655</v>
      </c>
      <c r="L92" s="9130" t="s">
        <v>311</v>
      </c>
      <c r="M92" s="9131"/>
      <c r="N92" s="9132"/>
      <c r="O92" s="9133"/>
      <c r="P92" s="9133"/>
      <c r="Q92" s="9134"/>
      <c r="R92" s="9134"/>
      <c r="S92" s="9134"/>
      <c r="T92" s="9134"/>
      <c r="U92" s="9134"/>
      <c r="V92" s="9134"/>
      <c r="W92" s="9134"/>
      <c r="X92" s="9134"/>
      <c r="Y92" s="9134"/>
      <c r="Z92" s="9134"/>
      <c r="AA92" s="9134"/>
      <c r="AB92" s="9134"/>
      <c r="AC92" s="9134"/>
      <c r="AD92" s="9134"/>
      <c r="AE92" s="9134"/>
      <c r="AF92" s="9134"/>
      <c r="AG92" s="9134"/>
      <c r="AH92" s="9134">
        <v>0</v>
      </c>
    </row>
    <row s="27181" customFormat="1" customHeight="1" ht="56.25">
      <c r="A93" s="9124"/>
      <c r="B93" s="9124"/>
      <c r="C93" s="9125"/>
      <c r="D93" s="9126"/>
      <c r="E93" s="9127"/>
      <c r="F93" s="9127"/>
      <c r="G93" s="9127"/>
      <c r="H93" s="9128" t="s">
        <v>430</v>
      </c>
      <c r="I93" s="9112">
        <v>47484.44917824074</v>
      </c>
      <c r="J93" s="9113">
        <v>47848.449282407404</v>
      </c>
      <c r="K93" s="9129">
        <v>1450025.42434175</v>
      </c>
      <c r="L93" s="9130" t="s">
        <v>311</v>
      </c>
      <c r="M93" s="9131"/>
      <c r="N93" s="9132"/>
      <c r="O93" s="9133"/>
      <c r="P93" s="9133"/>
      <c r="Q93" s="9134"/>
      <c r="R93" s="9134"/>
      <c r="S93" s="9134"/>
      <c r="T93" s="9134"/>
      <c r="U93" s="9134"/>
      <c r="V93" s="9134"/>
      <c r="W93" s="9134"/>
      <c r="X93" s="9134"/>
      <c r="Y93" s="9134"/>
      <c r="Z93" s="9134"/>
      <c r="AA93" s="9134"/>
      <c r="AB93" s="9134"/>
      <c r="AC93" s="9134"/>
      <c r="AD93" s="9134"/>
      <c r="AE93" s="9134"/>
      <c r="AF93" s="9134"/>
      <c r="AG93" s="9134"/>
      <c r="AH93" s="9134">
        <v>0</v>
      </c>
    </row>
    <row s="27181" customFormat="1" customHeight="1" ht="56.25">
      <c r="A94" s="9124"/>
      <c r="B94" s="9124"/>
      <c r="C94" s="9125"/>
      <c r="D94" s="9126"/>
      <c r="E94" s="9127"/>
      <c r="F94" s="9127"/>
      <c r="G94" s="9127"/>
      <c r="H94" s="9128" t="s">
        <v>430</v>
      </c>
      <c r="I94" s="9112">
        <v>47849.44949074074</v>
      </c>
      <c r="J94" s="9113">
        <v>48213.44960648148</v>
      </c>
      <c r="K94" s="9129">
        <v>1519086.94714445</v>
      </c>
      <c r="L94" s="9130" t="s">
        <v>311</v>
      </c>
      <c r="M94" s="9131"/>
      <c r="N94" s="9132"/>
      <c r="O94" s="9133"/>
      <c r="P94" s="9133"/>
      <c r="Q94" s="9134"/>
      <c r="R94" s="9134"/>
      <c r="S94" s="9134"/>
      <c r="T94" s="9134"/>
      <c r="U94" s="9134"/>
      <c r="V94" s="9134"/>
      <c r="W94" s="9134"/>
      <c r="X94" s="9134"/>
      <c r="Y94" s="9134"/>
      <c r="Z94" s="9134"/>
      <c r="AA94" s="9134"/>
      <c r="AB94" s="9134"/>
      <c r="AC94" s="9134"/>
      <c r="AD94" s="9134"/>
      <c r="AE94" s="9134"/>
      <c r="AF94" s="9134"/>
      <c r="AG94" s="9134"/>
      <c r="AH94" s="9134">
        <v>0</v>
      </c>
    </row>
    <row s="27181" customFormat="1" customHeight="1" ht="56.25">
      <c r="A95" s="9124"/>
      <c r="B95" s="9124"/>
      <c r="C95" s="9125"/>
      <c r="D95" s="9126"/>
      <c r="E95" s="9127"/>
      <c r="F95" s="9127"/>
      <c r="G95" s="9127"/>
      <c r="H95" s="9128" t="s">
        <v>430</v>
      </c>
      <c r="I95" s="9112">
        <v>48214.45006944444</v>
      </c>
      <c r="J95" s="9113">
        <v>48579.45054398148</v>
      </c>
      <c r="K95" s="9129">
        <v>1553873.71891211</v>
      </c>
      <c r="L95" s="9130" t="s">
        <v>311</v>
      </c>
      <c r="M95" s="9131"/>
      <c r="N95" s="9132"/>
      <c r="O95" s="9133"/>
      <c r="P95" s="9133"/>
      <c r="Q95" s="9134"/>
      <c r="R95" s="9134"/>
      <c r="S95" s="9134"/>
      <c r="T95" s="9134"/>
      <c r="U95" s="9134"/>
      <c r="V95" s="9134"/>
      <c r="W95" s="9134"/>
      <c r="X95" s="9134"/>
      <c r="Y95" s="9134"/>
      <c r="Z95" s="9134"/>
      <c r="AA95" s="9134"/>
      <c r="AB95" s="9134"/>
      <c r="AC95" s="9134"/>
      <c r="AD95" s="9134"/>
      <c r="AE95" s="9134"/>
      <c r="AF95" s="9134"/>
      <c r="AG95" s="9134"/>
      <c r="AH95" s="9134">
        <v>0</v>
      </c>
    </row>
    <row s="27181" customFormat="1" customHeight="1" ht="56.25">
      <c r="A96" s="9124"/>
      <c r="B96" s="9124"/>
      <c r="C96" s="9125"/>
      <c r="D96" s="9126"/>
      <c r="E96" s="9127"/>
      <c r="F96" s="9127"/>
      <c r="G96" s="9127"/>
      <c r="H96" s="9128" t="s">
        <v>430</v>
      </c>
      <c r="I96" s="9112">
        <v>48580.450740740744</v>
      </c>
      <c r="J96" s="9113">
        <v>48944.45085648148</v>
      </c>
      <c r="K96" s="9129">
        <v>1587609.16315375</v>
      </c>
      <c r="L96" s="9130" t="s">
        <v>311</v>
      </c>
      <c r="M96" s="9131"/>
      <c r="N96" s="9132"/>
      <c r="O96" s="9133"/>
      <c r="P96" s="9133"/>
      <c r="Q96" s="9134"/>
      <c r="R96" s="9134"/>
      <c r="S96" s="9134"/>
      <c r="T96" s="9134"/>
      <c r="U96" s="9134"/>
      <c r="V96" s="9134"/>
      <c r="W96" s="9134"/>
      <c r="X96" s="9134"/>
      <c r="Y96" s="9134"/>
      <c r="Z96" s="9134"/>
      <c r="AA96" s="9134"/>
      <c r="AB96" s="9134"/>
      <c r="AC96" s="9134"/>
      <c r="AD96" s="9134"/>
      <c r="AE96" s="9134"/>
      <c r="AF96" s="9134"/>
      <c r="AG96" s="9134"/>
      <c r="AH96" s="9134">
        <v>0</v>
      </c>
    </row>
    <row s="27181" customFormat="1" customHeight="1" ht="56.25">
      <c r="A97" s="9124"/>
      <c r="B97" s="9124"/>
      <c r="C97" s="9125"/>
      <c r="D97" s="9126"/>
      <c r="E97" s="9127"/>
      <c r="F97" s="9127"/>
      <c r="G97" s="9127"/>
      <c r="H97" s="9128" t="s">
        <v>430</v>
      </c>
      <c r="I97" s="9112">
        <v>48945.451319444444</v>
      </c>
      <c r="J97" s="9113">
        <v>49309.45145833334</v>
      </c>
      <c r="K97" s="9129">
        <v>1619323.11836102</v>
      </c>
      <c r="L97" s="9130" t="s">
        <v>311</v>
      </c>
      <c r="M97" s="9131"/>
      <c r="N97" s="9132"/>
      <c r="O97" s="9133"/>
      <c r="P97" s="9133"/>
      <c r="Q97" s="9134"/>
      <c r="R97" s="9134"/>
      <c r="S97" s="9134"/>
      <c r="T97" s="9134"/>
      <c r="U97" s="9134"/>
      <c r="V97" s="9134"/>
      <c r="W97" s="9134"/>
      <c r="X97" s="9134"/>
      <c r="Y97" s="9134"/>
      <c r="Z97" s="9134"/>
      <c r="AA97" s="9134"/>
      <c r="AB97" s="9134"/>
      <c r="AC97" s="9134"/>
      <c r="AD97" s="9134"/>
      <c r="AE97" s="9134"/>
      <c r="AF97" s="9134"/>
      <c r="AG97" s="9134"/>
      <c r="AH97" s="9134">
        <v>0</v>
      </c>
    </row>
    <row s="27181" customFormat="1" customHeight="1" ht="56.25">
      <c r="A98" s="9124"/>
      <c r="B98" s="9124"/>
      <c r="C98" s="9125"/>
      <c r="D98" s="9126"/>
      <c r="E98" s="9127"/>
      <c r="F98" s="9127"/>
      <c r="G98" s="9127"/>
      <c r="H98" s="9128" t="s">
        <v>430</v>
      </c>
      <c r="I98" s="9112">
        <v>49310.45165509259</v>
      </c>
      <c r="J98" s="9113">
        <v>49674.45185185185</v>
      </c>
      <c r="K98" s="9129">
        <v>1651280.0061586</v>
      </c>
      <c r="L98" s="9130" t="s">
        <v>311</v>
      </c>
      <c r="M98" s="9131"/>
      <c r="N98" s="9132"/>
      <c r="O98" s="9133"/>
      <c r="P98" s="9133"/>
      <c r="Q98" s="9134"/>
      <c r="R98" s="9134"/>
      <c r="S98" s="9134"/>
      <c r="T98" s="9134"/>
      <c r="U98" s="9134"/>
      <c r="V98" s="9134"/>
      <c r="W98" s="9134"/>
      <c r="X98" s="9134"/>
      <c r="Y98" s="9134"/>
      <c r="Z98" s="9134"/>
      <c r="AA98" s="9134"/>
      <c r="AB98" s="9134"/>
      <c r="AC98" s="9134"/>
      <c r="AD98" s="9134"/>
      <c r="AE98" s="9134"/>
      <c r="AF98" s="9134"/>
      <c r="AG98" s="9134"/>
      <c r="AH98" s="9134">
        <v>0</v>
      </c>
    </row>
    <row s="27181" customFormat="1" customHeight="1" ht="56.25">
      <c r="A99" s="9124"/>
      <c r="B99" s="9124"/>
      <c r="C99" s="9125"/>
      <c r="D99" s="9126"/>
      <c r="E99" s="9127"/>
      <c r="F99" s="9127"/>
      <c r="G99" s="9127"/>
      <c r="H99" s="9128" t="s">
        <v>430</v>
      </c>
      <c r="I99" s="9112">
        <v>49675.45202546296</v>
      </c>
      <c r="J99" s="9113">
        <v>50040.452152777776</v>
      </c>
      <c r="K99" s="9129">
        <v>1688087.07911454</v>
      </c>
      <c r="L99" s="9130" t="s">
        <v>311</v>
      </c>
      <c r="M99" s="9131"/>
      <c r="N99" s="9132"/>
      <c r="O99" s="9133"/>
      <c r="P99" s="9133"/>
      <c r="Q99" s="9134"/>
      <c r="R99" s="9134"/>
      <c r="S99" s="9134"/>
      <c r="T99" s="9134"/>
      <c r="U99" s="9134"/>
      <c r="V99" s="9134"/>
      <c r="W99" s="9134"/>
      <c r="X99" s="9134"/>
      <c r="Y99" s="9134"/>
      <c r="Z99" s="9134"/>
      <c r="AA99" s="9134"/>
      <c r="AB99" s="9134"/>
      <c r="AC99" s="9134"/>
      <c r="AD99" s="9134"/>
      <c r="AE99" s="9134"/>
      <c r="AF99" s="9134"/>
      <c r="AG99" s="9134"/>
      <c r="AH99" s="9134">
        <v>0</v>
      </c>
    </row>
    <row s="27181" customFormat="1" customHeight="1" ht="56.25">
      <c r="A100" s="9124"/>
      <c r="B100" s="9124"/>
      <c r="C100" s="9125"/>
      <c r="D100" s="9126"/>
      <c r="E100" s="9127"/>
      <c r="F100" s="9127"/>
      <c r="G100" s="9127"/>
      <c r="H100" s="9128" t="s">
        <v>430</v>
      </c>
      <c r="I100" s="9112">
        <v>50041.45234953704</v>
      </c>
      <c r="J100" s="9113">
        <v>50405.452465277776</v>
      </c>
      <c r="K100" s="9129">
        <v>1720606.6030068</v>
      </c>
      <c r="L100" s="9130" t="s">
        <v>311</v>
      </c>
      <c r="M100" s="9131"/>
      <c r="N100" s="9132"/>
      <c r="O100" s="9133"/>
      <c r="P100" s="9133"/>
      <c r="Q100" s="9134"/>
      <c r="R100" s="9134"/>
      <c r="S100" s="9134"/>
      <c r="T100" s="9134"/>
      <c r="U100" s="9134"/>
      <c r="V100" s="9134"/>
      <c r="W100" s="9134"/>
      <c r="X100" s="9134"/>
      <c r="Y100" s="9134"/>
      <c r="Z100" s="9134"/>
      <c r="AA100" s="9134"/>
      <c r="AB100" s="9134"/>
      <c r="AC100" s="9134"/>
      <c r="AD100" s="9134"/>
      <c r="AE100" s="9134"/>
      <c r="AF100" s="9134"/>
      <c r="AG100" s="9134"/>
      <c r="AH100" s="9134">
        <v>0</v>
      </c>
    </row>
    <row s="27181" customFormat="1" customHeight="1" ht="56.25">
      <c r="A101" s="9124"/>
      <c r="B101" s="9124"/>
      <c r="C101" s="9125"/>
      <c r="D101" s="9126"/>
      <c r="E101" s="9127"/>
      <c r="F101" s="9127"/>
      <c r="G101" s="9127"/>
      <c r="H101" s="9128" t="s">
        <v>430</v>
      </c>
      <c r="I101" s="9112">
        <v>50406.45266203704</v>
      </c>
      <c r="J101" s="9113">
        <v>50770.4528125</v>
      </c>
      <c r="K101" s="9129">
        <v>1752769.96452343</v>
      </c>
      <c r="L101" s="9130" t="s">
        <v>311</v>
      </c>
      <c r="M101" s="9131"/>
      <c r="N101" s="9132"/>
      <c r="O101" s="9133"/>
      <c r="P101" s="9133"/>
      <c r="Q101" s="9134"/>
      <c r="R101" s="9134"/>
      <c r="S101" s="9134"/>
      <c r="T101" s="9134"/>
      <c r="U101" s="9134"/>
      <c r="V101" s="9134"/>
      <c r="W101" s="9134"/>
      <c r="X101" s="9134"/>
      <c r="Y101" s="9134"/>
      <c r="Z101" s="9134"/>
      <c r="AA101" s="9134"/>
      <c r="AB101" s="9134"/>
      <c r="AC101" s="9134"/>
      <c r="AD101" s="9134"/>
      <c r="AE101" s="9134"/>
      <c r="AF101" s="9134"/>
      <c r="AG101" s="9134"/>
      <c r="AH101" s="9134">
        <v>0</v>
      </c>
    </row>
    <row s="27181" customFormat="1" customHeight="1" ht="56.25">
      <c r="A102" s="9124"/>
      <c r="B102" s="9124"/>
      <c r="C102" s="9125"/>
      <c r="D102" s="9126"/>
      <c r="E102" s="9127"/>
      <c r="F102" s="9127"/>
      <c r="G102" s="9127"/>
      <c r="H102" s="9128" t="s">
        <v>430</v>
      </c>
      <c r="I102" s="9112">
        <v>50771.45300925926</v>
      </c>
      <c r="J102" s="9113">
        <v>51135.45311342592</v>
      </c>
      <c r="K102" s="9129">
        <v>1793929.4109852</v>
      </c>
      <c r="L102" s="9130" t="s">
        <v>311</v>
      </c>
      <c r="M102" s="9131"/>
      <c r="N102" s="9132"/>
      <c r="O102" s="9133"/>
      <c r="P102" s="9133"/>
      <c r="Q102" s="9134"/>
      <c r="R102" s="9134"/>
      <c r="S102" s="9134"/>
      <c r="T102" s="9134"/>
      <c r="U102" s="9134"/>
      <c r="V102" s="9134"/>
      <c r="W102" s="9134"/>
      <c r="X102" s="9134"/>
      <c r="Y102" s="9134"/>
      <c r="Z102" s="9134"/>
      <c r="AA102" s="9134"/>
      <c r="AB102" s="9134"/>
      <c r="AC102" s="9134"/>
      <c r="AD102" s="9134"/>
      <c r="AE102" s="9134"/>
      <c r="AF102" s="9134"/>
      <c r="AG102" s="9134"/>
      <c r="AH102" s="9134">
        <v>0</v>
      </c>
    </row>
    <row s="27181" customFormat="1" customHeight="1" ht="56.25">
      <c r="A103" s="9124"/>
      <c r="B103" s="9124"/>
      <c r="C103" s="9125"/>
      <c r="D103" s="9126"/>
      <c r="E103" s="9127"/>
      <c r="F103" s="9127"/>
      <c r="G103" s="9127"/>
      <c r="H103" s="9128" t="s">
        <v>430</v>
      </c>
      <c r="I103" s="9112">
        <v>51136.45327546296</v>
      </c>
      <c r="J103" s="9113">
        <v>51501.45342592592</v>
      </c>
      <c r="K103" s="9129">
        <v>1839358.07229285</v>
      </c>
      <c r="L103" s="9130" t="s">
        <v>311</v>
      </c>
      <c r="M103" s="9131"/>
      <c r="N103" s="9132"/>
      <c r="O103" s="9133"/>
      <c r="P103" s="9133"/>
      <c r="Q103" s="9134"/>
      <c r="R103" s="9134"/>
      <c r="S103" s="9134"/>
      <c r="T103" s="9134"/>
      <c r="U103" s="9134"/>
      <c r="V103" s="9134"/>
      <c r="W103" s="9134"/>
      <c r="X103" s="9134"/>
      <c r="Y103" s="9134"/>
      <c r="Z103" s="9134"/>
      <c r="AA103" s="9134"/>
      <c r="AB103" s="9134"/>
      <c r="AC103" s="9134"/>
      <c r="AD103" s="9134"/>
      <c r="AE103" s="9134"/>
      <c r="AF103" s="9134"/>
      <c r="AG103" s="9134"/>
      <c r="AH103" s="9134">
        <v>0</v>
      </c>
    </row>
    <row s="24354" customFormat="1" customHeight="1" ht="18.75">
      <c r="A104" s="2178"/>
      <c r="B104" s="2178"/>
      <c r="C104" s="767" t="s">
        <v>1151</v>
      </c>
      <c r="D104" s="2860"/>
      <c r="E104" s="2602"/>
      <c r="F104" s="2781"/>
      <c r="G104" s="2825"/>
      <c r="H104" s="1898"/>
      <c r="I104" s="1049" t="s">
        <v>1150</v>
      </c>
      <c r="J104" s="969"/>
      <c r="K104" s="1898"/>
      <c r="L104" s="612"/>
      <c r="M104" s="2568"/>
      <c r="N104" s="732"/>
      <c r="O104" s="2022"/>
      <c r="P104" s="2022"/>
      <c r="AH104" s="2029">
        <v>0</v>
      </c>
    </row>
    <row s="24354" customFormat="1" customHeight="1" ht="0.75">
      <c r="A105" s="2178"/>
      <c r="B105" s="2178"/>
      <c r="C105" s="767" t="s">
        <v>1160</v>
      </c>
      <c r="D105" s="2860"/>
      <c r="E105" s="2602"/>
      <c r="F105" s="2781"/>
      <c r="G105" s="798"/>
      <c r="H105" s="1898"/>
      <c r="I105" s="1049"/>
      <c r="J105" s="969"/>
      <c r="K105" s="1898"/>
      <c r="L105" s="612"/>
      <c r="M105" s="2568"/>
      <c r="N105" s="732"/>
      <c r="O105" s="2022"/>
      <c r="P105" s="2022"/>
      <c r="AH105" s="2029">
        <v>0</v>
      </c>
    </row>
    <row s="24354" customFormat="1" customHeight="1" ht="45" hidden="1">
      <c r="A106" s="2178" t="s">
        <v>168</v>
      </c>
      <c r="B106" s="2178" t="s">
        <v>169</v>
      </c>
      <c r="C106" s="767"/>
      <c r="D106" s="2860"/>
      <c r="E106" s="2602"/>
      <c r="F106" s="2781" t="str">
        <f>INDEX(PT_DIFFERENTIATION_VTAR,MATCH(A106,PT_DIFFERENTIATION_VTAR_ID,0))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6" s="2825" t="str">
        <f>INDEX(PT_DIFFERENTIATION_NTAR,MATCH(B106,PT_DIFFERENTIATION_NTAR_ID,0))</f>
        <v/>
      </c>
      <c r="H106" s="2260"/>
      <c r="I106" s="2137"/>
      <c r="J106" s="2171"/>
      <c r="K106" s="2176"/>
      <c r="L106" s="2260" t="s">
        <v>311</v>
      </c>
      <c r="M106" s="2569"/>
      <c r="N106" s="732"/>
      <c r="O106" s="2022"/>
      <c r="P106" s="2022"/>
      <c r="AH106" s="2029">
        <v>0</v>
      </c>
    </row>
    <row s="24354" customFormat="1" customHeight="1" ht="18.75" hidden="1">
      <c r="A107" s="2178"/>
      <c r="B107" s="2178"/>
      <c r="C107" s="767" t="s">
        <v>1151</v>
      </c>
      <c r="D107" s="2860"/>
      <c r="E107" s="2602"/>
      <c r="F107" s="2781"/>
      <c r="G107" s="2825"/>
      <c r="H107" s="1898"/>
      <c r="I107" s="1049" t="s">
        <v>1150</v>
      </c>
      <c r="J107" s="969"/>
      <c r="K107" s="1898"/>
      <c r="L107" s="612"/>
      <c r="M107" s="2259"/>
      <c r="N107" s="732"/>
      <c r="O107" s="2022"/>
      <c r="P107" s="2022"/>
      <c r="AH107" s="2029">
        <v>0</v>
      </c>
    </row>
    <row s="24354" customFormat="1" customHeight="1" ht="0.75" hidden="1">
      <c r="A108" s="2178"/>
      <c r="B108" s="2178"/>
      <c r="C108" s="767" t="s">
        <v>1160</v>
      </c>
      <c r="D108" s="2860"/>
      <c r="E108" s="2602"/>
      <c r="F108" s="2781"/>
      <c r="G108" s="798"/>
      <c r="H108" s="1898"/>
      <c r="I108" s="1049"/>
      <c r="J108" s="969"/>
      <c r="K108" s="1898"/>
      <c r="L108" s="612"/>
      <c r="M108" s="739"/>
      <c r="N108" s="732"/>
      <c r="O108" s="2022"/>
      <c r="P108" s="2022"/>
      <c r="AH108" s="2029">
        <v>0</v>
      </c>
    </row>
    <row s="24354" customFormat="1" customHeight="1" ht="45" hidden="1">
      <c r="A109" s="2178" t="s">
        <v>174</v>
      </c>
      <c r="B109" s="2178" t="s">
        <v>175</v>
      </c>
      <c r="C109" s="767"/>
      <c r="D109" s="2860"/>
      <c r="E109" s="2602"/>
      <c r="F109" s="2781"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2825" t="str">
        <f>INDEX(PT_DIFFERENTIATION_NTAR,MATCH(B109,PT_DIFFERENTIATION_NTAR_ID,0))</f>
        <v/>
      </c>
      <c r="H109" s="2260"/>
      <c r="I109" s="2137"/>
      <c r="J109" s="2171"/>
      <c r="K109" s="2176"/>
      <c r="L109" s="2260" t="s">
        <v>311</v>
      </c>
      <c r="M109" s="739"/>
      <c r="N109" s="732"/>
      <c r="O109" s="2022"/>
      <c r="P109" s="2022"/>
      <c r="AH109" s="2029">
        <v>0</v>
      </c>
    </row>
    <row s="24354" customFormat="1" customHeight="1" ht="18.75" hidden="1">
      <c r="A110" s="2178"/>
      <c r="B110" s="2178"/>
      <c r="C110" s="767" t="s">
        <v>1151</v>
      </c>
      <c r="D110" s="2860"/>
      <c r="E110" s="2602"/>
      <c r="F110" s="2781"/>
      <c r="G110" s="2825"/>
      <c r="H110" s="1898"/>
      <c r="I110" s="1049" t="s">
        <v>1150</v>
      </c>
      <c r="J110" s="969"/>
      <c r="K110" s="1898"/>
      <c r="L110" s="612"/>
      <c r="M110" s="739"/>
      <c r="N110" s="732"/>
      <c r="O110" s="2022"/>
      <c r="P110" s="2022"/>
      <c r="AH110" s="2029">
        <v>0</v>
      </c>
    </row>
    <row s="24354" customFormat="1" customHeight="1" ht="0.75" hidden="1">
      <c r="A111" s="2178"/>
      <c r="B111" s="2178"/>
      <c r="C111" s="767" t="s">
        <v>1160</v>
      </c>
      <c r="D111" s="2860"/>
      <c r="E111" s="2602"/>
      <c r="F111" s="2781"/>
      <c r="G111" s="798"/>
      <c r="H111" s="1898"/>
      <c r="I111" s="1049"/>
      <c r="J111" s="969"/>
      <c r="K111" s="1898"/>
      <c r="L111" s="612"/>
      <c r="M111" s="739"/>
      <c r="N111" s="732"/>
      <c r="O111" s="2022"/>
      <c r="P111" s="2022"/>
      <c r="AH111" s="2029">
        <v>0</v>
      </c>
    </row>
    <row s="24354" customFormat="1" customHeight="1" ht="45" hidden="1">
      <c r="A112" s="2178" t="s">
        <v>180</v>
      </c>
      <c r="B112" s="2178" t="s">
        <v>181</v>
      </c>
      <c r="C112" s="767"/>
      <c r="D112" s="2860"/>
      <c r="E112" s="2602"/>
      <c r="F112" s="2781"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2825" t="str">
        <f>INDEX(PT_DIFFERENTIATION_NTAR,MATCH(B112,PT_DIFFERENTIATION_NTAR_ID,0))</f>
        <v/>
      </c>
      <c r="H112" s="2260"/>
      <c r="I112" s="2137"/>
      <c r="J112" s="2171"/>
      <c r="K112" s="2176"/>
      <c r="L112" s="2260" t="s">
        <v>311</v>
      </c>
      <c r="M112" s="739"/>
      <c r="N112" s="732"/>
      <c r="O112" s="2022"/>
      <c r="P112" s="2022"/>
      <c r="AH112" s="2029">
        <v>0</v>
      </c>
    </row>
    <row s="24354" customFormat="1" customHeight="1" ht="18.75" hidden="1">
      <c r="A113" s="2178"/>
      <c r="B113" s="2178"/>
      <c r="C113" s="767" t="s">
        <v>1151</v>
      </c>
      <c r="D113" s="2860"/>
      <c r="E113" s="2602"/>
      <c r="F113" s="2781"/>
      <c r="G113" s="2825"/>
      <c r="H113" s="1898"/>
      <c r="I113" s="1049" t="s">
        <v>1150</v>
      </c>
      <c r="J113" s="969"/>
      <c r="K113" s="1898"/>
      <c r="L113" s="612"/>
      <c r="M113" s="739"/>
      <c r="N113" s="732"/>
      <c r="O113" s="2022"/>
      <c r="P113" s="2022"/>
      <c r="AH113" s="2029">
        <v>0</v>
      </c>
    </row>
    <row s="24354" customFormat="1" customHeight="1" ht="0.75" hidden="1">
      <c r="A114" s="2178"/>
      <c r="B114" s="2178"/>
      <c r="C114" s="767" t="s">
        <v>1160</v>
      </c>
      <c r="D114" s="2860"/>
      <c r="E114" s="2602"/>
      <c r="F114" s="2781"/>
      <c r="G114" s="798"/>
      <c r="H114" s="1898"/>
      <c r="I114" s="1049"/>
      <c r="J114" s="969"/>
      <c r="K114" s="1898"/>
      <c r="L114" s="612"/>
      <c r="M114" s="739"/>
      <c r="N114" s="732"/>
      <c r="O114" s="2022"/>
      <c r="P114" s="2022"/>
      <c r="AH114" s="2029">
        <v>0</v>
      </c>
    </row>
    <row s="24354" customFormat="1" customHeight="1" ht="18.75" hidden="1">
      <c r="A115" s="2178" t="s">
        <v>186</v>
      </c>
      <c r="B115" s="2178" t="s">
        <v>187</v>
      </c>
      <c r="C115" s="767"/>
      <c r="D115" s="2860"/>
      <c r="E115" s="2602"/>
      <c r="F115" s="2781" t="str">
        <f>INDEX(PT_DIFFERENTIATION_VTAR,MATCH(A115,PT_DIFFERENTIATION_VTAR_ID,0))</f>
        <v>Тарифы на услуги по передаче тепловой энергии</v>
      </c>
      <c r="G115" s="2825" t="str">
        <f>INDEX(PT_DIFFERENTIATION_NTAR,MATCH(B115,PT_DIFFERENTIATION_NTAR_ID,0))</f>
        <v/>
      </c>
      <c r="H115" s="2260"/>
      <c r="I115" s="2137"/>
      <c r="J115" s="2171"/>
      <c r="K115" s="2176"/>
      <c r="L115" s="2260" t="s">
        <v>311</v>
      </c>
      <c r="M115" s="739"/>
      <c r="N115" s="732"/>
      <c r="O115" s="2022"/>
      <c r="P115" s="2022"/>
      <c r="AH115" s="2029">
        <v>0</v>
      </c>
    </row>
    <row s="24354" customFormat="1" customHeight="1" ht="18.75" hidden="1">
      <c r="A116" s="2178"/>
      <c r="B116" s="2178"/>
      <c r="C116" s="767" t="s">
        <v>1151</v>
      </c>
      <c r="D116" s="2860"/>
      <c r="E116" s="2602"/>
      <c r="F116" s="2781"/>
      <c r="G116" s="2825"/>
      <c r="H116" s="1898"/>
      <c r="I116" s="1049" t="s">
        <v>1150</v>
      </c>
      <c r="J116" s="969"/>
      <c r="K116" s="1898"/>
      <c r="L116" s="612"/>
      <c r="M116" s="739"/>
      <c r="N116" s="732"/>
      <c r="O116" s="2022"/>
      <c r="P116" s="2022"/>
      <c r="AH116" s="2029">
        <v>0</v>
      </c>
    </row>
    <row s="24354" customFormat="1" customHeight="1" ht="0.75" hidden="1">
      <c r="A117" s="2178"/>
      <c r="B117" s="2178"/>
      <c r="C117" s="767" t="s">
        <v>1160</v>
      </c>
      <c r="D117" s="2860"/>
      <c r="E117" s="2602"/>
      <c r="F117" s="2781"/>
      <c r="G117" s="798"/>
      <c r="H117" s="1898"/>
      <c r="I117" s="1049"/>
      <c r="J117" s="969"/>
      <c r="K117" s="1898"/>
      <c r="L117" s="612"/>
      <c r="M117" s="739"/>
      <c r="N117" s="732"/>
      <c r="O117" s="2022"/>
      <c r="P117" s="2022"/>
      <c r="AH117" s="2029">
        <v>0</v>
      </c>
    </row>
    <row s="24354" customFormat="1" customHeight="1" ht="18.75" hidden="1">
      <c r="A118" s="2178" t="s">
        <v>192</v>
      </c>
      <c r="B118" s="2178" t="s">
        <v>193</v>
      </c>
      <c r="C118" s="767"/>
      <c r="D118" s="2860"/>
      <c r="E118" s="2602"/>
      <c r="F118" s="2781" t="str">
        <f>INDEX(PT_DIFFERENTIATION_VTAR,MATCH(A118,PT_DIFFERENTIATION_VTAR_ID,0))</f>
        <v>Тарифы на услуги по передаче теплоносителя</v>
      </c>
      <c r="G118" s="2825" t="str">
        <f>INDEX(PT_DIFFERENTIATION_NTAR,MATCH(B118,PT_DIFFERENTIATION_NTAR_ID,0))</f>
        <v/>
      </c>
      <c r="H118" s="2260"/>
      <c r="I118" s="2137"/>
      <c r="J118" s="2171"/>
      <c r="K118" s="2176"/>
      <c r="L118" s="2260" t="s">
        <v>311</v>
      </c>
      <c r="M118" s="739"/>
      <c r="N118" s="732"/>
      <c r="O118" s="2022"/>
      <c r="P118" s="2022"/>
      <c r="AH118" s="2029">
        <v>0</v>
      </c>
    </row>
    <row s="24354" customFormat="1" customHeight="1" ht="18.75" hidden="1">
      <c r="A119" s="2178"/>
      <c r="B119" s="2178"/>
      <c r="C119" s="767" t="s">
        <v>1151</v>
      </c>
      <c r="D119" s="2860"/>
      <c r="E119" s="2602"/>
      <c r="F119" s="2781"/>
      <c r="G119" s="2825"/>
      <c r="H119" s="1898"/>
      <c r="I119" s="1049" t="s">
        <v>1150</v>
      </c>
      <c r="J119" s="969"/>
      <c r="K119" s="1898"/>
      <c r="L119" s="612"/>
      <c r="M119" s="739"/>
      <c r="N119" s="732"/>
      <c r="O119" s="2022"/>
      <c r="P119" s="2022"/>
      <c r="AH119" s="2029">
        <v>0</v>
      </c>
    </row>
    <row s="24354" customFormat="1" customHeight="1" ht="0.75" hidden="1">
      <c r="A120" s="2178"/>
      <c r="B120" s="2178"/>
      <c r="C120" s="767" t="s">
        <v>1160</v>
      </c>
      <c r="D120" s="2860"/>
      <c r="E120" s="2602"/>
      <c r="F120" s="2781"/>
      <c r="G120" s="798"/>
      <c r="H120" s="1898"/>
      <c r="I120" s="1049"/>
      <c r="J120" s="969"/>
      <c r="K120" s="1898"/>
      <c r="L120" s="612"/>
      <c r="M120" s="739"/>
      <c r="N120" s="732"/>
      <c r="O120" s="2022"/>
      <c r="P120" s="2022"/>
      <c r="AH120" s="2029">
        <v>0</v>
      </c>
    </row>
    <row s="24354" customFormat="1" customHeight="1" ht="18.75" hidden="1">
      <c r="A121" s="2178" t="s">
        <v>198</v>
      </c>
      <c r="B121" s="2178" t="s">
        <v>199</v>
      </c>
      <c r="C121" s="767"/>
      <c r="D121" s="2860"/>
      <c r="E121" s="2602"/>
      <c r="F121" s="2781"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825" t="str">
        <f>INDEX(PT_DIFFERENTIATION_NTAR,MATCH(B121,PT_DIFFERENTIATION_NTAR_ID,0))</f>
        <v/>
      </c>
      <c r="H121" s="2260"/>
      <c r="I121" s="2137"/>
      <c r="J121" s="2171"/>
      <c r="K121" s="2176"/>
      <c r="L121" s="2260" t="s">
        <v>311</v>
      </c>
      <c r="M121" s="739"/>
      <c r="N121" s="732"/>
      <c r="O121" s="2022"/>
      <c r="P121" s="2022"/>
      <c r="AH121" s="2029">
        <v>0</v>
      </c>
    </row>
    <row s="24354" customFormat="1" customHeight="1" ht="18.75" hidden="1">
      <c r="A122" s="2178"/>
      <c r="B122" s="2178"/>
      <c r="C122" s="767" t="s">
        <v>1151</v>
      </c>
      <c r="D122" s="2860"/>
      <c r="E122" s="2602"/>
      <c r="F122" s="2781"/>
      <c r="G122" s="2825"/>
      <c r="H122" s="1898"/>
      <c r="I122" s="1049" t="s">
        <v>1150</v>
      </c>
      <c r="J122" s="969"/>
      <c r="K122" s="1898"/>
      <c r="L122" s="612"/>
      <c r="M122" s="739"/>
      <c r="N122" s="732"/>
      <c r="O122" s="2022"/>
      <c r="P122" s="2022"/>
      <c r="AH122" s="2029">
        <v>0</v>
      </c>
    </row>
    <row s="24354" customFormat="1" customHeight="1" ht="0.75" hidden="1">
      <c r="A123" s="2178"/>
      <c r="B123" s="2178"/>
      <c r="C123" s="767" t="s">
        <v>1160</v>
      </c>
      <c r="D123" s="2860"/>
      <c r="E123" s="2602"/>
      <c r="F123" s="2781"/>
      <c r="G123" s="798"/>
      <c r="H123" s="1898"/>
      <c r="I123" s="1049"/>
      <c r="J123" s="969"/>
      <c r="K123" s="1898"/>
      <c r="L123" s="612"/>
      <c r="M123" s="739"/>
      <c r="N123" s="732"/>
      <c r="O123" s="2022"/>
      <c r="P123" s="2022"/>
      <c r="AH123" s="2029">
        <v>0</v>
      </c>
    </row>
    <row s="24354" customFormat="1" customHeight="1" ht="18.75" hidden="1">
      <c r="A124" s="2178" t="s">
        <v>204</v>
      </c>
      <c r="B124" s="2178" t="s">
        <v>205</v>
      </c>
      <c r="C124" s="767"/>
      <c r="D124" s="2860"/>
      <c r="E124" s="2602"/>
      <c r="F124" s="2781" t="str">
        <f>INDEX(PT_DIFFERENTIATION_VTAR,MATCH(A124,PT_DIFFERENTIATION_VTAR_ID,0))</f>
        <v>Плата за подключение (технологическое присоединение) к системе теплоснабжения</v>
      </c>
      <c r="G124" s="2825" t="str">
        <f>INDEX(PT_DIFFERENTIATION_NTAR,MATCH(B124,PT_DIFFERENTIATION_NTAR_ID,0))</f>
        <v/>
      </c>
      <c r="H124" s="2260"/>
      <c r="I124" s="2137"/>
      <c r="J124" s="2171"/>
      <c r="K124" s="2176"/>
      <c r="L124" s="2260" t="s">
        <v>311</v>
      </c>
      <c r="M124" s="739"/>
      <c r="N124" s="732"/>
      <c r="O124" s="2022"/>
      <c r="P124" s="2022"/>
      <c r="AH124" s="2029">
        <v>0</v>
      </c>
    </row>
    <row s="24354" customFormat="1" customHeight="1" ht="18.75" hidden="1">
      <c r="A125" s="2178"/>
      <c r="B125" s="2178"/>
      <c r="C125" s="767" t="s">
        <v>1151</v>
      </c>
      <c r="D125" s="2860"/>
      <c r="E125" s="2602"/>
      <c r="F125" s="2781"/>
      <c r="G125" s="2825"/>
      <c r="H125" s="1898"/>
      <c r="I125" s="1049" t="s">
        <v>1150</v>
      </c>
      <c r="J125" s="969"/>
      <c r="K125" s="1898"/>
      <c r="L125" s="612"/>
      <c r="M125" s="739"/>
      <c r="N125" s="732"/>
      <c r="O125" s="2022"/>
      <c r="P125" s="2022"/>
      <c r="AH125" s="2029">
        <v>0</v>
      </c>
    </row>
    <row s="24354" customFormat="1" customHeight="1" ht="0.75" hidden="1">
      <c r="A126" s="2178"/>
      <c r="B126" s="2178"/>
      <c r="C126" s="767" t="s">
        <v>1160</v>
      </c>
      <c r="D126" s="2860"/>
      <c r="E126" s="2602"/>
      <c r="F126" s="2781"/>
      <c r="G126" s="798"/>
      <c r="H126" s="1898"/>
      <c r="I126" s="1049"/>
      <c r="J126" s="969"/>
      <c r="K126" s="1898"/>
      <c r="L126" s="612"/>
      <c r="M126" s="739"/>
      <c r="N126" s="732"/>
      <c r="O126" s="2022"/>
      <c r="P126" s="2022"/>
      <c r="AH126" s="2029">
        <v>0</v>
      </c>
    </row>
    <row s="24354" customFormat="1" customHeight="1" ht="18.75" hidden="1">
      <c r="A127" s="2178" t="s">
        <v>210</v>
      </c>
      <c r="B127" s="2178" t="s">
        <v>211</v>
      </c>
      <c r="C127" s="767"/>
      <c r="D127" s="2860"/>
      <c r="E127" s="2602"/>
      <c r="F127" s="2781" t="str">
        <f>INDEX(PT_DIFFERENTIATION_VTAR,MATCH(A127,PT_DIFFERENTIATION_VTAR_ID,0))</f>
        <v>Плата за подключение (технологическое присоединение) к системе теплоснабжения (индивидуальная)</v>
      </c>
      <c r="G127" s="2825" t="str">
        <f>INDEX(PT_DIFFERENTIATION_NTAR,MATCH(B127,PT_DIFFERENTIATION_NTAR_ID,0))</f>
        <v/>
      </c>
      <c r="H127" s="2387"/>
      <c r="I127" s="2137"/>
      <c r="J127" s="2171"/>
      <c r="K127" s="2176"/>
      <c r="L127" s="2387" t="s">
        <v>311</v>
      </c>
      <c r="M127" s="739"/>
      <c r="N127" s="732"/>
      <c r="O127" s="2022"/>
      <c r="P127" s="2022"/>
      <c r="AH127" s="2029">
        <v>0</v>
      </c>
    </row>
    <row s="24354" customFormat="1" customHeight="1" ht="18.75" hidden="1">
      <c r="A128" s="2178"/>
      <c r="B128" s="2178"/>
      <c r="C128" s="767" t="s">
        <v>1151</v>
      </c>
      <c r="D128" s="2860"/>
      <c r="E128" s="2602"/>
      <c r="F128" s="2781"/>
      <c r="G128" s="2825"/>
      <c r="H128" s="1898"/>
      <c r="I128" s="1049" t="s">
        <v>1150</v>
      </c>
      <c r="J128" s="969"/>
      <c r="K128" s="1898"/>
      <c r="L128" s="612"/>
      <c r="M128" s="739"/>
      <c r="N128" s="732"/>
      <c r="O128" s="2022"/>
      <c r="P128" s="2022"/>
      <c r="AH128" s="2029">
        <v>0</v>
      </c>
    </row>
    <row s="24354" customFormat="1" customHeight="1" ht="0.75" hidden="1">
      <c r="A129" s="2178"/>
      <c r="B129" s="2178"/>
      <c r="C129" s="767" t="s">
        <v>1160</v>
      </c>
      <c r="D129" s="2860"/>
      <c r="E129" s="2602"/>
      <c r="F129" s="2781"/>
      <c r="G129" s="798"/>
      <c r="H129" s="1898"/>
      <c r="I129" s="1049"/>
      <c r="J129" s="969"/>
      <c r="K129" s="1898"/>
      <c r="L129" s="612"/>
      <c r="M129" s="739"/>
      <c r="N129" s="732"/>
      <c r="O129" s="2022"/>
      <c r="P129" s="2022"/>
      <c r="AH129" s="2029">
        <v>0</v>
      </c>
    </row>
    <row s="24354" customFormat="1" customHeight="1" ht="18.75" hidden="1">
      <c r="A130" s="2178" t="s">
        <v>230</v>
      </c>
      <c r="B130" s="2178" t="s">
        <v>231</v>
      </c>
      <c r="C130" s="767"/>
      <c r="D130" s="2860"/>
      <c r="E130" s="2602"/>
      <c r="F130" s="2781" t="str">
        <f>INDEX(PT_DIFFERENTIATION_VTAR,MATCH(A130,PT_DIFFERENTIATION_VTAR_ID,0))</f>
        <v>Тариф на питьевую воду (питьевое водоснабжение)</v>
      </c>
      <c r="G130" s="2825" t="str">
        <f>INDEX(PT_DIFFERENTIATION_NTAR,MATCH(B130,PT_DIFFERENTIATION_NTAR_ID,0))</f>
        <v/>
      </c>
      <c r="H130" s="2260"/>
      <c r="I130" s="2137"/>
      <c r="J130" s="2171"/>
      <c r="K130" s="2176"/>
      <c r="L130" s="2260" t="s">
        <v>311</v>
      </c>
      <c r="M130" s="739"/>
      <c r="N130" s="732"/>
      <c r="O130" s="2022"/>
      <c r="P130" s="2022"/>
      <c r="AH130" s="2029">
        <v>0</v>
      </c>
    </row>
    <row s="24354" customFormat="1" customHeight="1" ht="18.75" hidden="1">
      <c r="A131" s="2178"/>
      <c r="B131" s="2178"/>
      <c r="C131" s="767" t="s">
        <v>1151</v>
      </c>
      <c r="D131" s="2860"/>
      <c r="E131" s="2602"/>
      <c r="F131" s="2781"/>
      <c r="G131" s="2825"/>
      <c r="H131" s="1898"/>
      <c r="I131" s="1049" t="s">
        <v>1150</v>
      </c>
      <c r="J131" s="969"/>
      <c r="K131" s="1898"/>
      <c r="L131" s="612"/>
      <c r="M131" s="739"/>
      <c r="N131" s="732"/>
      <c r="O131" s="2022"/>
      <c r="P131" s="2022"/>
      <c r="AH131" s="2029">
        <v>0</v>
      </c>
    </row>
    <row s="24354" customFormat="1" customHeight="1" ht="0.75" hidden="1">
      <c r="A132" s="2178"/>
      <c r="B132" s="2178"/>
      <c r="C132" s="767" t="s">
        <v>1160</v>
      </c>
      <c r="D132" s="2860"/>
      <c r="E132" s="2602"/>
      <c r="F132" s="2781"/>
      <c r="G132" s="798"/>
      <c r="H132" s="1898"/>
      <c r="I132" s="1049"/>
      <c r="J132" s="969"/>
      <c r="K132" s="1898"/>
      <c r="L132" s="612"/>
      <c r="M132" s="739"/>
      <c r="N132" s="732"/>
      <c r="O132" s="2022"/>
      <c r="P132" s="2022"/>
      <c r="AH132" s="2029">
        <v>0</v>
      </c>
    </row>
    <row s="24354" customFormat="1" customHeight="1" ht="18.75" hidden="1">
      <c r="A133" s="2178" t="s">
        <v>235</v>
      </c>
      <c r="B133" s="2178" t="s">
        <v>236</v>
      </c>
      <c r="C133" s="767"/>
      <c r="D133" s="2860"/>
      <c r="E133" s="2602"/>
      <c r="F133" s="2781" t="str">
        <f>INDEX(PT_DIFFERENTIATION_VTAR,MATCH(A133,PT_DIFFERENTIATION_VTAR_ID,0))</f>
        <v>Тариф на техническую воду</v>
      </c>
      <c r="G133" s="2825" t="str">
        <f>INDEX(PT_DIFFERENTIATION_NTAR,MATCH(B133,PT_DIFFERENTIATION_NTAR_ID,0))</f>
        <v/>
      </c>
      <c r="H133" s="2260"/>
      <c r="I133" s="2137"/>
      <c r="J133" s="2171"/>
      <c r="K133" s="2176"/>
      <c r="L133" s="2260" t="s">
        <v>311</v>
      </c>
      <c r="M133" s="739"/>
      <c r="N133" s="732"/>
      <c r="O133" s="2022"/>
      <c r="P133" s="2022"/>
      <c r="AH133" s="2029">
        <v>0</v>
      </c>
    </row>
    <row s="24354" customFormat="1" customHeight="1" ht="18.75" hidden="1">
      <c r="A134" s="2178"/>
      <c r="B134" s="2178"/>
      <c r="C134" s="767" t="s">
        <v>1151</v>
      </c>
      <c r="D134" s="2860"/>
      <c r="E134" s="2602"/>
      <c r="F134" s="2781"/>
      <c r="G134" s="2825"/>
      <c r="H134" s="1898"/>
      <c r="I134" s="1049" t="s">
        <v>1150</v>
      </c>
      <c r="J134" s="969"/>
      <c r="K134" s="1898"/>
      <c r="L134" s="612"/>
      <c r="M134" s="739"/>
      <c r="N134" s="732"/>
      <c r="O134" s="2022"/>
      <c r="P134" s="2022"/>
      <c r="AH134" s="2029">
        <v>0</v>
      </c>
    </row>
    <row s="24354" customFormat="1" customHeight="1" ht="0.75" hidden="1">
      <c r="A135" s="2178"/>
      <c r="B135" s="2178"/>
      <c r="C135" s="767" t="s">
        <v>1160</v>
      </c>
      <c r="D135" s="2860"/>
      <c r="E135" s="2602"/>
      <c r="F135" s="2781"/>
      <c r="G135" s="798"/>
      <c r="H135" s="1898"/>
      <c r="I135" s="1049"/>
      <c r="J135" s="969"/>
      <c r="K135" s="1898"/>
      <c r="L135" s="612"/>
      <c r="M135" s="739"/>
      <c r="N135" s="732"/>
      <c r="O135" s="2022"/>
      <c r="P135" s="2022"/>
      <c r="AH135" s="2029">
        <v>0</v>
      </c>
    </row>
    <row s="24354" customFormat="1" customHeight="1" ht="18.75" hidden="1">
      <c r="A136" s="2178" t="s">
        <v>240</v>
      </c>
      <c r="B136" s="2178" t="s">
        <v>241</v>
      </c>
      <c r="C136" s="767"/>
      <c r="D136" s="2860"/>
      <c r="E136" s="2602"/>
      <c r="F136" s="2781" t="str">
        <f>INDEX(PT_DIFFERENTIATION_VTAR,MATCH(A136,PT_DIFFERENTIATION_VTAR_ID,0))</f>
        <v>Тариф на транспортировку воды</v>
      </c>
      <c r="G136" s="2825" t="str">
        <f>INDEX(PT_DIFFERENTIATION_NTAR,MATCH(B136,PT_DIFFERENTIATION_NTAR_ID,0))</f>
        <v/>
      </c>
      <c r="H136" s="2260"/>
      <c r="I136" s="2137"/>
      <c r="J136" s="2171"/>
      <c r="K136" s="2176"/>
      <c r="L136" s="2260" t="s">
        <v>311</v>
      </c>
      <c r="M136" s="739"/>
      <c r="N136" s="732"/>
      <c r="O136" s="2022"/>
      <c r="P136" s="2022"/>
      <c r="AH136" s="2029">
        <v>0</v>
      </c>
    </row>
    <row s="24354" customFormat="1" customHeight="1" ht="18.75" hidden="1">
      <c r="A137" s="2178"/>
      <c r="B137" s="2178"/>
      <c r="C137" s="767" t="s">
        <v>1151</v>
      </c>
      <c r="D137" s="2860"/>
      <c r="E137" s="2602"/>
      <c r="F137" s="2781"/>
      <c r="G137" s="2825"/>
      <c r="H137" s="1898"/>
      <c r="I137" s="1049" t="s">
        <v>1150</v>
      </c>
      <c r="J137" s="969"/>
      <c r="K137" s="1898"/>
      <c r="L137" s="612"/>
      <c r="M137" s="739"/>
      <c r="N137" s="732"/>
      <c r="O137" s="2022"/>
      <c r="P137" s="2022"/>
      <c r="AH137" s="2029">
        <v>0</v>
      </c>
    </row>
    <row s="24354" customFormat="1" customHeight="1" ht="0.75" hidden="1">
      <c r="A138" s="2178"/>
      <c r="B138" s="2178"/>
      <c r="C138" s="767" t="s">
        <v>1160</v>
      </c>
      <c r="D138" s="2860"/>
      <c r="E138" s="2602"/>
      <c r="F138" s="2781"/>
      <c r="G138" s="798"/>
      <c r="H138" s="1898"/>
      <c r="I138" s="1049"/>
      <c r="J138" s="969"/>
      <c r="K138" s="1898"/>
      <c r="L138" s="612"/>
      <c r="M138" s="739"/>
      <c r="N138" s="732"/>
      <c r="O138" s="2022"/>
      <c r="P138" s="2022"/>
      <c r="AH138" s="2029">
        <v>0</v>
      </c>
    </row>
    <row s="24354" customFormat="1" customHeight="1" ht="18.75" hidden="1">
      <c r="A139" s="2178" t="s">
        <v>245</v>
      </c>
      <c r="B139" s="2178" t="s">
        <v>246</v>
      </c>
      <c r="C139" s="767"/>
      <c r="D139" s="2860"/>
      <c r="E139" s="2602"/>
      <c r="F139" s="2781" t="str">
        <f>INDEX(PT_DIFFERENTIATION_VTAR,MATCH(A139,PT_DIFFERENTIATION_VTAR_ID,0))</f>
        <v>Тариф на подвоз воды</v>
      </c>
      <c r="G139" s="2825" t="str">
        <f>INDEX(PT_DIFFERENTIATION_NTAR,MATCH(B139,PT_DIFFERENTIATION_NTAR_ID,0))</f>
        <v/>
      </c>
      <c r="H139" s="2260"/>
      <c r="I139" s="2137"/>
      <c r="J139" s="2171"/>
      <c r="K139" s="2176"/>
      <c r="L139" s="2260" t="s">
        <v>311</v>
      </c>
      <c r="M139" s="739"/>
      <c r="N139" s="732"/>
      <c r="O139" s="2022"/>
      <c r="P139" s="2022"/>
      <c r="AH139" s="2029">
        <v>0</v>
      </c>
    </row>
    <row s="24354" customFormat="1" customHeight="1" ht="18.75" hidden="1">
      <c r="A140" s="2178"/>
      <c r="B140" s="2178"/>
      <c r="C140" s="767" t="s">
        <v>1151</v>
      </c>
      <c r="D140" s="2860"/>
      <c r="E140" s="2602"/>
      <c r="F140" s="2781"/>
      <c r="G140" s="2825"/>
      <c r="H140" s="1898"/>
      <c r="I140" s="1049" t="s">
        <v>1150</v>
      </c>
      <c r="J140" s="969"/>
      <c r="K140" s="1898"/>
      <c r="L140" s="612"/>
      <c r="M140" s="739"/>
      <c r="N140" s="732"/>
      <c r="O140" s="2022"/>
      <c r="P140" s="2022"/>
      <c r="AH140" s="2029">
        <v>0</v>
      </c>
    </row>
    <row s="24354" customFormat="1" customHeight="1" ht="0.75" hidden="1">
      <c r="A141" s="2178"/>
      <c r="B141" s="2178"/>
      <c r="C141" s="767" t="s">
        <v>1160</v>
      </c>
      <c r="D141" s="2860"/>
      <c r="E141" s="2602"/>
      <c r="F141" s="2781"/>
      <c r="G141" s="798"/>
      <c r="H141" s="1898"/>
      <c r="I141" s="1049"/>
      <c r="J141" s="969"/>
      <c r="K141" s="1898"/>
      <c r="L141" s="612"/>
      <c r="M141" s="739"/>
      <c r="N141" s="732"/>
      <c r="O141" s="2022"/>
      <c r="P141" s="2022"/>
      <c r="AH141" s="2029">
        <v>0</v>
      </c>
    </row>
    <row s="24354" customFormat="1" customHeight="1" ht="18.75" hidden="1">
      <c r="A142" s="2178" t="s">
        <v>250</v>
      </c>
      <c r="B142" s="2178" t="s">
        <v>251</v>
      </c>
      <c r="C142" s="767"/>
      <c r="D142" s="2860"/>
      <c r="E142" s="2602"/>
      <c r="F142" s="2781"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825" t="str">
        <f>INDEX(PT_DIFFERENTIATION_NTAR,MATCH(B142,PT_DIFFERENTIATION_NTAR_ID,0))</f>
        <v/>
      </c>
      <c r="H142" s="2260"/>
      <c r="I142" s="2137"/>
      <c r="J142" s="2171"/>
      <c r="K142" s="2176"/>
      <c r="L142" s="2260" t="s">
        <v>311</v>
      </c>
      <c r="M142" s="739"/>
      <c r="N142" s="732"/>
      <c r="O142" s="2022"/>
      <c r="P142" s="2022"/>
      <c r="AH142" s="2029">
        <v>0</v>
      </c>
    </row>
    <row s="24354" customFormat="1" customHeight="1" ht="18.75" hidden="1">
      <c r="A143" s="2178"/>
      <c r="B143" s="2178"/>
      <c r="C143" s="767" t="s">
        <v>1151</v>
      </c>
      <c r="D143" s="2860"/>
      <c r="E143" s="2602"/>
      <c r="F143" s="2781"/>
      <c r="G143" s="2825"/>
      <c r="H143" s="1898"/>
      <c r="I143" s="1049" t="s">
        <v>1150</v>
      </c>
      <c r="J143" s="969"/>
      <c r="K143" s="1898"/>
      <c r="L143" s="612"/>
      <c r="M143" s="739"/>
      <c r="N143" s="732"/>
      <c r="O143" s="2022"/>
      <c r="P143" s="2022"/>
      <c r="AH143" s="2029">
        <v>0</v>
      </c>
    </row>
    <row s="24354" customFormat="1" customHeight="1" ht="0.75" hidden="1">
      <c r="A144" s="2178"/>
      <c r="B144" s="2178"/>
      <c r="C144" s="767" t="s">
        <v>1160</v>
      </c>
      <c r="D144" s="2860"/>
      <c r="E144" s="2602"/>
      <c r="F144" s="2781"/>
      <c r="G144" s="798"/>
      <c r="H144" s="1898"/>
      <c r="I144" s="1049"/>
      <c r="J144" s="969"/>
      <c r="K144" s="1898"/>
      <c r="L144" s="612"/>
      <c r="M144" s="739"/>
      <c r="N144" s="732"/>
      <c r="O144" s="2022"/>
      <c r="P144" s="2022"/>
      <c r="AH144" s="2029">
        <v>0</v>
      </c>
    </row>
    <row s="24354" customFormat="1" customHeight="1" ht="18.75" hidden="1">
      <c r="A145" s="2178" t="s">
        <v>255</v>
      </c>
      <c r="B145" s="2178" t="s">
        <v>256</v>
      </c>
      <c r="C145" s="767"/>
      <c r="D145" s="2860"/>
      <c r="E145" s="2602"/>
      <c r="F145" s="2781" t="str">
        <f>INDEX(PT_DIFFERENTIATION_VTAR,MATCH(A145,PT_DIFFERENTIATION_VTAR_ID,0))</f>
        <v>Тариф на горячую воду (горячее водоснабжение)</v>
      </c>
      <c r="G145" s="2825" t="str">
        <f>INDEX(PT_DIFFERENTIATION_NTAR,MATCH(B145,PT_DIFFERENTIATION_NTAR_ID,0))</f>
        <v/>
      </c>
      <c r="H145" s="2260"/>
      <c r="I145" s="2137"/>
      <c r="J145" s="2171"/>
      <c r="K145" s="2176"/>
      <c r="L145" s="2260" t="s">
        <v>311</v>
      </c>
      <c r="M145" s="739"/>
      <c r="N145" s="732"/>
      <c r="O145" s="2022"/>
      <c r="P145" s="2022"/>
      <c r="AH145" s="2029">
        <v>0</v>
      </c>
    </row>
    <row s="24354" customFormat="1" customHeight="1" ht="18.75" hidden="1">
      <c r="A146" s="2178"/>
      <c r="B146" s="2178"/>
      <c r="C146" s="767" t="s">
        <v>1151</v>
      </c>
      <c r="D146" s="2860"/>
      <c r="E146" s="2602"/>
      <c r="F146" s="2781"/>
      <c r="G146" s="2825"/>
      <c r="H146" s="1898"/>
      <c r="I146" s="1049" t="s">
        <v>1150</v>
      </c>
      <c r="J146" s="969"/>
      <c r="K146" s="1898"/>
      <c r="L146" s="612"/>
      <c r="M146" s="739"/>
      <c r="N146" s="732"/>
      <c r="O146" s="2022"/>
      <c r="P146" s="2022"/>
      <c r="AH146" s="2029">
        <v>0</v>
      </c>
    </row>
    <row s="24354" customFormat="1" customHeight="1" ht="0.75" hidden="1">
      <c r="A147" s="2178"/>
      <c r="B147" s="2178"/>
      <c r="C147" s="767" t="s">
        <v>1160</v>
      </c>
      <c r="D147" s="2860"/>
      <c r="E147" s="2602"/>
      <c r="F147" s="2781"/>
      <c r="G147" s="798"/>
      <c r="H147" s="1898"/>
      <c r="I147" s="1049"/>
      <c r="J147" s="969"/>
      <c r="K147" s="1898"/>
      <c r="L147" s="612"/>
      <c r="M147" s="739"/>
      <c r="N147" s="732"/>
      <c r="O147" s="2022"/>
      <c r="P147" s="2022"/>
      <c r="AH147" s="2029">
        <v>0</v>
      </c>
    </row>
    <row s="24354" customFormat="1" customHeight="1" ht="18.75" hidden="1">
      <c r="A148" s="2178" t="s">
        <v>260</v>
      </c>
      <c r="B148" s="2178" t="s">
        <v>261</v>
      </c>
      <c r="C148" s="767"/>
      <c r="D148" s="2860"/>
      <c r="E148" s="2602"/>
      <c r="F148" s="2781" t="str">
        <f>INDEX(PT_DIFFERENTIATION_VTAR,MATCH(A148,PT_DIFFERENTIATION_VTAR_ID,0))</f>
        <v>Тариф на транспортировку горячей воды</v>
      </c>
      <c r="G148" s="2825" t="str">
        <f>INDEX(PT_DIFFERENTIATION_NTAR,MATCH(B148,PT_DIFFERENTIATION_NTAR_ID,0))</f>
        <v/>
      </c>
      <c r="H148" s="2260"/>
      <c r="I148" s="2137"/>
      <c r="J148" s="2171"/>
      <c r="K148" s="2176"/>
      <c r="L148" s="2260" t="s">
        <v>311</v>
      </c>
      <c r="M148" s="739"/>
      <c r="N148" s="732"/>
      <c r="O148" s="2022"/>
      <c r="P148" s="2022"/>
      <c r="AH148" s="2029">
        <v>0</v>
      </c>
    </row>
    <row s="24354" customFormat="1" customHeight="1" ht="18.75" hidden="1">
      <c r="A149" s="2178"/>
      <c r="B149" s="2178"/>
      <c r="C149" s="767" t="s">
        <v>1151</v>
      </c>
      <c r="D149" s="2860"/>
      <c r="E149" s="2602"/>
      <c r="F149" s="2781"/>
      <c r="G149" s="2825"/>
      <c r="H149" s="1898"/>
      <c r="I149" s="1049" t="s">
        <v>1150</v>
      </c>
      <c r="J149" s="969"/>
      <c r="K149" s="1898"/>
      <c r="L149" s="612"/>
      <c r="M149" s="739"/>
      <c r="N149" s="732"/>
      <c r="O149" s="2022"/>
      <c r="P149" s="2022"/>
      <c r="AH149" s="2029">
        <v>0</v>
      </c>
    </row>
    <row s="24354" customFormat="1" customHeight="1" ht="0.75" hidden="1">
      <c r="A150" s="2178"/>
      <c r="B150" s="2178"/>
      <c r="C150" s="767" t="s">
        <v>1160</v>
      </c>
      <c r="D150" s="2860"/>
      <c r="E150" s="2602"/>
      <c r="F150" s="2781"/>
      <c r="G150" s="798"/>
      <c r="H150" s="1898"/>
      <c r="I150" s="1049"/>
      <c r="J150" s="969"/>
      <c r="K150" s="1898"/>
      <c r="L150" s="612"/>
      <c r="M150" s="739"/>
      <c r="N150" s="732"/>
      <c r="O150" s="2022"/>
      <c r="P150" s="2022"/>
      <c r="AH150" s="2029">
        <v>0</v>
      </c>
    </row>
    <row s="24354" customFormat="1" customHeight="1" ht="18.75" hidden="1">
      <c r="A151" s="2178" t="s">
        <v>265</v>
      </c>
      <c r="B151" s="2178" t="s">
        <v>266</v>
      </c>
      <c r="C151" s="767"/>
      <c r="D151" s="2860"/>
      <c r="E151" s="2602"/>
      <c r="F151" s="2781" t="str">
        <f>INDEX(PT_DIFFERENTIATION_VTAR,MATCH(A151,PT_DIFFERENTIATION_VTAR_ID,0))</f>
        <v>Тариф на подключение (технологическое присоединение) к централизованной системе горячего водоснабжения</v>
      </c>
      <c r="G151" s="2825" t="str">
        <f>INDEX(PT_DIFFERENTIATION_NTAR,MATCH(B151,PT_DIFFERENTIATION_NTAR_ID,0))</f>
        <v/>
      </c>
      <c r="H151" s="2260"/>
      <c r="I151" s="2137"/>
      <c r="J151" s="2171"/>
      <c r="K151" s="2176"/>
      <c r="L151" s="2260" t="s">
        <v>311</v>
      </c>
      <c r="M151" s="739"/>
      <c r="N151" s="732"/>
      <c r="O151" s="2022"/>
      <c r="P151" s="2022"/>
      <c r="AH151" s="2029">
        <v>0</v>
      </c>
    </row>
    <row s="24354" customFormat="1" customHeight="1" ht="18.75" hidden="1">
      <c r="A152" s="2178"/>
      <c r="B152" s="2178"/>
      <c r="C152" s="767" t="s">
        <v>1151</v>
      </c>
      <c r="D152" s="2860"/>
      <c r="E152" s="2602"/>
      <c r="F152" s="2781"/>
      <c r="G152" s="2825"/>
      <c r="H152" s="1898"/>
      <c r="I152" s="1049" t="s">
        <v>1150</v>
      </c>
      <c r="J152" s="969"/>
      <c r="K152" s="1898"/>
      <c r="L152" s="612"/>
      <c r="M152" s="739"/>
      <c r="N152" s="732"/>
      <c r="O152" s="2022"/>
      <c r="P152" s="2022"/>
      <c r="AH152" s="2029">
        <v>0</v>
      </c>
    </row>
    <row s="24354" customFormat="1" customHeight="1" ht="0.75" hidden="1">
      <c r="A153" s="2178"/>
      <c r="B153" s="2178"/>
      <c r="C153" s="767" t="s">
        <v>1160</v>
      </c>
      <c r="D153" s="2860"/>
      <c r="E153" s="2602"/>
      <c r="F153" s="2781"/>
      <c r="G153" s="798"/>
      <c r="H153" s="1898"/>
      <c r="I153" s="1049"/>
      <c r="J153" s="969"/>
      <c r="K153" s="1898"/>
      <c r="L153" s="612"/>
      <c r="M153" s="739"/>
      <c r="N153" s="732"/>
      <c r="O153" s="2022"/>
      <c r="P153" s="2022"/>
      <c r="AH153" s="2029">
        <v>0</v>
      </c>
    </row>
    <row s="24354" customFormat="1" customHeight="1" ht="18.75" hidden="1">
      <c r="A154" s="2178" t="s">
        <v>270</v>
      </c>
      <c r="B154" s="2178" t="s">
        <v>271</v>
      </c>
      <c r="C154" s="767"/>
      <c r="D154" s="2860"/>
      <c r="E154" s="2602"/>
      <c r="F154" s="2781" t="str">
        <f>INDEX(PT_DIFFERENTIATION_VTAR,MATCH(A154,PT_DIFFERENTIATION_VTAR_ID,0))</f>
        <v>Тариф на водоотведение</v>
      </c>
      <c r="G154" s="2825" t="str">
        <f>INDEX(PT_DIFFERENTIATION_NTAR,MATCH(B154,PT_DIFFERENTIATION_NTAR_ID,0))</f>
        <v/>
      </c>
      <c r="H154" s="2260"/>
      <c r="I154" s="2137"/>
      <c r="J154" s="2171"/>
      <c r="K154" s="2176"/>
      <c r="L154" s="2260" t="s">
        <v>311</v>
      </c>
      <c r="M154" s="739"/>
      <c r="N154" s="732"/>
      <c r="O154" s="2022"/>
      <c r="P154" s="2022"/>
      <c r="AH154" s="2029">
        <v>0</v>
      </c>
    </row>
    <row s="24354" customFormat="1" customHeight="1" ht="18.75" hidden="1">
      <c r="A155" s="2178"/>
      <c r="B155" s="2178"/>
      <c r="C155" s="767" t="s">
        <v>1151</v>
      </c>
      <c r="D155" s="2860"/>
      <c r="E155" s="2602"/>
      <c r="F155" s="2781"/>
      <c r="G155" s="2825"/>
      <c r="H155" s="1898"/>
      <c r="I155" s="1049" t="s">
        <v>1150</v>
      </c>
      <c r="J155" s="969"/>
      <c r="K155" s="1898"/>
      <c r="L155" s="612"/>
      <c r="M155" s="739"/>
      <c r="N155" s="732"/>
      <c r="O155" s="2022"/>
      <c r="P155" s="2022"/>
      <c r="AH155" s="2029">
        <v>0</v>
      </c>
    </row>
    <row s="24354" customFormat="1" customHeight="1" ht="0.75" hidden="1">
      <c r="A156" s="2178"/>
      <c r="B156" s="2178"/>
      <c r="C156" s="767" t="s">
        <v>1160</v>
      </c>
      <c r="D156" s="2860"/>
      <c r="E156" s="2602"/>
      <c r="F156" s="2781"/>
      <c r="G156" s="798"/>
      <c r="H156" s="1898"/>
      <c r="I156" s="1049"/>
      <c r="J156" s="969"/>
      <c r="K156" s="1898"/>
      <c r="L156" s="612"/>
      <c r="M156" s="739"/>
      <c r="N156" s="732"/>
      <c r="O156" s="2022"/>
      <c r="P156" s="2022"/>
      <c r="AH156" s="2029">
        <v>0</v>
      </c>
    </row>
    <row s="24354" customFormat="1" customHeight="1" ht="18.75" hidden="1">
      <c r="A157" s="2178" t="s">
        <v>275</v>
      </c>
      <c r="B157" s="2178" t="s">
        <v>276</v>
      </c>
      <c r="C157" s="767"/>
      <c r="D157" s="2860"/>
      <c r="E157" s="2602"/>
      <c r="F157" s="2781" t="str">
        <f>INDEX(PT_DIFFERENTIATION_VTAR,MATCH(A157,PT_DIFFERENTIATION_VTAR_ID,0))</f>
        <v>Тариф на транспортировку сточных вод</v>
      </c>
      <c r="G157" s="2825" t="str">
        <f>INDEX(PT_DIFFERENTIATION_NTAR,MATCH(B157,PT_DIFFERENTIATION_NTAR_ID,0))</f>
        <v/>
      </c>
      <c r="H157" s="2260"/>
      <c r="I157" s="2137"/>
      <c r="J157" s="2171"/>
      <c r="K157" s="2176"/>
      <c r="L157" s="2260" t="s">
        <v>311</v>
      </c>
      <c r="M157" s="739"/>
      <c r="N157" s="732"/>
      <c r="O157" s="2022"/>
      <c r="P157" s="2022"/>
      <c r="AH157" s="2029">
        <v>0</v>
      </c>
    </row>
    <row s="24354" customFormat="1" customHeight="1" ht="18.75" hidden="1">
      <c r="A158" s="2178"/>
      <c r="B158" s="2178"/>
      <c r="C158" s="767" t="s">
        <v>1151</v>
      </c>
      <c r="D158" s="2860"/>
      <c r="E158" s="2602"/>
      <c r="F158" s="2781"/>
      <c r="G158" s="2825"/>
      <c r="H158" s="1898"/>
      <c r="I158" s="1049" t="s">
        <v>1150</v>
      </c>
      <c r="J158" s="969"/>
      <c r="K158" s="1898"/>
      <c r="L158" s="612"/>
      <c r="M158" s="739"/>
      <c r="N158" s="732"/>
      <c r="O158" s="2022"/>
      <c r="P158" s="2022"/>
      <c r="AH158" s="2029">
        <v>0</v>
      </c>
    </row>
    <row s="24354" customFormat="1" customHeight="1" ht="0.75" hidden="1">
      <c r="A159" s="2178"/>
      <c r="B159" s="2178"/>
      <c r="C159" s="767" t="s">
        <v>1160</v>
      </c>
      <c r="D159" s="2860"/>
      <c r="E159" s="2602"/>
      <c r="F159" s="2781"/>
      <c r="G159" s="798"/>
      <c r="H159" s="1898"/>
      <c r="I159" s="1049"/>
      <c r="J159" s="969"/>
      <c r="K159" s="1898"/>
      <c r="L159" s="612"/>
      <c r="M159" s="739"/>
      <c r="N159" s="732"/>
      <c r="O159" s="2022"/>
      <c r="P159" s="2022"/>
      <c r="AH159" s="2029">
        <v>0</v>
      </c>
    </row>
    <row s="24354" customFormat="1" customHeight="1" ht="18.75" hidden="1">
      <c r="A160" s="2178" t="s">
        <v>280</v>
      </c>
      <c r="B160" s="2178" t="s">
        <v>281</v>
      </c>
      <c r="C160" s="767"/>
      <c r="D160" s="2860"/>
      <c r="E160" s="2602"/>
      <c r="F160" s="2781" t="str">
        <f>INDEX(PT_DIFFERENTIATION_VTAR,MATCH(A160,PT_DIFFERENTIATION_VTAR_ID,0))</f>
        <v>Тариф на подключение (технологическое присоединение) к централизованной системе водоотведения</v>
      </c>
      <c r="G160" s="2825" t="str">
        <f>INDEX(PT_DIFFERENTIATION_NTAR,MATCH(B160,PT_DIFFERENTIATION_NTAR_ID,0))</f>
        <v/>
      </c>
      <c r="H160" s="2260"/>
      <c r="I160" s="2137"/>
      <c r="J160" s="2171"/>
      <c r="K160" s="2176"/>
      <c r="L160" s="2260" t="s">
        <v>311</v>
      </c>
      <c r="M160" s="739"/>
      <c r="N160" s="732"/>
      <c r="O160" s="2022"/>
      <c r="P160" s="2022"/>
      <c r="AH160" s="2029">
        <v>0</v>
      </c>
    </row>
    <row s="24354" customFormat="1" customHeight="1" ht="18.75" hidden="1">
      <c r="A161" s="2178"/>
      <c r="B161" s="2178"/>
      <c r="C161" s="767" t="s">
        <v>1151</v>
      </c>
      <c r="D161" s="2860"/>
      <c r="E161" s="2602"/>
      <c r="F161" s="2781"/>
      <c r="G161" s="2825"/>
      <c r="H161" s="1898"/>
      <c r="I161" s="1049" t="s">
        <v>1150</v>
      </c>
      <c r="J161" s="969"/>
      <c r="K161" s="1898"/>
      <c r="L161" s="612"/>
      <c r="M161" s="739"/>
      <c r="N161" s="732"/>
      <c r="O161" s="2022"/>
      <c r="P161" s="2022"/>
      <c r="AH161" s="2029">
        <v>0</v>
      </c>
    </row>
    <row s="24354" customFormat="1" customHeight="1" ht="1.05">
      <c r="A162" s="2178"/>
      <c r="B162" s="2178"/>
      <c r="C162" s="767" t="s">
        <v>1160</v>
      </c>
      <c r="D162" s="2860"/>
      <c r="E162" s="2602"/>
      <c r="F162" s="2781"/>
      <c r="G162" s="798"/>
      <c r="H162" s="1898"/>
      <c r="I162" s="1049"/>
      <c r="J162" s="969"/>
      <c r="K162" s="1898"/>
      <c r="L162" s="612"/>
      <c r="M162" s="739"/>
      <c r="N162" s="732"/>
      <c r="O162" s="2022"/>
      <c r="P162" s="2022"/>
      <c r="AH162" s="2029">
        <v>1</v>
      </c>
    </row>
    <row customHeight="1" ht="19.95">
      <c r="A163" s="2178"/>
      <c r="B163" s="2178"/>
      <c r="D163" s="774"/>
      <c r="E163" s="545" t="s">
        <v>92</v>
      </c>
      <c r="F163"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858"/>
      <c r="H163" s="2858"/>
      <c r="I163" s="2858"/>
      <c r="J163" s="2858"/>
      <c r="K163" s="2858"/>
      <c r="L163" s="2858"/>
      <c r="M163" s="695"/>
      <c r="N163" s="732"/>
      <c r="AH163" s="772">
        <v>19</v>
      </c>
    </row>
    <row s="24354" customFormat="1" customHeight="1" ht="60.75">
      <c r="A164" s="2178" t="s">
        <v>158</v>
      </c>
      <c r="B164" s="2178" t="s">
        <v>159</v>
      </c>
      <c r="C164" s="767"/>
      <c r="D164" s="2860"/>
      <c r="E164" s="2602"/>
      <c r="F164" s="2781"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825" t="str">
        <f>INDEX(PT_DIFFERENTIATION_NTAR,MATCH(B164,PT_DIFFERENTIATION_NTAR_ID,0))</f>
        <v>Тариф на производство и передачу тепловой энергии</v>
      </c>
      <c r="H164" s="2260"/>
      <c r="I164" s="9112">
        <v>45658.45107638889</v>
      </c>
      <c r="J164" s="9113">
        <v>51501.47056712963</v>
      </c>
      <c r="K164" s="2176">
        <v>3482.476</v>
      </c>
      <c r="L164" s="2260" t="s">
        <v>311</v>
      </c>
      <c r="M16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732"/>
      <c r="O164" s="2022"/>
      <c r="P164" s="2022"/>
      <c r="AH164" s="2029">
        <v>0</v>
      </c>
    </row>
    <row s="27183" customFormat="1" customHeight="1" ht="56.25">
      <c r="A165" s="16232"/>
      <c r="B165" s="16232"/>
      <c r="C165" s="16233"/>
      <c r="D165" s="16234"/>
      <c r="E165" s="16235"/>
      <c r="F165" s="16235"/>
      <c r="G165" s="16235"/>
      <c r="H165" s="16236" t="s">
        <v>430</v>
      </c>
      <c r="I165" s="16237">
        <v>45658.68295138889</v>
      </c>
      <c r="J165" s="16217">
        <v>46022.68318287037</v>
      </c>
      <c r="K165" s="16238">
        <v>219.41265264457</v>
      </c>
      <c r="L165" s="16239" t="s">
        <v>311</v>
      </c>
      <c r="M165" s="16240"/>
      <c r="N165" s="16241"/>
      <c r="O165" s="14831"/>
      <c r="P165" s="14831"/>
      <c r="Q165" s="14832"/>
      <c r="R165" s="14832"/>
      <c r="S165" s="14832"/>
      <c r="T165" s="14832"/>
      <c r="U165" s="14832"/>
      <c r="V165" s="14832"/>
      <c r="W165" s="14832"/>
      <c r="X165" s="14832"/>
      <c r="Y165" s="14832"/>
      <c r="Z165" s="14832"/>
      <c r="AA165" s="14832"/>
      <c r="AB165" s="14832"/>
      <c r="AC165" s="14832"/>
      <c r="AD165" s="14832"/>
      <c r="AE165" s="14832"/>
      <c r="AF165" s="14832"/>
      <c r="AG165" s="14832"/>
      <c r="AH165" s="14832">
        <v>0</v>
      </c>
    </row>
    <row s="27183" customFormat="1" customHeight="1" ht="56.25">
      <c r="A166" s="16232"/>
      <c r="B166" s="16232"/>
      <c r="C166" s="16233"/>
      <c r="D166" s="16234"/>
      <c r="E166" s="16235"/>
      <c r="F166" s="16235"/>
      <c r="G166" s="16235"/>
      <c r="H166" s="16236" t="s">
        <v>430</v>
      </c>
      <c r="I166" s="16237">
        <v>46023.684699074074</v>
      </c>
      <c r="J166" s="16217">
        <v>46387.68481481481</v>
      </c>
      <c r="K166" s="16238">
        <v>219.41265264457</v>
      </c>
      <c r="L166" s="16239" t="s">
        <v>311</v>
      </c>
      <c r="M166" s="16240"/>
      <c r="N166" s="16241"/>
      <c r="O166" s="14831"/>
      <c r="P166" s="14831"/>
      <c r="Q166" s="14832"/>
      <c r="R166" s="14832"/>
      <c r="S166" s="14832"/>
      <c r="T166" s="14832"/>
      <c r="U166" s="14832"/>
      <c r="V166" s="14832"/>
      <c r="W166" s="14832"/>
      <c r="X166" s="14832"/>
      <c r="Y166" s="14832"/>
      <c r="Z166" s="14832"/>
      <c r="AA166" s="14832"/>
      <c r="AB166" s="14832"/>
      <c r="AC166" s="14832"/>
      <c r="AD166" s="14832"/>
      <c r="AE166" s="14832"/>
      <c r="AF166" s="14832"/>
      <c r="AG166" s="14832"/>
      <c r="AH166" s="14832">
        <v>0</v>
      </c>
    </row>
    <row s="27183" customFormat="1" customHeight="1" ht="56.25">
      <c r="A167" s="16232"/>
      <c r="B167" s="16232"/>
      <c r="C167" s="16233"/>
      <c r="D167" s="16234"/>
      <c r="E167" s="16235"/>
      <c r="F167" s="16235"/>
      <c r="G167" s="16235"/>
      <c r="H167" s="16236" t="s">
        <v>430</v>
      </c>
      <c r="I167" s="16237">
        <v>46388.68664351852</v>
      </c>
      <c r="J167" s="16217">
        <v>46752.686793981484</v>
      </c>
      <c r="K167" s="16238">
        <v>219.41265264457</v>
      </c>
      <c r="L167" s="16239" t="s">
        <v>311</v>
      </c>
      <c r="M167" s="16240"/>
      <c r="N167" s="16241"/>
      <c r="O167" s="14831"/>
      <c r="P167" s="14831"/>
      <c r="Q167" s="14832"/>
      <c r="R167" s="14832"/>
      <c r="S167" s="14832"/>
      <c r="T167" s="14832"/>
      <c r="U167" s="14832"/>
      <c r="V167" s="14832"/>
      <c r="W167" s="14832"/>
      <c r="X167" s="14832"/>
      <c r="Y167" s="14832"/>
      <c r="Z167" s="14832"/>
      <c r="AA167" s="14832"/>
      <c r="AB167" s="14832"/>
      <c r="AC167" s="14832"/>
      <c r="AD167" s="14832"/>
      <c r="AE167" s="14832"/>
      <c r="AF167" s="14832"/>
      <c r="AG167" s="14832"/>
      <c r="AH167" s="14832">
        <v>0</v>
      </c>
    </row>
    <row s="27183" customFormat="1" customHeight="1" ht="56.25">
      <c r="A168" s="16232"/>
      <c r="B168" s="16232"/>
      <c r="C168" s="16233"/>
      <c r="D168" s="16234"/>
      <c r="E168" s="16235"/>
      <c r="F168" s="16235"/>
      <c r="G168" s="16235"/>
      <c r="H168" s="16236" t="s">
        <v>430</v>
      </c>
      <c r="I168" s="16237">
        <v>46753.6871875</v>
      </c>
      <c r="J168" s="16217">
        <v>47118.68736111111</v>
      </c>
      <c r="K168" s="16238">
        <v>219.41265264457</v>
      </c>
      <c r="L168" s="16239" t="s">
        <v>311</v>
      </c>
      <c r="M168" s="16240"/>
      <c r="N168" s="16241"/>
      <c r="O168" s="14831"/>
      <c r="P168" s="14831"/>
      <c r="Q168" s="14832"/>
      <c r="R168" s="14832"/>
      <c r="S168" s="14832"/>
      <c r="T168" s="14832"/>
      <c r="U168" s="14832"/>
      <c r="V168" s="14832"/>
      <c r="W168" s="14832"/>
      <c r="X168" s="14832"/>
      <c r="Y168" s="14832"/>
      <c r="Z168" s="14832"/>
      <c r="AA168" s="14832"/>
      <c r="AB168" s="14832"/>
      <c r="AC168" s="14832"/>
      <c r="AD168" s="14832"/>
      <c r="AE168" s="14832"/>
      <c r="AF168" s="14832"/>
      <c r="AG168" s="14832"/>
      <c r="AH168" s="14832">
        <v>0</v>
      </c>
    </row>
    <row s="27183" customFormat="1" customHeight="1" ht="56.25">
      <c r="A169" s="16232"/>
      <c r="B169" s="16232"/>
      <c r="C169" s="16233"/>
      <c r="D169" s="16234"/>
      <c r="E169" s="16235"/>
      <c r="F169" s="16235"/>
      <c r="G169" s="16235"/>
      <c r="H169" s="16236" t="s">
        <v>430</v>
      </c>
      <c r="I169" s="16237">
        <v>47119.68763888889</v>
      </c>
      <c r="J169" s="16217">
        <v>47483.6877662037</v>
      </c>
      <c r="K169" s="16238">
        <v>219.41265264457</v>
      </c>
      <c r="L169" s="16239" t="s">
        <v>311</v>
      </c>
      <c r="M169" s="16240"/>
      <c r="N169" s="16241"/>
      <c r="O169" s="14831"/>
      <c r="P169" s="14831"/>
      <c r="Q169" s="14832"/>
      <c r="R169" s="14832"/>
      <c r="S169" s="14832"/>
      <c r="T169" s="14832"/>
      <c r="U169" s="14832"/>
      <c r="V169" s="14832"/>
      <c r="W169" s="14832"/>
      <c r="X169" s="14832"/>
      <c r="Y169" s="14832"/>
      <c r="Z169" s="14832"/>
      <c r="AA169" s="14832"/>
      <c r="AB169" s="14832"/>
      <c r="AC169" s="14832"/>
      <c r="AD169" s="14832"/>
      <c r="AE169" s="14832"/>
      <c r="AF169" s="14832"/>
      <c r="AG169" s="14832"/>
      <c r="AH169" s="14832">
        <v>0</v>
      </c>
    </row>
    <row s="27183" customFormat="1" customHeight="1" ht="56.25">
      <c r="A170" s="16232"/>
      <c r="B170" s="16232"/>
      <c r="C170" s="16233"/>
      <c r="D170" s="16234"/>
      <c r="E170" s="16235"/>
      <c r="F170" s="16235"/>
      <c r="G170" s="16235"/>
      <c r="H170" s="16236" t="s">
        <v>430</v>
      </c>
      <c r="I170" s="16237">
        <v>47484.68791666667</v>
      </c>
      <c r="J170" s="16217">
        <v>47848.688043981485</v>
      </c>
      <c r="K170" s="16238">
        <v>219.41265264457</v>
      </c>
      <c r="L170" s="16239" t="s">
        <v>311</v>
      </c>
      <c r="M170" s="16240"/>
      <c r="N170" s="16241"/>
      <c r="O170" s="14831"/>
      <c r="P170" s="14831"/>
      <c r="Q170" s="14832"/>
      <c r="R170" s="14832"/>
      <c r="S170" s="14832"/>
      <c r="T170" s="14832"/>
      <c r="U170" s="14832"/>
      <c r="V170" s="14832"/>
      <c r="W170" s="14832"/>
      <c r="X170" s="14832"/>
      <c r="Y170" s="14832"/>
      <c r="Z170" s="14832"/>
      <c r="AA170" s="14832"/>
      <c r="AB170" s="14832"/>
      <c r="AC170" s="14832"/>
      <c r="AD170" s="14832"/>
      <c r="AE170" s="14832"/>
      <c r="AF170" s="14832"/>
      <c r="AG170" s="14832"/>
      <c r="AH170" s="14832">
        <v>0</v>
      </c>
    </row>
    <row s="27183" customFormat="1" customHeight="1" ht="56.25">
      <c r="A171" s="16232"/>
      <c r="B171" s="16232"/>
      <c r="C171" s="16233"/>
      <c r="D171" s="16234"/>
      <c r="E171" s="16235"/>
      <c r="F171" s="16235"/>
      <c r="G171" s="16235"/>
      <c r="H171" s="16236" t="s">
        <v>430</v>
      </c>
      <c r="I171" s="16237">
        <v>47849.68982638889</v>
      </c>
      <c r="J171" s="16217">
        <v>48213.68996527778</v>
      </c>
      <c r="K171" s="16238">
        <v>219.41265264457</v>
      </c>
      <c r="L171" s="16239" t="s">
        <v>311</v>
      </c>
      <c r="M171" s="16240"/>
      <c r="N171" s="16241"/>
      <c r="O171" s="14831"/>
      <c r="P171" s="14831"/>
      <c r="Q171" s="14832"/>
      <c r="R171" s="14832"/>
      <c r="S171" s="14832"/>
      <c r="T171" s="14832"/>
      <c r="U171" s="14832"/>
      <c r="V171" s="14832"/>
      <c r="W171" s="14832"/>
      <c r="X171" s="14832"/>
      <c r="Y171" s="14832"/>
      <c r="Z171" s="14832"/>
      <c r="AA171" s="14832"/>
      <c r="AB171" s="14832"/>
      <c r="AC171" s="14832"/>
      <c r="AD171" s="14832"/>
      <c r="AE171" s="14832"/>
      <c r="AF171" s="14832"/>
      <c r="AG171" s="14832"/>
      <c r="AH171" s="14832">
        <v>0</v>
      </c>
    </row>
    <row s="27183" customFormat="1" customHeight="1" ht="56.25">
      <c r="A172" s="16232"/>
      <c r="B172" s="16232"/>
      <c r="C172" s="16233"/>
      <c r="D172" s="16234"/>
      <c r="E172" s="16235"/>
      <c r="F172" s="16235"/>
      <c r="G172" s="16235"/>
      <c r="H172" s="16236" t="s">
        <v>430</v>
      </c>
      <c r="I172" s="16237">
        <v>48214.69021990741</v>
      </c>
      <c r="J172" s="16217">
        <v>48579.69037037037</v>
      </c>
      <c r="K172" s="16238">
        <v>219.41265264457</v>
      </c>
      <c r="L172" s="16239" t="s">
        <v>311</v>
      </c>
      <c r="M172" s="16240"/>
      <c r="N172" s="16241"/>
      <c r="O172" s="14831"/>
      <c r="P172" s="14831"/>
      <c r="Q172" s="14832"/>
      <c r="R172" s="14832"/>
      <c r="S172" s="14832"/>
      <c r="T172" s="14832"/>
      <c r="U172" s="14832"/>
      <c r="V172" s="14832"/>
      <c r="W172" s="14832"/>
      <c r="X172" s="14832"/>
      <c r="Y172" s="14832"/>
      <c r="Z172" s="14832"/>
      <c r="AA172" s="14832"/>
      <c r="AB172" s="14832"/>
      <c r="AC172" s="14832"/>
      <c r="AD172" s="14832"/>
      <c r="AE172" s="14832"/>
      <c r="AF172" s="14832"/>
      <c r="AG172" s="14832"/>
      <c r="AH172" s="14832">
        <v>0</v>
      </c>
    </row>
    <row s="27183" customFormat="1" customHeight="1" ht="56.25">
      <c r="A173" s="16232"/>
      <c r="B173" s="16232"/>
      <c r="C173" s="16233"/>
      <c r="D173" s="16234"/>
      <c r="E173" s="16235"/>
      <c r="F173" s="16235"/>
      <c r="G173" s="16235"/>
      <c r="H173" s="16236" t="s">
        <v>430</v>
      </c>
      <c r="I173" s="16237">
        <v>48580.69060185185</v>
      </c>
      <c r="J173" s="16217">
        <v>48944.690729166665</v>
      </c>
      <c r="K173" s="16238">
        <v>219.41265264457</v>
      </c>
      <c r="L173" s="16239" t="s">
        <v>311</v>
      </c>
      <c r="M173" s="16240"/>
      <c r="N173" s="16241"/>
      <c r="O173" s="14831"/>
      <c r="P173" s="14831"/>
      <c r="Q173" s="14832"/>
      <c r="R173" s="14832"/>
      <c r="S173" s="14832"/>
      <c r="T173" s="14832"/>
      <c r="U173" s="14832"/>
      <c r="V173" s="14832"/>
      <c r="W173" s="14832"/>
      <c r="X173" s="14832"/>
      <c r="Y173" s="14832"/>
      <c r="Z173" s="14832"/>
      <c r="AA173" s="14832"/>
      <c r="AB173" s="14832"/>
      <c r="AC173" s="14832"/>
      <c r="AD173" s="14832"/>
      <c r="AE173" s="14832"/>
      <c r="AF173" s="14832"/>
      <c r="AG173" s="14832"/>
      <c r="AH173" s="14832">
        <v>0</v>
      </c>
    </row>
    <row s="27183" customFormat="1" customHeight="1" ht="56.25">
      <c r="A174" s="16232"/>
      <c r="B174" s="16232"/>
      <c r="C174" s="16233"/>
      <c r="D174" s="16234"/>
      <c r="E174" s="16235"/>
      <c r="F174" s="16235"/>
      <c r="G174" s="16235"/>
      <c r="H174" s="16236" t="s">
        <v>430</v>
      </c>
      <c r="I174" s="16237">
        <v>48945.69091435185</v>
      </c>
      <c r="J174" s="16217">
        <v>49309.69106481481</v>
      </c>
      <c r="K174" s="16238">
        <v>219.41265264457</v>
      </c>
      <c r="L174" s="16239" t="s">
        <v>311</v>
      </c>
      <c r="M174" s="16240"/>
      <c r="N174" s="16241"/>
      <c r="O174" s="14831"/>
      <c r="P174" s="14831"/>
      <c r="Q174" s="14832"/>
      <c r="R174" s="14832"/>
      <c r="S174" s="14832"/>
      <c r="T174" s="14832"/>
      <c r="U174" s="14832"/>
      <c r="V174" s="14832"/>
      <c r="W174" s="14832"/>
      <c r="X174" s="14832"/>
      <c r="Y174" s="14832"/>
      <c r="Z174" s="14832"/>
      <c r="AA174" s="14832"/>
      <c r="AB174" s="14832"/>
      <c r="AC174" s="14832"/>
      <c r="AD174" s="14832"/>
      <c r="AE174" s="14832"/>
      <c r="AF174" s="14832"/>
      <c r="AG174" s="14832"/>
      <c r="AH174" s="14832">
        <v>0</v>
      </c>
    </row>
    <row s="27183" customFormat="1" customHeight="1" ht="56.25">
      <c r="A175" s="16232"/>
      <c r="B175" s="16232"/>
      <c r="C175" s="16233"/>
      <c r="D175" s="16234"/>
      <c r="E175" s="16235"/>
      <c r="F175" s="16235"/>
      <c r="G175" s="16235"/>
      <c r="H175" s="16236" t="s">
        <v>430</v>
      </c>
      <c r="I175" s="16237">
        <v>49310.69138888889</v>
      </c>
      <c r="J175" s="16217">
        <v>49674.69155092593</v>
      </c>
      <c r="K175" s="16238">
        <v>219.41265264457</v>
      </c>
      <c r="L175" s="16239" t="s">
        <v>311</v>
      </c>
      <c r="M175" s="16240"/>
      <c r="N175" s="16241"/>
      <c r="O175" s="14831"/>
      <c r="P175" s="14831"/>
      <c r="Q175" s="14832"/>
      <c r="R175" s="14832"/>
      <c r="S175" s="14832"/>
      <c r="T175" s="14832"/>
      <c r="U175" s="14832"/>
      <c r="V175" s="14832"/>
      <c r="W175" s="14832"/>
      <c r="X175" s="14832"/>
      <c r="Y175" s="14832"/>
      <c r="Z175" s="14832"/>
      <c r="AA175" s="14832"/>
      <c r="AB175" s="14832"/>
      <c r="AC175" s="14832"/>
      <c r="AD175" s="14832"/>
      <c r="AE175" s="14832"/>
      <c r="AF175" s="14832"/>
      <c r="AG175" s="14832"/>
      <c r="AH175" s="14832">
        <v>0</v>
      </c>
    </row>
    <row s="27183" customFormat="1" customHeight="1" ht="56.25">
      <c r="A176" s="16232"/>
      <c r="B176" s="16232"/>
      <c r="C176" s="16233"/>
      <c r="D176" s="16234"/>
      <c r="E176" s="16235"/>
      <c r="F176" s="16235"/>
      <c r="G176" s="16235"/>
      <c r="H176" s="16236" t="s">
        <v>430</v>
      </c>
      <c r="I176" s="16237">
        <v>49675.69186342593</v>
      </c>
      <c r="J176" s="16217">
        <v>50040.69200231481</v>
      </c>
      <c r="K176" s="16238">
        <v>219.41265264457</v>
      </c>
      <c r="L176" s="16239" t="s">
        <v>311</v>
      </c>
      <c r="M176" s="16240"/>
      <c r="N176" s="16241"/>
      <c r="O176" s="14831"/>
      <c r="P176" s="14831"/>
      <c r="Q176" s="14832"/>
      <c r="R176" s="14832"/>
      <c r="S176" s="14832"/>
      <c r="T176" s="14832"/>
      <c r="U176" s="14832"/>
      <c r="V176" s="14832"/>
      <c r="W176" s="14832"/>
      <c r="X176" s="14832"/>
      <c r="Y176" s="14832"/>
      <c r="Z176" s="14832"/>
      <c r="AA176" s="14832"/>
      <c r="AB176" s="14832"/>
      <c r="AC176" s="14832"/>
      <c r="AD176" s="14832"/>
      <c r="AE176" s="14832"/>
      <c r="AF176" s="14832"/>
      <c r="AG176" s="14832"/>
      <c r="AH176" s="14832">
        <v>0</v>
      </c>
    </row>
    <row s="27183" customFormat="1" customHeight="1" ht="56.25">
      <c r="A177" s="16232"/>
      <c r="B177" s="16232"/>
      <c r="C177" s="16233"/>
      <c r="D177" s="16234"/>
      <c r="E177" s="16235"/>
      <c r="F177" s="16235"/>
      <c r="G177" s="16235"/>
      <c r="H177" s="16236" t="s">
        <v>430</v>
      </c>
      <c r="I177" s="16237">
        <v>50041.69221064815</v>
      </c>
      <c r="J177" s="16217">
        <v>50405.69237268518</v>
      </c>
      <c r="K177" s="16238">
        <v>219.41265264457</v>
      </c>
      <c r="L177" s="16239" t="s">
        <v>311</v>
      </c>
      <c r="M177" s="16240"/>
      <c r="N177" s="16241"/>
      <c r="O177" s="14831"/>
      <c r="P177" s="14831"/>
      <c r="Q177" s="14832"/>
      <c r="R177" s="14832"/>
      <c r="S177" s="14832"/>
      <c r="T177" s="14832"/>
      <c r="U177" s="14832"/>
      <c r="V177" s="14832"/>
      <c r="W177" s="14832"/>
      <c r="X177" s="14832"/>
      <c r="Y177" s="14832"/>
      <c r="Z177" s="14832"/>
      <c r="AA177" s="14832"/>
      <c r="AB177" s="14832"/>
      <c r="AC177" s="14832"/>
      <c r="AD177" s="14832"/>
      <c r="AE177" s="14832"/>
      <c r="AF177" s="14832"/>
      <c r="AG177" s="14832"/>
      <c r="AH177" s="14832">
        <v>0</v>
      </c>
    </row>
    <row s="27183" customFormat="1" customHeight="1" ht="56.25">
      <c r="A178" s="16232"/>
      <c r="B178" s="16232"/>
      <c r="C178" s="16233"/>
      <c r="D178" s="16234"/>
      <c r="E178" s="16235"/>
      <c r="F178" s="16235"/>
      <c r="G178" s="16235"/>
      <c r="H178" s="16236" t="s">
        <v>430</v>
      </c>
      <c r="I178" s="16237">
        <v>50406.69261574074</v>
      </c>
      <c r="J178" s="16217">
        <v>50770.692719907405</v>
      </c>
      <c r="K178" s="16238">
        <v>219.41265264457</v>
      </c>
      <c r="L178" s="16239" t="s">
        <v>311</v>
      </c>
      <c r="M178" s="16240"/>
      <c r="N178" s="16241"/>
      <c r="O178" s="14831"/>
      <c r="P178" s="14831"/>
      <c r="Q178" s="14832"/>
      <c r="R178" s="14832"/>
      <c r="S178" s="14832"/>
      <c r="T178" s="14832"/>
      <c r="U178" s="14832"/>
      <c r="V178" s="14832"/>
      <c r="W178" s="14832"/>
      <c r="X178" s="14832"/>
      <c r="Y178" s="14832"/>
      <c r="Z178" s="14832"/>
      <c r="AA178" s="14832"/>
      <c r="AB178" s="14832"/>
      <c r="AC178" s="14832"/>
      <c r="AD178" s="14832"/>
      <c r="AE178" s="14832"/>
      <c r="AF178" s="14832"/>
      <c r="AG178" s="14832"/>
      <c r="AH178" s="14832">
        <v>0</v>
      </c>
    </row>
    <row s="27183" customFormat="1" customHeight="1" ht="56.25">
      <c r="A179" s="16232"/>
      <c r="B179" s="16232"/>
      <c r="C179" s="16233"/>
      <c r="D179" s="16234"/>
      <c r="E179" s="16235"/>
      <c r="F179" s="16235"/>
      <c r="G179" s="16235"/>
      <c r="H179" s="16236" t="s">
        <v>430</v>
      </c>
      <c r="I179" s="16237">
        <v>50771.69289351852</v>
      </c>
      <c r="J179" s="16217">
        <v>51135.69306712963</v>
      </c>
      <c r="K179" s="16238">
        <v>219.41265264457</v>
      </c>
      <c r="L179" s="16239" t="s">
        <v>311</v>
      </c>
      <c r="M179" s="16240"/>
      <c r="N179" s="16241"/>
      <c r="O179" s="14831"/>
      <c r="P179" s="14831"/>
      <c r="Q179" s="14832"/>
      <c r="R179" s="14832"/>
      <c r="S179" s="14832"/>
      <c r="T179" s="14832"/>
      <c r="U179" s="14832"/>
      <c r="V179" s="14832"/>
      <c r="W179" s="14832"/>
      <c r="X179" s="14832"/>
      <c r="Y179" s="14832"/>
      <c r="Z179" s="14832"/>
      <c r="AA179" s="14832"/>
      <c r="AB179" s="14832"/>
      <c r="AC179" s="14832"/>
      <c r="AD179" s="14832"/>
      <c r="AE179" s="14832"/>
      <c r="AF179" s="14832"/>
      <c r="AG179" s="14832"/>
      <c r="AH179" s="14832">
        <v>0</v>
      </c>
    </row>
    <row s="27183" customFormat="1" customHeight="1" ht="56.25">
      <c r="A180" s="16232"/>
      <c r="B180" s="16232"/>
      <c r="C180" s="16233"/>
      <c r="D180" s="16234"/>
      <c r="E180" s="16235"/>
      <c r="F180" s="16235"/>
      <c r="G180" s="16235"/>
      <c r="H180" s="16236" t="s">
        <v>430</v>
      </c>
      <c r="I180" s="16237">
        <v>51136.69331018518</v>
      </c>
      <c r="J180" s="16217">
        <v>51501.69353009259</v>
      </c>
      <c r="K180" s="16238">
        <v>219.41265264457</v>
      </c>
      <c r="L180" s="16239" t="s">
        <v>311</v>
      </c>
      <c r="M180" s="16240"/>
      <c r="N180" s="16241"/>
      <c r="O180" s="14831"/>
      <c r="P180" s="14831"/>
      <c r="Q180" s="14832"/>
      <c r="R180" s="14832"/>
      <c r="S180" s="14832"/>
      <c r="T180" s="14832"/>
      <c r="U180" s="14832"/>
      <c r="V180" s="14832"/>
      <c r="W180" s="14832"/>
      <c r="X180" s="14832"/>
      <c r="Y180" s="14832"/>
      <c r="Z180" s="14832"/>
      <c r="AA180" s="14832"/>
      <c r="AB180" s="14832"/>
      <c r="AC180" s="14832"/>
      <c r="AD180" s="14832"/>
      <c r="AE180" s="14832"/>
      <c r="AF180" s="14832"/>
      <c r="AG180" s="14832"/>
      <c r="AH180" s="14832">
        <v>0</v>
      </c>
    </row>
    <row s="24354" customFormat="1" customHeight="1" ht="18.75">
      <c r="A181" s="2178"/>
      <c r="B181" s="2178"/>
      <c r="C181" s="767" t="s">
        <v>1151</v>
      </c>
      <c r="D181" s="2860"/>
      <c r="E181" s="2602"/>
      <c r="F181" s="2781"/>
      <c r="G181" s="2825"/>
      <c r="H181" s="1898"/>
      <c r="I181" s="1049" t="s">
        <v>1150</v>
      </c>
      <c r="J181" s="969"/>
      <c r="K181" s="1898"/>
      <c r="L181" s="612"/>
      <c r="M181" s="2568"/>
      <c r="N181" s="732"/>
      <c r="O181" s="2022"/>
      <c r="P181" s="2022"/>
      <c r="AH181" s="2029">
        <v>0</v>
      </c>
    </row>
    <row s="24354" customFormat="1" customHeight="1" ht="0.75">
      <c r="A182" s="2178"/>
      <c r="B182" s="2178"/>
      <c r="C182" s="767" t="s">
        <v>1160</v>
      </c>
      <c r="D182" s="2860"/>
      <c r="E182" s="2602"/>
      <c r="F182" s="2781"/>
      <c r="G182" s="798"/>
      <c r="H182" s="1898"/>
      <c r="I182" s="1049"/>
      <c r="J182" s="969"/>
      <c r="K182" s="1898"/>
      <c r="L182" s="612"/>
      <c r="M182" s="2568"/>
      <c r="N182" s="732"/>
      <c r="O182" s="2022"/>
      <c r="P182" s="2022"/>
      <c r="AH182" s="2029">
        <v>0</v>
      </c>
    </row>
    <row s="24354" customFormat="1" customHeight="1" ht="45" hidden="1">
      <c r="A183" s="2178" t="s">
        <v>168</v>
      </c>
      <c r="B183" s="2178" t="s">
        <v>169</v>
      </c>
      <c r="C183" s="767"/>
      <c r="D183" s="2860"/>
      <c r="E183" s="2602"/>
      <c r="F183" s="2781" t="str">
        <f>INDEX(PT_DIFFERENTIATION_VTAR,MATCH(A183,PT_DIFFERENTIATION_VTAR_ID,0))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83" s="2825" t="str">
        <f>INDEX(PT_DIFFERENTIATION_NTAR,MATCH(B183,PT_DIFFERENTIATION_NTAR_ID,0))</f>
        <v/>
      </c>
      <c r="H183" s="2260"/>
      <c r="I183" s="2137"/>
      <c r="J183" s="2171"/>
      <c r="K183" s="2176"/>
      <c r="L183" s="2260" t="s">
        <v>311</v>
      </c>
      <c r="M183" s="2569"/>
      <c r="N183" s="732"/>
      <c r="O183" s="2022"/>
      <c r="P183" s="2022"/>
      <c r="AH183" s="2029">
        <v>0</v>
      </c>
    </row>
    <row s="24354" customFormat="1" customHeight="1" ht="18.75" hidden="1">
      <c r="A184" s="2178"/>
      <c r="B184" s="2178"/>
      <c r="C184" s="767" t="s">
        <v>1151</v>
      </c>
      <c r="D184" s="2860"/>
      <c r="E184" s="2602"/>
      <c r="F184" s="2781"/>
      <c r="G184" s="2825"/>
      <c r="H184" s="1898"/>
      <c r="I184" s="1049" t="s">
        <v>1150</v>
      </c>
      <c r="J184" s="969"/>
      <c r="K184" s="1898"/>
      <c r="L184" s="612"/>
      <c r="M184" s="2259"/>
      <c r="N184" s="732"/>
      <c r="O184" s="2022"/>
      <c r="P184" s="2022"/>
      <c r="AH184" s="2029">
        <v>0</v>
      </c>
    </row>
    <row s="24354" customFormat="1" customHeight="1" ht="0.75" hidden="1">
      <c r="A185" s="2178"/>
      <c r="B185" s="2178"/>
      <c r="C185" s="767" t="s">
        <v>1160</v>
      </c>
      <c r="D185" s="2860"/>
      <c r="E185" s="2602"/>
      <c r="F185" s="2781"/>
      <c r="G185" s="798"/>
      <c r="H185" s="1898"/>
      <c r="I185" s="1049"/>
      <c r="J185" s="969"/>
      <c r="K185" s="1898"/>
      <c r="L185" s="612"/>
      <c r="M185" s="739"/>
      <c r="N185" s="732"/>
      <c r="O185" s="2022"/>
      <c r="P185" s="2022"/>
      <c r="AH185" s="2029">
        <v>0</v>
      </c>
    </row>
    <row s="24354" customFormat="1" customHeight="1" ht="45" hidden="1">
      <c r="A186" s="2178" t="s">
        <v>174</v>
      </c>
      <c r="B186" s="2178" t="s">
        <v>175</v>
      </c>
      <c r="C186" s="767"/>
      <c r="D186" s="2860"/>
      <c r="E186" s="2602"/>
      <c r="F186" s="2781" t="str">
        <f>INDEX(PT_DIFFERENTIATION_VTAR,MATCH(A186,PT_DIFFERENTIATION_VTAR_ID,0))</f>
        <v>Тарифы на теплоноситель, поставляемый теплоснабжающими организациями потребителям, другим теплоснабжающим организациям</v>
      </c>
      <c r="G186" s="2825" t="str">
        <f>INDEX(PT_DIFFERENTIATION_NTAR,MATCH(B186,PT_DIFFERENTIATION_NTAR_ID,0))</f>
        <v/>
      </c>
      <c r="H186" s="2260"/>
      <c r="I186" s="2137"/>
      <c r="J186" s="2171"/>
      <c r="K186" s="2176"/>
      <c r="L186" s="2260" t="s">
        <v>311</v>
      </c>
      <c r="M186" s="739"/>
      <c r="N186" s="732"/>
      <c r="O186" s="2022"/>
      <c r="P186" s="2022"/>
      <c r="AH186" s="2029">
        <v>0</v>
      </c>
    </row>
    <row s="24354" customFormat="1" customHeight="1" ht="18.75" hidden="1">
      <c r="A187" s="2178"/>
      <c r="B187" s="2178"/>
      <c r="C187" s="767" t="s">
        <v>1151</v>
      </c>
      <c r="D187" s="2860"/>
      <c r="E187" s="2602"/>
      <c r="F187" s="2781"/>
      <c r="G187" s="2825"/>
      <c r="H187" s="1898"/>
      <c r="I187" s="1049" t="s">
        <v>1150</v>
      </c>
      <c r="J187" s="969"/>
      <c r="K187" s="1898"/>
      <c r="L187" s="612"/>
      <c r="M187" s="739"/>
      <c r="N187" s="732"/>
      <c r="O187" s="2022"/>
      <c r="P187" s="2022"/>
      <c r="AH187" s="2029">
        <v>0</v>
      </c>
    </row>
    <row s="24354" customFormat="1" customHeight="1" ht="0.75" hidden="1">
      <c r="A188" s="2178"/>
      <c r="B188" s="2178"/>
      <c r="C188" s="767" t="s">
        <v>1160</v>
      </c>
      <c r="D188" s="2860"/>
      <c r="E188" s="2602"/>
      <c r="F188" s="2781"/>
      <c r="G188" s="798"/>
      <c r="H188" s="1898"/>
      <c r="I188" s="1049"/>
      <c r="J188" s="969"/>
      <c r="K188" s="1898"/>
      <c r="L188" s="612"/>
      <c r="M188" s="739"/>
      <c r="N188" s="732"/>
      <c r="O188" s="2022"/>
      <c r="P188" s="2022"/>
      <c r="AH188" s="2029">
        <v>0</v>
      </c>
    </row>
    <row s="24354" customFormat="1" customHeight="1" ht="45" hidden="1">
      <c r="A189" s="2178" t="s">
        <v>180</v>
      </c>
      <c r="B189" s="2178" t="s">
        <v>181</v>
      </c>
      <c r="C189" s="767"/>
      <c r="D189" s="2860"/>
      <c r="E189" s="2602"/>
      <c r="F189" s="2781" t="str">
        <f>INDEX(PT_DIFFERENTIATION_VTAR,MATCH(A189,PT_DIFFERENTIATION_VTAR_ID,0))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9" s="2825" t="str">
        <f>INDEX(PT_DIFFERENTIATION_NTAR,MATCH(B189,PT_DIFFERENTIATION_NTAR_ID,0))</f>
        <v/>
      </c>
      <c r="H189" s="2260"/>
      <c r="I189" s="2137"/>
      <c r="J189" s="2171"/>
      <c r="K189" s="2176"/>
      <c r="L189" s="2260" t="s">
        <v>311</v>
      </c>
      <c r="M189" s="739"/>
      <c r="N189" s="732"/>
      <c r="O189" s="2022"/>
      <c r="P189" s="2022"/>
      <c r="AH189" s="2029">
        <v>0</v>
      </c>
    </row>
    <row s="24354" customFormat="1" customHeight="1" ht="18.75" hidden="1">
      <c r="A190" s="2178"/>
      <c r="B190" s="2178"/>
      <c r="C190" s="767" t="s">
        <v>1151</v>
      </c>
      <c r="D190" s="2860"/>
      <c r="E190" s="2602"/>
      <c r="F190" s="2781"/>
      <c r="G190" s="2825"/>
      <c r="H190" s="1898"/>
      <c r="I190" s="1049" t="s">
        <v>1150</v>
      </c>
      <c r="J190" s="969"/>
      <c r="K190" s="1898"/>
      <c r="L190" s="612"/>
      <c r="M190" s="739"/>
      <c r="N190" s="732"/>
      <c r="O190" s="2022"/>
      <c r="P190" s="2022"/>
      <c r="AH190" s="2029">
        <v>0</v>
      </c>
    </row>
    <row s="24354" customFormat="1" customHeight="1" ht="0.75" hidden="1">
      <c r="A191" s="2178"/>
      <c r="B191" s="2178"/>
      <c r="C191" s="767" t="s">
        <v>1160</v>
      </c>
      <c r="D191" s="2860"/>
      <c r="E191" s="2602"/>
      <c r="F191" s="2781"/>
      <c r="G191" s="798"/>
      <c r="H191" s="1898"/>
      <c r="I191" s="1049"/>
      <c r="J191" s="969"/>
      <c r="K191" s="1898"/>
      <c r="L191" s="612"/>
      <c r="M191" s="739"/>
      <c r="N191" s="732"/>
      <c r="O191" s="2022"/>
      <c r="P191" s="2022"/>
      <c r="AH191" s="2029">
        <v>0</v>
      </c>
    </row>
    <row s="24354" customFormat="1" customHeight="1" ht="18.75" hidden="1">
      <c r="A192" s="2178" t="s">
        <v>186</v>
      </c>
      <c r="B192" s="2178" t="s">
        <v>187</v>
      </c>
      <c r="C192" s="767"/>
      <c r="D192" s="2860"/>
      <c r="E192" s="2602"/>
      <c r="F192" s="2781" t="str">
        <f>INDEX(PT_DIFFERENTIATION_VTAR,MATCH(A192,PT_DIFFERENTIATION_VTAR_ID,0))</f>
        <v>Тарифы на услуги по передаче тепловой энергии</v>
      </c>
      <c r="G192" s="2825" t="str">
        <f>INDEX(PT_DIFFERENTIATION_NTAR,MATCH(B192,PT_DIFFERENTIATION_NTAR_ID,0))</f>
        <v/>
      </c>
      <c r="H192" s="2260"/>
      <c r="I192" s="2137"/>
      <c r="J192" s="2171"/>
      <c r="K192" s="2176"/>
      <c r="L192" s="2260" t="s">
        <v>311</v>
      </c>
      <c r="M192" s="739"/>
      <c r="N192" s="732"/>
      <c r="O192" s="2022"/>
      <c r="P192" s="2022"/>
      <c r="AH192" s="2029">
        <v>0</v>
      </c>
    </row>
    <row s="24354" customFormat="1" customHeight="1" ht="18.75" hidden="1">
      <c r="A193" s="2178"/>
      <c r="B193" s="2178"/>
      <c r="C193" s="767" t="s">
        <v>1151</v>
      </c>
      <c r="D193" s="2860"/>
      <c r="E193" s="2602"/>
      <c r="F193" s="2781"/>
      <c r="G193" s="2825"/>
      <c r="H193" s="1898"/>
      <c r="I193" s="1049" t="s">
        <v>1150</v>
      </c>
      <c r="J193" s="969"/>
      <c r="K193" s="1898"/>
      <c r="L193" s="612"/>
      <c r="M193" s="739"/>
      <c r="N193" s="732"/>
      <c r="O193" s="2022"/>
      <c r="P193" s="2022"/>
      <c r="AH193" s="2029">
        <v>0</v>
      </c>
    </row>
    <row s="24354" customFormat="1" customHeight="1" ht="0.75" hidden="1">
      <c r="A194" s="2178"/>
      <c r="B194" s="2178"/>
      <c r="C194" s="767" t="s">
        <v>1160</v>
      </c>
      <c r="D194" s="2860"/>
      <c r="E194" s="2602"/>
      <c r="F194" s="2781"/>
      <c r="G194" s="798"/>
      <c r="H194" s="1898"/>
      <c r="I194" s="1049"/>
      <c r="J194" s="969"/>
      <c r="K194" s="1898"/>
      <c r="L194" s="612"/>
      <c r="M194" s="739"/>
      <c r="N194" s="732"/>
      <c r="O194" s="2022"/>
      <c r="P194" s="2022"/>
      <c r="AH194" s="2029">
        <v>0</v>
      </c>
    </row>
    <row s="24354" customFormat="1" customHeight="1" ht="18.75" hidden="1">
      <c r="A195" s="2178" t="s">
        <v>192</v>
      </c>
      <c r="B195" s="2178" t="s">
        <v>193</v>
      </c>
      <c r="C195" s="767"/>
      <c r="D195" s="2860"/>
      <c r="E195" s="2602"/>
      <c r="F195" s="2781" t="str">
        <f>INDEX(PT_DIFFERENTIATION_VTAR,MATCH(A195,PT_DIFFERENTIATION_VTAR_ID,0))</f>
        <v>Тарифы на услуги по передаче теплоносителя</v>
      </c>
      <c r="G195" s="2825" t="str">
        <f>INDEX(PT_DIFFERENTIATION_NTAR,MATCH(B195,PT_DIFFERENTIATION_NTAR_ID,0))</f>
        <v/>
      </c>
      <c r="H195" s="2260"/>
      <c r="I195" s="2137"/>
      <c r="J195" s="2171"/>
      <c r="K195" s="2176"/>
      <c r="L195" s="2260" t="s">
        <v>311</v>
      </c>
      <c r="M195" s="739"/>
      <c r="N195" s="732"/>
      <c r="O195" s="2022"/>
      <c r="P195" s="2022"/>
      <c r="AH195" s="2029">
        <v>0</v>
      </c>
    </row>
    <row s="24354" customFormat="1" customHeight="1" ht="18.75" hidden="1">
      <c r="A196" s="2178"/>
      <c r="B196" s="2178"/>
      <c r="C196" s="767" t="s">
        <v>1151</v>
      </c>
      <c r="D196" s="2860"/>
      <c r="E196" s="2602"/>
      <c r="F196" s="2781"/>
      <c r="G196" s="2825"/>
      <c r="H196" s="1898"/>
      <c r="I196" s="1049" t="s">
        <v>1150</v>
      </c>
      <c r="J196" s="969"/>
      <c r="K196" s="1898"/>
      <c r="L196" s="612"/>
      <c r="M196" s="739"/>
      <c r="N196" s="732"/>
      <c r="O196" s="2022"/>
      <c r="P196" s="2022"/>
      <c r="AH196" s="2029">
        <v>0</v>
      </c>
    </row>
    <row s="24354" customFormat="1" customHeight="1" ht="0.75" hidden="1">
      <c r="A197" s="2178"/>
      <c r="B197" s="2178"/>
      <c r="C197" s="767" t="s">
        <v>1160</v>
      </c>
      <c r="D197" s="2860"/>
      <c r="E197" s="2602"/>
      <c r="F197" s="2781"/>
      <c r="G197" s="798"/>
      <c r="H197" s="1898"/>
      <c r="I197" s="1049"/>
      <c r="J197" s="969"/>
      <c r="K197" s="1898"/>
      <c r="L197" s="612"/>
      <c r="M197" s="739"/>
      <c r="N197" s="732"/>
      <c r="O197" s="2022"/>
      <c r="P197" s="2022"/>
      <c r="AH197" s="2029">
        <v>0</v>
      </c>
    </row>
    <row s="24354" customFormat="1" customHeight="1" ht="18.75" hidden="1">
      <c r="A198" s="2178" t="s">
        <v>198</v>
      </c>
      <c r="B198" s="2178" t="s">
        <v>199</v>
      </c>
      <c r="C198" s="767"/>
      <c r="D198" s="2860"/>
      <c r="E198" s="2602"/>
      <c r="F198" s="2781" t="str">
        <f>INDEX(PT_DIFFERENTIATION_VTAR,MATCH(A198,PT_DIFFERENTIATION_VTAR_ID,0))</f>
        <v>Плата за услуги по поддержанию резервной тепловой мощности при отсутствии потребления тепловой энергии</v>
      </c>
      <c r="G198" s="2825" t="str">
        <f>INDEX(PT_DIFFERENTIATION_NTAR,MATCH(B198,PT_DIFFERENTIATION_NTAR_ID,0))</f>
        <v/>
      </c>
      <c r="H198" s="2260"/>
      <c r="I198" s="2137"/>
      <c r="J198" s="2171"/>
      <c r="K198" s="2176"/>
      <c r="L198" s="2260" t="s">
        <v>311</v>
      </c>
      <c r="M198" s="739"/>
      <c r="N198" s="732"/>
      <c r="O198" s="2022"/>
      <c r="P198" s="2022"/>
      <c r="AH198" s="2029">
        <v>0</v>
      </c>
    </row>
    <row s="24354" customFormat="1" customHeight="1" ht="18.75" hidden="1">
      <c r="A199" s="2178"/>
      <c r="B199" s="2178"/>
      <c r="C199" s="767" t="s">
        <v>1151</v>
      </c>
      <c r="D199" s="2860"/>
      <c r="E199" s="2602"/>
      <c r="F199" s="2781"/>
      <c r="G199" s="2825"/>
      <c r="H199" s="1898"/>
      <c r="I199" s="1049" t="s">
        <v>1150</v>
      </c>
      <c r="J199" s="969"/>
      <c r="K199" s="1898"/>
      <c r="L199" s="612"/>
      <c r="M199" s="739"/>
      <c r="N199" s="732"/>
      <c r="O199" s="2022"/>
      <c r="P199" s="2022"/>
      <c r="AH199" s="2029">
        <v>0</v>
      </c>
    </row>
    <row s="24354" customFormat="1" customHeight="1" ht="0.75" hidden="1">
      <c r="A200" s="2178"/>
      <c r="B200" s="2178"/>
      <c r="C200" s="767" t="s">
        <v>1160</v>
      </c>
      <c r="D200" s="2860"/>
      <c r="E200" s="2602"/>
      <c r="F200" s="2781"/>
      <c r="G200" s="798"/>
      <c r="H200" s="1898"/>
      <c r="I200" s="1049"/>
      <c r="J200" s="969"/>
      <c r="K200" s="1898"/>
      <c r="L200" s="612"/>
      <c r="M200" s="739"/>
      <c r="N200" s="732"/>
      <c r="O200" s="2022"/>
      <c r="P200" s="2022"/>
      <c r="AH200" s="2029">
        <v>0</v>
      </c>
    </row>
    <row s="24354" customFormat="1" customHeight="1" ht="18.75" hidden="1">
      <c r="A201" s="2178" t="s">
        <v>204</v>
      </c>
      <c r="B201" s="2178" t="s">
        <v>205</v>
      </c>
      <c r="C201" s="767"/>
      <c r="D201" s="2860"/>
      <c r="E201" s="2602"/>
      <c r="F201" s="2781" t="str">
        <f>INDEX(PT_DIFFERENTIATION_VTAR,MATCH(A201,PT_DIFFERENTIATION_VTAR_ID,0))</f>
        <v>Плата за подключение (технологическое присоединение) к системе теплоснабжения</v>
      </c>
      <c r="G201" s="2825" t="str">
        <f>INDEX(PT_DIFFERENTIATION_NTAR,MATCH(B201,PT_DIFFERENTIATION_NTAR_ID,0))</f>
        <v/>
      </c>
      <c r="H201" s="2260"/>
      <c r="I201" s="2137"/>
      <c r="J201" s="2171"/>
      <c r="K201" s="2176"/>
      <c r="L201" s="2260" t="s">
        <v>311</v>
      </c>
      <c r="M201" s="739"/>
      <c r="N201" s="732"/>
      <c r="O201" s="2022"/>
      <c r="P201" s="2022"/>
      <c r="AH201" s="2029">
        <v>0</v>
      </c>
    </row>
    <row s="24354" customFormat="1" customHeight="1" ht="18.75" hidden="1">
      <c r="A202" s="2178"/>
      <c r="B202" s="2178"/>
      <c r="C202" s="767" t="s">
        <v>1151</v>
      </c>
      <c r="D202" s="2860"/>
      <c r="E202" s="2602"/>
      <c r="F202" s="2781"/>
      <c r="G202" s="2825"/>
      <c r="H202" s="1898"/>
      <c r="I202" s="1049" t="s">
        <v>1150</v>
      </c>
      <c r="J202" s="969"/>
      <c r="K202" s="1898"/>
      <c r="L202" s="612"/>
      <c r="M202" s="739"/>
      <c r="N202" s="732"/>
      <c r="O202" s="2022"/>
      <c r="P202" s="2022"/>
      <c r="AH202" s="2029">
        <v>0</v>
      </c>
    </row>
    <row s="24354" customFormat="1" customHeight="1" ht="0.75" hidden="1">
      <c r="A203" s="2178"/>
      <c r="B203" s="2178"/>
      <c r="C203" s="767" t="s">
        <v>1160</v>
      </c>
      <c r="D203" s="2860"/>
      <c r="E203" s="2602"/>
      <c r="F203" s="2781"/>
      <c r="G203" s="798"/>
      <c r="H203" s="1898"/>
      <c r="I203" s="1049"/>
      <c r="J203" s="969"/>
      <c r="K203" s="1898"/>
      <c r="L203" s="612"/>
      <c r="M203" s="739"/>
      <c r="N203" s="732"/>
      <c r="O203" s="2022"/>
      <c r="P203" s="2022"/>
      <c r="AH203" s="2029">
        <v>0</v>
      </c>
    </row>
    <row s="24354" customFormat="1" customHeight="1" ht="18.75" hidden="1">
      <c r="A204" s="2178" t="s">
        <v>210</v>
      </c>
      <c r="B204" s="2178" t="s">
        <v>211</v>
      </c>
      <c r="C204" s="767"/>
      <c r="D204" s="2860"/>
      <c r="E204" s="2602"/>
      <c r="F204" s="2781" t="str">
        <f>INDEX(PT_DIFFERENTIATION_VTAR,MATCH(A204,PT_DIFFERENTIATION_VTAR_ID,0))</f>
        <v>Плата за подключение (технологическое присоединение) к системе теплоснабжения (индивидуальная)</v>
      </c>
      <c r="G204" s="2825" t="str">
        <f>INDEX(PT_DIFFERENTIATION_NTAR,MATCH(B204,PT_DIFFERENTIATION_NTAR_ID,0))</f>
        <v/>
      </c>
      <c r="H204" s="2387"/>
      <c r="I204" s="2137"/>
      <c r="J204" s="2171"/>
      <c r="K204" s="2176"/>
      <c r="L204" s="2387" t="s">
        <v>311</v>
      </c>
      <c r="M204" s="739"/>
      <c r="N204" s="732"/>
      <c r="O204" s="2022"/>
      <c r="P204" s="2022"/>
      <c r="AH204" s="2029">
        <v>0</v>
      </c>
    </row>
    <row s="24354" customFormat="1" customHeight="1" ht="18.75" hidden="1">
      <c r="A205" s="2178"/>
      <c r="B205" s="2178"/>
      <c r="C205" s="767" t="s">
        <v>1151</v>
      </c>
      <c r="D205" s="2860"/>
      <c r="E205" s="2602"/>
      <c r="F205" s="2781"/>
      <c r="G205" s="2825"/>
      <c r="H205" s="1898"/>
      <c r="I205" s="1049" t="s">
        <v>1150</v>
      </c>
      <c r="J205" s="969"/>
      <c r="K205" s="1898"/>
      <c r="L205" s="612"/>
      <c r="M205" s="739"/>
      <c r="N205" s="732"/>
      <c r="O205" s="2022"/>
      <c r="P205" s="2022"/>
      <c r="AH205" s="2029">
        <v>0</v>
      </c>
    </row>
    <row s="24354" customFormat="1" customHeight="1" ht="0.75" hidden="1">
      <c r="A206" s="2178"/>
      <c r="B206" s="2178"/>
      <c r="C206" s="767" t="s">
        <v>1160</v>
      </c>
      <c r="D206" s="2860"/>
      <c r="E206" s="2602"/>
      <c r="F206" s="2781"/>
      <c r="G206" s="798"/>
      <c r="H206" s="1898"/>
      <c r="I206" s="1049"/>
      <c r="J206" s="969"/>
      <c r="K206" s="1898"/>
      <c r="L206" s="612"/>
      <c r="M206" s="739"/>
      <c r="N206" s="732"/>
      <c r="O206" s="2022"/>
      <c r="P206" s="2022"/>
      <c r="AH206" s="2029">
        <v>0</v>
      </c>
    </row>
    <row s="24354" customFormat="1" customHeight="1" ht="18.75" hidden="1">
      <c r="A207" s="2178" t="s">
        <v>230</v>
      </c>
      <c r="B207" s="2178" t="s">
        <v>231</v>
      </c>
      <c r="C207" s="767"/>
      <c r="D207" s="2860"/>
      <c r="E207" s="2602"/>
      <c r="F207" s="2781" t="str">
        <f>INDEX(PT_DIFFERENTIATION_VTAR,MATCH(A207,PT_DIFFERENTIATION_VTAR_ID,0))</f>
        <v>Тариф на питьевую воду (питьевое водоснабжение)</v>
      </c>
      <c r="G207" s="2825" t="str">
        <f>INDEX(PT_DIFFERENTIATION_NTAR,MATCH(B207,PT_DIFFERENTIATION_NTAR_ID,0))</f>
        <v/>
      </c>
      <c r="H207" s="2260"/>
      <c r="I207" s="2137"/>
      <c r="J207" s="2171"/>
      <c r="K207" s="2176"/>
      <c r="L207" s="2260" t="s">
        <v>311</v>
      </c>
      <c r="M207" s="739"/>
      <c r="N207" s="732"/>
      <c r="O207" s="2022"/>
      <c r="P207" s="2022"/>
      <c r="AH207" s="2029">
        <v>0</v>
      </c>
    </row>
    <row s="24354" customFormat="1" customHeight="1" ht="18.75" hidden="1">
      <c r="A208" s="2178"/>
      <c r="B208" s="2178"/>
      <c r="C208" s="767" t="s">
        <v>1151</v>
      </c>
      <c r="D208" s="2860"/>
      <c r="E208" s="2602"/>
      <c r="F208" s="2781"/>
      <c r="G208" s="2825"/>
      <c r="H208" s="1898"/>
      <c r="I208" s="1049" t="s">
        <v>1150</v>
      </c>
      <c r="J208" s="969"/>
      <c r="K208" s="1898"/>
      <c r="L208" s="612"/>
      <c r="M208" s="739"/>
      <c r="N208" s="732"/>
      <c r="O208" s="2022"/>
      <c r="P208" s="2022"/>
      <c r="AH208" s="2029">
        <v>0</v>
      </c>
    </row>
    <row s="24354" customFormat="1" customHeight="1" ht="0.75" hidden="1">
      <c r="A209" s="2178"/>
      <c r="B209" s="2178"/>
      <c r="C209" s="767" t="s">
        <v>1160</v>
      </c>
      <c r="D209" s="2860"/>
      <c r="E209" s="2602"/>
      <c r="F209" s="2781"/>
      <c r="G209" s="798"/>
      <c r="H209" s="1898"/>
      <c r="I209" s="1049"/>
      <c r="J209" s="969"/>
      <c r="K209" s="1898"/>
      <c r="L209" s="612"/>
      <c r="M209" s="739"/>
      <c r="N209" s="732"/>
      <c r="O209" s="2022"/>
      <c r="P209" s="2022"/>
      <c r="AH209" s="2029">
        <v>0</v>
      </c>
    </row>
    <row s="24354" customFormat="1" customHeight="1" ht="18.75" hidden="1">
      <c r="A210" s="2178" t="s">
        <v>235</v>
      </c>
      <c r="B210" s="2178" t="s">
        <v>236</v>
      </c>
      <c r="C210" s="767"/>
      <c r="D210" s="2860"/>
      <c r="E210" s="2602"/>
      <c r="F210" s="2781" t="str">
        <f>INDEX(PT_DIFFERENTIATION_VTAR,MATCH(A210,PT_DIFFERENTIATION_VTAR_ID,0))</f>
        <v>Тариф на техническую воду</v>
      </c>
      <c r="G210" s="2825" t="str">
        <f>INDEX(PT_DIFFERENTIATION_NTAR,MATCH(B210,PT_DIFFERENTIATION_NTAR_ID,0))</f>
        <v/>
      </c>
      <c r="H210" s="2260"/>
      <c r="I210" s="2137"/>
      <c r="J210" s="2171"/>
      <c r="K210" s="2176"/>
      <c r="L210" s="2260" t="s">
        <v>311</v>
      </c>
      <c r="M210" s="739"/>
      <c r="N210" s="732"/>
      <c r="O210" s="2022"/>
      <c r="P210" s="2022"/>
      <c r="AH210" s="2029">
        <v>0</v>
      </c>
    </row>
    <row s="24354" customFormat="1" customHeight="1" ht="18.75" hidden="1">
      <c r="A211" s="2178"/>
      <c r="B211" s="2178"/>
      <c r="C211" s="767" t="s">
        <v>1151</v>
      </c>
      <c r="D211" s="2860"/>
      <c r="E211" s="2602"/>
      <c r="F211" s="2781"/>
      <c r="G211" s="2825"/>
      <c r="H211" s="1898"/>
      <c r="I211" s="1049" t="s">
        <v>1150</v>
      </c>
      <c r="J211" s="969"/>
      <c r="K211" s="1898"/>
      <c r="L211" s="612"/>
      <c r="M211" s="739"/>
      <c r="N211" s="732"/>
      <c r="O211" s="2022"/>
      <c r="P211" s="2022"/>
      <c r="AH211" s="2029">
        <v>0</v>
      </c>
    </row>
    <row s="24354" customFormat="1" customHeight="1" ht="0.75" hidden="1">
      <c r="A212" s="2178"/>
      <c r="B212" s="2178"/>
      <c r="C212" s="767" t="s">
        <v>1160</v>
      </c>
      <c r="D212" s="2860"/>
      <c r="E212" s="2602"/>
      <c r="F212" s="2781"/>
      <c r="G212" s="798"/>
      <c r="H212" s="1898"/>
      <c r="I212" s="1049"/>
      <c r="J212" s="969"/>
      <c r="K212" s="1898"/>
      <c r="L212" s="612"/>
      <c r="M212" s="739"/>
      <c r="N212" s="732"/>
      <c r="O212" s="2022"/>
      <c r="P212" s="2022"/>
      <c r="AH212" s="2029">
        <v>0</v>
      </c>
    </row>
    <row s="24354" customFormat="1" customHeight="1" ht="18.75" hidden="1">
      <c r="A213" s="2178" t="s">
        <v>240</v>
      </c>
      <c r="B213" s="2178" t="s">
        <v>241</v>
      </c>
      <c r="C213" s="767"/>
      <c r="D213" s="2860"/>
      <c r="E213" s="2602"/>
      <c r="F213" s="2781" t="str">
        <f>INDEX(PT_DIFFERENTIATION_VTAR,MATCH(A213,PT_DIFFERENTIATION_VTAR_ID,0))</f>
        <v>Тариф на транспортировку воды</v>
      </c>
      <c r="G213" s="2825" t="str">
        <f>INDEX(PT_DIFFERENTIATION_NTAR,MATCH(B213,PT_DIFFERENTIATION_NTAR_ID,0))</f>
        <v/>
      </c>
      <c r="H213" s="2260"/>
      <c r="I213" s="2137"/>
      <c r="J213" s="2171"/>
      <c r="K213" s="2176"/>
      <c r="L213" s="2260" t="s">
        <v>311</v>
      </c>
      <c r="M213" s="739"/>
      <c r="N213" s="732"/>
      <c r="O213" s="2022"/>
      <c r="P213" s="2022"/>
      <c r="AH213" s="2029">
        <v>0</v>
      </c>
    </row>
    <row s="24354" customFormat="1" customHeight="1" ht="18.75" hidden="1">
      <c r="A214" s="2178"/>
      <c r="B214" s="2178"/>
      <c r="C214" s="767" t="s">
        <v>1151</v>
      </c>
      <c r="D214" s="2860"/>
      <c r="E214" s="2602"/>
      <c r="F214" s="2781"/>
      <c r="G214" s="2825"/>
      <c r="H214" s="1898"/>
      <c r="I214" s="1049" t="s">
        <v>1150</v>
      </c>
      <c r="J214" s="969"/>
      <c r="K214" s="1898"/>
      <c r="L214" s="612"/>
      <c r="M214" s="739"/>
      <c r="N214" s="732"/>
      <c r="O214" s="2022"/>
      <c r="P214" s="2022"/>
      <c r="AH214" s="2029">
        <v>0</v>
      </c>
    </row>
    <row s="24354" customFormat="1" customHeight="1" ht="0.75" hidden="1">
      <c r="A215" s="2178"/>
      <c r="B215" s="2178"/>
      <c r="C215" s="767" t="s">
        <v>1160</v>
      </c>
      <c r="D215" s="2860"/>
      <c r="E215" s="2602"/>
      <c r="F215" s="2781"/>
      <c r="G215" s="798"/>
      <c r="H215" s="1898"/>
      <c r="I215" s="1049"/>
      <c r="J215" s="969"/>
      <c r="K215" s="1898"/>
      <c r="L215" s="612"/>
      <c r="M215" s="739"/>
      <c r="N215" s="732"/>
      <c r="O215" s="2022"/>
      <c r="P215" s="2022"/>
      <c r="AH215" s="2029">
        <v>0</v>
      </c>
    </row>
    <row s="24354" customFormat="1" customHeight="1" ht="18.75" hidden="1">
      <c r="A216" s="2178" t="s">
        <v>245</v>
      </c>
      <c r="B216" s="2178" t="s">
        <v>246</v>
      </c>
      <c r="C216" s="767"/>
      <c r="D216" s="2860"/>
      <c r="E216" s="2602"/>
      <c r="F216" s="2781" t="str">
        <f>INDEX(PT_DIFFERENTIATION_VTAR,MATCH(A216,PT_DIFFERENTIATION_VTAR_ID,0))</f>
        <v>Тариф на подвоз воды</v>
      </c>
      <c r="G216" s="2825" t="str">
        <f>INDEX(PT_DIFFERENTIATION_NTAR,MATCH(B216,PT_DIFFERENTIATION_NTAR_ID,0))</f>
        <v/>
      </c>
      <c r="H216" s="2260"/>
      <c r="I216" s="2137"/>
      <c r="J216" s="2171"/>
      <c r="K216" s="2176"/>
      <c r="L216" s="2260" t="s">
        <v>311</v>
      </c>
      <c r="M216" s="739"/>
      <c r="N216" s="732"/>
      <c r="O216" s="2022"/>
      <c r="P216" s="2022"/>
      <c r="AH216" s="2029">
        <v>0</v>
      </c>
    </row>
    <row s="24354" customFormat="1" customHeight="1" ht="18.75" hidden="1">
      <c r="A217" s="2178"/>
      <c r="B217" s="2178"/>
      <c r="C217" s="767" t="s">
        <v>1151</v>
      </c>
      <c r="D217" s="2860"/>
      <c r="E217" s="2602"/>
      <c r="F217" s="2781"/>
      <c r="G217" s="2825"/>
      <c r="H217" s="1898"/>
      <c r="I217" s="1049" t="s">
        <v>1150</v>
      </c>
      <c r="J217" s="969"/>
      <c r="K217" s="1898"/>
      <c r="L217" s="612"/>
      <c r="M217" s="739"/>
      <c r="N217" s="732"/>
      <c r="O217" s="2022"/>
      <c r="P217" s="2022"/>
      <c r="AH217" s="2029">
        <v>0</v>
      </c>
    </row>
    <row s="24354" customFormat="1" customHeight="1" ht="0.75" hidden="1">
      <c r="A218" s="2178"/>
      <c r="B218" s="2178"/>
      <c r="C218" s="767" t="s">
        <v>1160</v>
      </c>
      <c r="D218" s="2860"/>
      <c r="E218" s="2602"/>
      <c r="F218" s="2781"/>
      <c r="G218" s="798"/>
      <c r="H218" s="1898"/>
      <c r="I218" s="1049"/>
      <c r="J218" s="969"/>
      <c r="K218" s="1898"/>
      <c r="L218" s="612"/>
      <c r="M218" s="739"/>
      <c r="N218" s="732"/>
      <c r="O218" s="2022"/>
      <c r="P218" s="2022"/>
      <c r="AH218" s="2029">
        <v>0</v>
      </c>
    </row>
    <row s="24354" customFormat="1" customHeight="1" ht="18.75" hidden="1">
      <c r="A219" s="2178" t="s">
        <v>250</v>
      </c>
      <c r="B219" s="2178" t="s">
        <v>251</v>
      </c>
      <c r="C219" s="767"/>
      <c r="D219" s="2860"/>
      <c r="E219" s="2602"/>
      <c r="F219" s="2781" t="str">
        <f>INDEX(PT_DIFFERENTIATION_VTAR,MATCH(A219,PT_DIFFERENTIATION_VTAR_ID,0))</f>
        <v>Тариф на подключение (технологическое присоединение) к централизованной системе холодного водоснабжения</v>
      </c>
      <c r="G219" s="2825" t="str">
        <f>INDEX(PT_DIFFERENTIATION_NTAR,MATCH(B219,PT_DIFFERENTIATION_NTAR_ID,0))</f>
        <v/>
      </c>
      <c r="H219" s="2260"/>
      <c r="I219" s="2137"/>
      <c r="J219" s="2171"/>
      <c r="K219" s="2176"/>
      <c r="L219" s="2260" t="s">
        <v>311</v>
      </c>
      <c r="M219" s="739"/>
      <c r="N219" s="732"/>
      <c r="O219" s="2022"/>
      <c r="P219" s="2022"/>
      <c r="AH219" s="2029">
        <v>0</v>
      </c>
    </row>
    <row s="24354" customFormat="1" customHeight="1" ht="18.75" hidden="1">
      <c r="A220" s="2178"/>
      <c r="B220" s="2178"/>
      <c r="C220" s="767" t="s">
        <v>1151</v>
      </c>
      <c r="D220" s="2860"/>
      <c r="E220" s="2602"/>
      <c r="F220" s="2781"/>
      <c r="G220" s="2825"/>
      <c r="H220" s="1898"/>
      <c r="I220" s="1049" t="s">
        <v>1150</v>
      </c>
      <c r="J220" s="969"/>
      <c r="K220" s="1898"/>
      <c r="L220" s="612"/>
      <c r="M220" s="739"/>
      <c r="N220" s="732"/>
      <c r="O220" s="2022"/>
      <c r="P220" s="2022"/>
      <c r="AH220" s="2029">
        <v>0</v>
      </c>
    </row>
    <row s="24354" customFormat="1" customHeight="1" ht="0.75" hidden="1">
      <c r="A221" s="2178"/>
      <c r="B221" s="2178"/>
      <c r="C221" s="767" t="s">
        <v>1160</v>
      </c>
      <c r="D221" s="2860"/>
      <c r="E221" s="2602"/>
      <c r="F221" s="2781"/>
      <c r="G221" s="798"/>
      <c r="H221" s="1898"/>
      <c r="I221" s="1049"/>
      <c r="J221" s="969"/>
      <c r="K221" s="1898"/>
      <c r="L221" s="612"/>
      <c r="M221" s="739"/>
      <c r="N221" s="732"/>
      <c r="O221" s="2022"/>
      <c r="P221" s="2022"/>
      <c r="AH221" s="2029">
        <v>0</v>
      </c>
    </row>
    <row s="24354" customFormat="1" customHeight="1" ht="18.75" hidden="1">
      <c r="A222" s="2178" t="s">
        <v>255</v>
      </c>
      <c r="B222" s="2178" t="s">
        <v>256</v>
      </c>
      <c r="C222" s="767"/>
      <c r="D222" s="2860"/>
      <c r="E222" s="2602"/>
      <c r="F222" s="2781" t="str">
        <f>INDEX(PT_DIFFERENTIATION_VTAR,MATCH(A222,PT_DIFFERENTIATION_VTAR_ID,0))</f>
        <v>Тариф на горячую воду (горячее водоснабжение)</v>
      </c>
      <c r="G222" s="2825" t="str">
        <f>INDEX(PT_DIFFERENTIATION_NTAR,MATCH(B222,PT_DIFFERENTIATION_NTAR_ID,0))</f>
        <v/>
      </c>
      <c r="H222" s="2260"/>
      <c r="I222" s="2137"/>
      <c r="J222" s="2171"/>
      <c r="K222" s="2176"/>
      <c r="L222" s="2260" t="s">
        <v>311</v>
      </c>
      <c r="M222" s="739"/>
      <c r="N222" s="732"/>
      <c r="O222" s="2022"/>
      <c r="P222" s="2022"/>
      <c r="AH222" s="2029">
        <v>0</v>
      </c>
    </row>
    <row s="24354" customFormat="1" customHeight="1" ht="18.75" hidden="1">
      <c r="A223" s="2178"/>
      <c r="B223" s="2178"/>
      <c r="C223" s="767" t="s">
        <v>1151</v>
      </c>
      <c r="D223" s="2860"/>
      <c r="E223" s="2602"/>
      <c r="F223" s="2781"/>
      <c r="G223" s="2825"/>
      <c r="H223" s="1898"/>
      <c r="I223" s="1049" t="s">
        <v>1150</v>
      </c>
      <c r="J223" s="969"/>
      <c r="K223" s="1898"/>
      <c r="L223" s="612"/>
      <c r="M223" s="739"/>
      <c r="N223" s="732"/>
      <c r="O223" s="2022"/>
      <c r="P223" s="2022"/>
      <c r="AH223" s="2029">
        <v>0</v>
      </c>
    </row>
    <row s="24354" customFormat="1" customHeight="1" ht="0.75" hidden="1">
      <c r="A224" s="2178"/>
      <c r="B224" s="2178"/>
      <c r="C224" s="767" t="s">
        <v>1160</v>
      </c>
      <c r="D224" s="2860"/>
      <c r="E224" s="2602"/>
      <c r="F224" s="2781"/>
      <c r="G224" s="798"/>
      <c r="H224" s="1898"/>
      <c r="I224" s="1049"/>
      <c r="J224" s="969"/>
      <c r="K224" s="1898"/>
      <c r="L224" s="612"/>
      <c r="M224" s="739"/>
      <c r="N224" s="732"/>
      <c r="O224" s="2022"/>
      <c r="P224" s="2022"/>
      <c r="AH224" s="2029">
        <v>0</v>
      </c>
    </row>
    <row s="24354" customFormat="1" customHeight="1" ht="18.75" hidden="1">
      <c r="A225" s="2178" t="s">
        <v>260</v>
      </c>
      <c r="B225" s="2178" t="s">
        <v>261</v>
      </c>
      <c r="C225" s="767"/>
      <c r="D225" s="2860"/>
      <c r="E225" s="2602"/>
      <c r="F225" s="2781" t="str">
        <f>INDEX(PT_DIFFERENTIATION_VTAR,MATCH(A225,PT_DIFFERENTIATION_VTAR_ID,0))</f>
        <v>Тариф на транспортировку горячей воды</v>
      </c>
      <c r="G225" s="2825" t="str">
        <f>INDEX(PT_DIFFERENTIATION_NTAR,MATCH(B225,PT_DIFFERENTIATION_NTAR_ID,0))</f>
        <v/>
      </c>
      <c r="H225" s="2260"/>
      <c r="I225" s="2137"/>
      <c r="J225" s="2171"/>
      <c r="K225" s="2176"/>
      <c r="L225" s="2260" t="s">
        <v>311</v>
      </c>
      <c r="M225" s="739"/>
      <c r="N225" s="732"/>
      <c r="O225" s="2022"/>
      <c r="P225" s="2022"/>
      <c r="AH225" s="2029">
        <v>0</v>
      </c>
    </row>
    <row s="24354" customFormat="1" customHeight="1" ht="18.75" hidden="1">
      <c r="A226" s="2178"/>
      <c r="B226" s="2178"/>
      <c r="C226" s="767" t="s">
        <v>1151</v>
      </c>
      <c r="D226" s="2860"/>
      <c r="E226" s="2602"/>
      <c r="F226" s="2781"/>
      <c r="G226" s="2825"/>
      <c r="H226" s="1898"/>
      <c r="I226" s="1049" t="s">
        <v>1150</v>
      </c>
      <c r="J226" s="969"/>
      <c r="K226" s="1898"/>
      <c r="L226" s="612"/>
      <c r="M226" s="739"/>
      <c r="N226" s="732"/>
      <c r="O226" s="2022"/>
      <c r="P226" s="2022"/>
      <c r="AH226" s="2029">
        <v>0</v>
      </c>
    </row>
    <row s="24354" customFormat="1" customHeight="1" ht="0.75" hidden="1">
      <c r="A227" s="2178"/>
      <c r="B227" s="2178"/>
      <c r="C227" s="767" t="s">
        <v>1160</v>
      </c>
      <c r="D227" s="2860"/>
      <c r="E227" s="2602"/>
      <c r="F227" s="2781"/>
      <c r="G227" s="798"/>
      <c r="H227" s="1898"/>
      <c r="I227" s="1049"/>
      <c r="J227" s="969"/>
      <c r="K227" s="1898"/>
      <c r="L227" s="612"/>
      <c r="M227" s="739"/>
      <c r="N227" s="732"/>
      <c r="O227" s="2022"/>
      <c r="P227" s="2022"/>
      <c r="AH227" s="2029">
        <v>0</v>
      </c>
    </row>
    <row s="24354" customFormat="1" customHeight="1" ht="18.75" hidden="1">
      <c r="A228" s="2178" t="s">
        <v>265</v>
      </c>
      <c r="B228" s="2178" t="s">
        <v>266</v>
      </c>
      <c r="C228" s="767"/>
      <c r="D228" s="2860"/>
      <c r="E228" s="2602"/>
      <c r="F228" s="2781" t="str">
        <f>INDEX(PT_DIFFERENTIATION_VTAR,MATCH(A228,PT_DIFFERENTIATION_VTAR_ID,0))</f>
        <v>Тариф на подключение (технологическое присоединение) к централизованной системе горячего водоснабжения</v>
      </c>
      <c r="G228" s="2825" t="str">
        <f>INDEX(PT_DIFFERENTIATION_NTAR,MATCH(B228,PT_DIFFERENTIATION_NTAR_ID,0))</f>
        <v/>
      </c>
      <c r="H228" s="2260"/>
      <c r="I228" s="2137"/>
      <c r="J228" s="2171"/>
      <c r="K228" s="2176"/>
      <c r="L228" s="2260" t="s">
        <v>311</v>
      </c>
      <c r="M228" s="739"/>
      <c r="N228" s="732"/>
      <c r="O228" s="2022"/>
      <c r="P228" s="2022"/>
      <c r="AH228" s="2029">
        <v>0</v>
      </c>
    </row>
    <row s="24354" customFormat="1" customHeight="1" ht="18.75" hidden="1">
      <c r="A229" s="2178"/>
      <c r="B229" s="2178"/>
      <c r="C229" s="767" t="s">
        <v>1151</v>
      </c>
      <c r="D229" s="2860"/>
      <c r="E229" s="2602"/>
      <c r="F229" s="2781"/>
      <c r="G229" s="2825"/>
      <c r="H229" s="1898"/>
      <c r="I229" s="1049" t="s">
        <v>1150</v>
      </c>
      <c r="J229" s="969"/>
      <c r="K229" s="1898"/>
      <c r="L229" s="612"/>
      <c r="M229" s="739"/>
      <c r="N229" s="732"/>
      <c r="O229" s="2022"/>
      <c r="P229" s="2022"/>
      <c r="AH229" s="2029">
        <v>0</v>
      </c>
    </row>
    <row s="24354" customFormat="1" customHeight="1" ht="0.75" hidden="1">
      <c r="A230" s="2178"/>
      <c r="B230" s="2178"/>
      <c r="C230" s="767" t="s">
        <v>1160</v>
      </c>
      <c r="D230" s="2860"/>
      <c r="E230" s="2602"/>
      <c r="F230" s="2781"/>
      <c r="G230" s="798"/>
      <c r="H230" s="1898"/>
      <c r="I230" s="1049"/>
      <c r="J230" s="969"/>
      <c r="K230" s="1898"/>
      <c r="L230" s="612"/>
      <c r="M230" s="739"/>
      <c r="N230" s="732"/>
      <c r="O230" s="2022"/>
      <c r="P230" s="2022"/>
      <c r="AH230" s="2029">
        <v>0</v>
      </c>
    </row>
    <row s="24354" customFormat="1" customHeight="1" ht="18.75" hidden="1">
      <c r="A231" s="2178" t="s">
        <v>270</v>
      </c>
      <c r="B231" s="2178" t="s">
        <v>271</v>
      </c>
      <c r="C231" s="767"/>
      <c r="D231" s="2860"/>
      <c r="E231" s="2602"/>
      <c r="F231" s="2781" t="str">
        <f>INDEX(PT_DIFFERENTIATION_VTAR,MATCH(A231,PT_DIFFERENTIATION_VTAR_ID,0))</f>
        <v>Тариф на водоотведение</v>
      </c>
      <c r="G231" s="2825" t="str">
        <f>INDEX(PT_DIFFERENTIATION_NTAR,MATCH(B231,PT_DIFFERENTIATION_NTAR_ID,0))</f>
        <v/>
      </c>
      <c r="H231" s="2260"/>
      <c r="I231" s="2137"/>
      <c r="J231" s="2171"/>
      <c r="K231" s="2176"/>
      <c r="L231" s="2260" t="s">
        <v>311</v>
      </c>
      <c r="M231" s="739"/>
      <c r="N231" s="732"/>
      <c r="O231" s="2022"/>
      <c r="P231" s="2022"/>
      <c r="AH231" s="2029">
        <v>0</v>
      </c>
    </row>
    <row s="24354" customFormat="1" customHeight="1" ht="18.75" hidden="1">
      <c r="A232" s="2178"/>
      <c r="B232" s="2178"/>
      <c r="C232" s="767" t="s">
        <v>1151</v>
      </c>
      <c r="D232" s="2860"/>
      <c r="E232" s="2602"/>
      <c r="F232" s="2781"/>
      <c r="G232" s="2825"/>
      <c r="H232" s="1898"/>
      <c r="I232" s="1049" t="s">
        <v>1150</v>
      </c>
      <c r="J232" s="969"/>
      <c r="K232" s="1898"/>
      <c r="L232" s="612"/>
      <c r="M232" s="739"/>
      <c r="N232" s="732"/>
      <c r="O232" s="2022"/>
      <c r="P232" s="2022"/>
      <c r="AH232" s="2029">
        <v>0</v>
      </c>
    </row>
    <row s="24354" customFormat="1" customHeight="1" ht="0.75" hidden="1">
      <c r="A233" s="2178"/>
      <c r="B233" s="2178"/>
      <c r="C233" s="767" t="s">
        <v>1160</v>
      </c>
      <c r="D233" s="2860"/>
      <c r="E233" s="2602"/>
      <c r="F233" s="2781"/>
      <c r="G233" s="798"/>
      <c r="H233" s="1898"/>
      <c r="I233" s="1049"/>
      <c r="J233" s="969"/>
      <c r="K233" s="1898"/>
      <c r="L233" s="612"/>
      <c r="M233" s="739"/>
      <c r="N233" s="732"/>
      <c r="O233" s="2022"/>
      <c r="P233" s="2022"/>
      <c r="AH233" s="2029">
        <v>0</v>
      </c>
    </row>
    <row s="24354" customFormat="1" customHeight="1" ht="18.75" hidden="1">
      <c r="A234" s="2178" t="s">
        <v>275</v>
      </c>
      <c r="B234" s="2178" t="s">
        <v>276</v>
      </c>
      <c r="C234" s="767"/>
      <c r="D234" s="2860"/>
      <c r="E234" s="2602"/>
      <c r="F234" s="2781" t="str">
        <f>INDEX(PT_DIFFERENTIATION_VTAR,MATCH(A234,PT_DIFFERENTIATION_VTAR_ID,0))</f>
        <v>Тариф на транспортировку сточных вод</v>
      </c>
      <c r="G234" s="2825" t="str">
        <f>INDEX(PT_DIFFERENTIATION_NTAR,MATCH(B234,PT_DIFFERENTIATION_NTAR_ID,0))</f>
        <v/>
      </c>
      <c r="H234" s="2260"/>
      <c r="I234" s="2137"/>
      <c r="J234" s="2171"/>
      <c r="K234" s="2176"/>
      <c r="L234" s="2260" t="s">
        <v>311</v>
      </c>
      <c r="M234" s="739"/>
      <c r="N234" s="732"/>
      <c r="O234" s="2022"/>
      <c r="P234" s="2022"/>
      <c r="AH234" s="2029">
        <v>0</v>
      </c>
    </row>
    <row s="24354" customFormat="1" customHeight="1" ht="18.75" hidden="1">
      <c r="A235" s="2178"/>
      <c r="B235" s="2178"/>
      <c r="C235" s="767" t="s">
        <v>1151</v>
      </c>
      <c r="D235" s="2860"/>
      <c r="E235" s="2602"/>
      <c r="F235" s="2781"/>
      <c r="G235" s="2825"/>
      <c r="H235" s="1898"/>
      <c r="I235" s="1049" t="s">
        <v>1150</v>
      </c>
      <c r="J235" s="969"/>
      <c r="K235" s="1898"/>
      <c r="L235" s="612"/>
      <c r="M235" s="739"/>
      <c r="N235" s="732"/>
      <c r="O235" s="2022"/>
      <c r="P235" s="2022"/>
      <c r="AH235" s="2029">
        <v>0</v>
      </c>
    </row>
    <row s="24354" customFormat="1" customHeight="1" ht="0.75" hidden="1">
      <c r="A236" s="2178"/>
      <c r="B236" s="2178"/>
      <c r="C236" s="767" t="s">
        <v>1160</v>
      </c>
      <c r="D236" s="2860"/>
      <c r="E236" s="2602"/>
      <c r="F236" s="2781"/>
      <c r="G236" s="798"/>
      <c r="H236" s="1898"/>
      <c r="I236" s="1049"/>
      <c r="J236" s="969"/>
      <c r="K236" s="1898"/>
      <c r="L236" s="612"/>
      <c r="M236" s="739"/>
      <c r="N236" s="732"/>
      <c r="O236" s="2022"/>
      <c r="P236" s="2022"/>
      <c r="AH236" s="2029">
        <v>0</v>
      </c>
    </row>
    <row s="24354" customFormat="1" customHeight="1" ht="18.75" hidden="1">
      <c r="A237" s="2178" t="s">
        <v>280</v>
      </c>
      <c r="B237" s="2178" t="s">
        <v>281</v>
      </c>
      <c r="C237" s="767"/>
      <c r="D237" s="2860"/>
      <c r="E237" s="2602"/>
      <c r="F237" s="2781" t="str">
        <f>INDEX(PT_DIFFERENTIATION_VTAR,MATCH(A237,PT_DIFFERENTIATION_VTAR_ID,0))</f>
        <v>Тариф на подключение (технологическое присоединение) к централизованной системе водоотведения</v>
      </c>
      <c r="G237" s="2825" t="str">
        <f>INDEX(PT_DIFFERENTIATION_NTAR,MATCH(B237,PT_DIFFERENTIATION_NTAR_ID,0))</f>
        <v/>
      </c>
      <c r="H237" s="2260"/>
      <c r="I237" s="2137"/>
      <c r="J237" s="2171"/>
      <c r="K237" s="2176"/>
      <c r="L237" s="2260" t="s">
        <v>311</v>
      </c>
      <c r="M237" s="739"/>
      <c r="N237" s="732"/>
      <c r="O237" s="2022"/>
      <c r="P237" s="2022"/>
      <c r="AH237" s="2029">
        <v>0</v>
      </c>
    </row>
    <row s="24354" customFormat="1" customHeight="1" ht="18.75" hidden="1">
      <c r="A238" s="2178"/>
      <c r="B238" s="2178"/>
      <c r="C238" s="767" t="s">
        <v>1151</v>
      </c>
      <c r="D238" s="2860"/>
      <c r="E238" s="2602"/>
      <c r="F238" s="2781"/>
      <c r="G238" s="2825"/>
      <c r="H238" s="1898"/>
      <c r="I238" s="1049" t="s">
        <v>1150</v>
      </c>
      <c r="J238" s="969"/>
      <c r="K238" s="1898"/>
      <c r="L238" s="612"/>
      <c r="M238" s="739"/>
      <c r="N238" s="732"/>
      <c r="O238" s="2022"/>
      <c r="P238" s="2022"/>
      <c r="AH238" s="2029">
        <v>0</v>
      </c>
    </row>
    <row s="24354" customFormat="1" customHeight="1" ht="1.05">
      <c r="A239" s="2178"/>
      <c r="B239" s="2178"/>
      <c r="C239" s="767" t="s">
        <v>1160</v>
      </c>
      <c r="D239" s="2860"/>
      <c r="E239" s="2602"/>
      <c r="F239" s="2781"/>
      <c r="G239" s="798"/>
      <c r="H239" s="1898"/>
      <c r="I239" s="1049"/>
      <c r="J239" s="969"/>
      <c r="K239" s="1898"/>
      <c r="L239" s="612"/>
      <c r="M239" s="739"/>
      <c r="N239" s="732"/>
      <c r="O239" s="2022"/>
      <c r="P239" s="2022"/>
      <c r="AH239" s="2029">
        <v>1</v>
      </c>
    </row>
    <row customHeight="1" ht="27.299999999999997">
      <c r="A240" s="2178"/>
      <c r="B240" s="2178"/>
      <c r="D240" s="774"/>
      <c r="E240" s="545" t="s">
        <v>112</v>
      </c>
      <c r="F240"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0" s="2858"/>
      <c r="H240" s="2858"/>
      <c r="I240" s="2858"/>
      <c r="J240" s="2858"/>
      <c r="K240" s="2858"/>
      <c r="L240" s="2858"/>
      <c r="M240" s="695"/>
      <c r="N240" s="732"/>
      <c r="AH240" s="772">
        <v>26</v>
      </c>
    </row>
    <row s="24354" customFormat="1" customHeight="1" ht="60.75">
      <c r="A241" s="2178" t="s">
        <v>158</v>
      </c>
      <c r="B241" s="2178" t="s">
        <v>159</v>
      </c>
      <c r="C241" s="767"/>
      <c r="D241" s="2860"/>
      <c r="E241" s="2602"/>
      <c r="F241" s="2781" t="str">
        <f>INDEX(PT_DIFFERENTIATION_VTAR,MATCH(A241,PT_DIFFERENTIATION_VTAR_ID,0))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1" s="2825" t="str">
        <f>INDEX(PT_DIFFERENTIATION_NTAR,MATCH(B241,PT_DIFFERENTIATION_NTAR_ID,0))</f>
        <v>Тариф на производство и передачу тепловой энергии</v>
      </c>
      <c r="H241" s="2260"/>
      <c r="I241" s="9112">
        <v>45658.4712037037</v>
      </c>
      <c r="J241" s="9113">
        <v>51501.471608796295</v>
      </c>
      <c r="K241" s="2176">
        <v>0</v>
      </c>
      <c r="L241" s="2260" t="s">
        <v>311</v>
      </c>
      <c r="M241"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1" s="732"/>
      <c r="O241" s="2022"/>
      <c r="P241" s="2022"/>
      <c r="AH241" s="2029">
        <v>0</v>
      </c>
    </row>
    <row s="24354" customFormat="1" customHeight="1" ht="18.75">
      <c r="A242" s="2178"/>
      <c r="B242" s="2178"/>
      <c r="C242" s="767" t="s">
        <v>1151</v>
      </c>
      <c r="D242" s="2860"/>
      <c r="E242" s="2602"/>
      <c r="F242" s="2781"/>
      <c r="G242" s="2825"/>
      <c r="H242" s="1898"/>
      <c r="I242" s="1049" t="s">
        <v>1150</v>
      </c>
      <c r="J242" s="969"/>
      <c r="K242" s="1898"/>
      <c r="L242" s="612"/>
      <c r="M242" s="2568"/>
      <c r="N242" s="732"/>
      <c r="O242" s="2022"/>
      <c r="P242" s="2022"/>
      <c r="AH242" s="2029">
        <v>0</v>
      </c>
    </row>
    <row s="24354" customFormat="1" customHeight="1" ht="0.75">
      <c r="A243" s="2178"/>
      <c r="B243" s="2178"/>
      <c r="C243" s="767" t="s">
        <v>1160</v>
      </c>
      <c r="D243" s="2860"/>
      <c r="E243" s="2602"/>
      <c r="F243" s="2781"/>
      <c r="G243" s="798"/>
      <c r="H243" s="1898"/>
      <c r="I243" s="1049"/>
      <c r="J243" s="969"/>
      <c r="K243" s="1898"/>
      <c r="L243" s="612"/>
      <c r="M243" s="2568"/>
      <c r="N243" s="732"/>
      <c r="O243" s="2022"/>
      <c r="P243" s="2022"/>
      <c r="AH243" s="2029">
        <v>0</v>
      </c>
    </row>
    <row s="24354" customFormat="1" customHeight="1" ht="45" hidden="1">
      <c r="A244" s="2178" t="s">
        <v>168</v>
      </c>
      <c r="B244" s="2178" t="s">
        <v>169</v>
      </c>
      <c r="C244" s="767"/>
      <c r="D244" s="2860"/>
      <c r="E244" s="2602"/>
      <c r="F244" s="2781"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2825" t="str">
        <f>INDEX(PT_DIFFERENTIATION_NTAR,MATCH(B244,PT_DIFFERENTIATION_NTAR_ID,0))</f>
        <v/>
      </c>
      <c r="H244" s="2260"/>
      <c r="I244" s="2137"/>
      <c r="J244" s="2171"/>
      <c r="K244" s="2176"/>
      <c r="L244" s="2260" t="s">
        <v>311</v>
      </c>
      <c r="M244" s="2569"/>
      <c r="N244" s="732"/>
      <c r="O244" s="2022"/>
      <c r="P244" s="2022"/>
      <c r="AH244" s="2029">
        <v>0</v>
      </c>
    </row>
    <row s="24354" customFormat="1" customHeight="1" ht="18.75" hidden="1">
      <c r="A245" s="2178"/>
      <c r="B245" s="2178"/>
      <c r="C245" s="767" t="s">
        <v>1151</v>
      </c>
      <c r="D245" s="2860"/>
      <c r="E245" s="2602"/>
      <c r="F245" s="2781"/>
      <c r="G245" s="2825"/>
      <c r="H245" s="1898"/>
      <c r="I245" s="1049" t="s">
        <v>1150</v>
      </c>
      <c r="J245" s="969"/>
      <c r="K245" s="1898"/>
      <c r="L245" s="612"/>
      <c r="M245" s="2259"/>
      <c r="N245" s="732"/>
      <c r="O245" s="2022"/>
      <c r="P245" s="2022"/>
      <c r="AH245" s="2029">
        <v>0</v>
      </c>
    </row>
    <row s="24354" customFormat="1" customHeight="1" ht="0.75" hidden="1">
      <c r="A246" s="2178"/>
      <c r="B246" s="2178"/>
      <c r="C246" s="767" t="s">
        <v>1160</v>
      </c>
      <c r="D246" s="2860"/>
      <c r="E246" s="2602"/>
      <c r="F246" s="2781"/>
      <c r="G246" s="798"/>
      <c r="H246" s="1898"/>
      <c r="I246" s="1049"/>
      <c r="J246" s="969"/>
      <c r="K246" s="1898"/>
      <c r="L246" s="612"/>
      <c r="M246" s="739"/>
      <c r="N246" s="732"/>
      <c r="O246" s="2022"/>
      <c r="P246" s="2022"/>
      <c r="AH246" s="2029">
        <v>0</v>
      </c>
    </row>
    <row s="24354" customFormat="1" customHeight="1" ht="45" hidden="1">
      <c r="A247" s="2178" t="s">
        <v>174</v>
      </c>
      <c r="B247" s="2178" t="s">
        <v>175</v>
      </c>
      <c r="C247" s="767"/>
      <c r="D247" s="2860"/>
      <c r="E247" s="2602"/>
      <c r="F247" s="2781"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2825" t="str">
        <f>INDEX(PT_DIFFERENTIATION_NTAR,MATCH(B247,PT_DIFFERENTIATION_NTAR_ID,0))</f>
        <v/>
      </c>
      <c r="H247" s="2260"/>
      <c r="I247" s="2137"/>
      <c r="J247" s="2171"/>
      <c r="K247" s="2176"/>
      <c r="L247" s="2260" t="s">
        <v>311</v>
      </c>
      <c r="M247" s="739"/>
      <c r="N247" s="732"/>
      <c r="O247" s="2022"/>
      <c r="P247" s="2022"/>
      <c r="AH247" s="2029">
        <v>0</v>
      </c>
    </row>
    <row s="24354" customFormat="1" customHeight="1" ht="18.75" hidden="1">
      <c r="A248" s="2178"/>
      <c r="B248" s="2178"/>
      <c r="C248" s="767" t="s">
        <v>1151</v>
      </c>
      <c r="D248" s="2860"/>
      <c r="E248" s="2602"/>
      <c r="F248" s="2781"/>
      <c r="G248" s="2825"/>
      <c r="H248" s="1898"/>
      <c r="I248" s="1049" t="s">
        <v>1150</v>
      </c>
      <c r="J248" s="969"/>
      <c r="K248" s="1898"/>
      <c r="L248" s="612"/>
      <c r="M248" s="739"/>
      <c r="N248" s="732"/>
      <c r="O248" s="2022"/>
      <c r="P248" s="2022"/>
      <c r="AH248" s="2029">
        <v>0</v>
      </c>
    </row>
    <row s="24354" customFormat="1" customHeight="1" ht="0.75" hidden="1">
      <c r="A249" s="2178"/>
      <c r="B249" s="2178"/>
      <c r="C249" s="767" t="s">
        <v>1160</v>
      </c>
      <c r="D249" s="2860"/>
      <c r="E249" s="2602"/>
      <c r="F249" s="2781"/>
      <c r="G249" s="798"/>
      <c r="H249" s="1898"/>
      <c r="I249" s="1049"/>
      <c r="J249" s="969"/>
      <c r="K249" s="1898"/>
      <c r="L249" s="612"/>
      <c r="M249" s="739"/>
      <c r="N249" s="732"/>
      <c r="O249" s="2022"/>
      <c r="P249" s="2022"/>
      <c r="AH249" s="2029">
        <v>0</v>
      </c>
    </row>
    <row s="24354" customFormat="1" customHeight="1" ht="45" hidden="1">
      <c r="A250" s="2178" t="s">
        <v>180</v>
      </c>
      <c r="B250" s="2178" t="s">
        <v>181</v>
      </c>
      <c r="C250" s="767"/>
      <c r="D250" s="2860"/>
      <c r="E250" s="2602"/>
      <c r="F250" s="2781"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2825" t="str">
        <f>INDEX(PT_DIFFERENTIATION_NTAR,MATCH(B250,PT_DIFFERENTIATION_NTAR_ID,0))</f>
        <v/>
      </c>
      <c r="H250" s="2260"/>
      <c r="I250" s="2137"/>
      <c r="J250" s="2171"/>
      <c r="K250" s="2176"/>
      <c r="L250" s="2260" t="s">
        <v>311</v>
      </c>
      <c r="M250" s="739"/>
      <c r="N250" s="732"/>
      <c r="O250" s="2022"/>
      <c r="P250" s="2022"/>
      <c r="AH250" s="2029">
        <v>0</v>
      </c>
    </row>
    <row s="24354" customFormat="1" customHeight="1" ht="18.75" hidden="1">
      <c r="A251" s="2178"/>
      <c r="B251" s="2178"/>
      <c r="C251" s="767" t="s">
        <v>1151</v>
      </c>
      <c r="D251" s="2860"/>
      <c r="E251" s="2602"/>
      <c r="F251" s="2781"/>
      <c r="G251" s="2825"/>
      <c r="H251" s="1898"/>
      <c r="I251" s="1049" t="s">
        <v>1150</v>
      </c>
      <c r="J251" s="969"/>
      <c r="K251" s="1898"/>
      <c r="L251" s="612"/>
      <c r="M251" s="739"/>
      <c r="N251" s="732"/>
      <c r="O251" s="2022"/>
      <c r="P251" s="2022"/>
      <c r="AH251" s="2029">
        <v>0</v>
      </c>
    </row>
    <row s="24354" customFormat="1" customHeight="1" ht="0.75" hidden="1">
      <c r="A252" s="2178"/>
      <c r="B252" s="2178"/>
      <c r="C252" s="767" t="s">
        <v>1160</v>
      </c>
      <c r="D252" s="2860"/>
      <c r="E252" s="2602"/>
      <c r="F252" s="2781"/>
      <c r="G252" s="798"/>
      <c r="H252" s="1898"/>
      <c r="I252" s="1049"/>
      <c r="J252" s="969"/>
      <c r="K252" s="1898"/>
      <c r="L252" s="612"/>
      <c r="M252" s="739"/>
      <c r="N252" s="732"/>
      <c r="O252" s="2022"/>
      <c r="P252" s="2022"/>
      <c r="AH252" s="2029">
        <v>0</v>
      </c>
    </row>
    <row s="24354" customFormat="1" customHeight="1" ht="18.75" hidden="1">
      <c r="A253" s="2178" t="s">
        <v>186</v>
      </c>
      <c r="B253" s="2178" t="s">
        <v>187</v>
      </c>
      <c r="C253" s="767"/>
      <c r="D253" s="2860"/>
      <c r="E253" s="2602"/>
      <c r="F253" s="2781" t="str">
        <f>INDEX(PT_DIFFERENTIATION_VTAR,MATCH(A253,PT_DIFFERENTIATION_VTAR_ID,0))</f>
        <v>Тарифы на услуги по передаче тепловой энергии</v>
      </c>
      <c r="G253" s="2825" t="str">
        <f>INDEX(PT_DIFFERENTIATION_NTAR,MATCH(B253,PT_DIFFERENTIATION_NTAR_ID,0))</f>
        <v/>
      </c>
      <c r="H253" s="2260"/>
      <c r="I253" s="2137"/>
      <c r="J253" s="2171"/>
      <c r="K253" s="2176"/>
      <c r="L253" s="2260" t="s">
        <v>311</v>
      </c>
      <c r="M253" s="739"/>
      <c r="N253" s="732"/>
      <c r="O253" s="2022"/>
      <c r="P253" s="2022"/>
      <c r="AH253" s="2029">
        <v>0</v>
      </c>
    </row>
    <row s="24354" customFormat="1" customHeight="1" ht="18.75" hidden="1">
      <c r="A254" s="2178"/>
      <c r="B254" s="2178"/>
      <c r="C254" s="767" t="s">
        <v>1151</v>
      </c>
      <c r="D254" s="2860"/>
      <c r="E254" s="2602"/>
      <c r="F254" s="2781"/>
      <c r="G254" s="2825"/>
      <c r="H254" s="1898"/>
      <c r="I254" s="1049" t="s">
        <v>1150</v>
      </c>
      <c r="J254" s="969"/>
      <c r="K254" s="1898"/>
      <c r="L254" s="612"/>
      <c r="M254" s="739"/>
      <c r="N254" s="732"/>
      <c r="O254" s="2022"/>
      <c r="P254" s="2022"/>
      <c r="AH254" s="2029">
        <v>0</v>
      </c>
    </row>
    <row s="24354" customFormat="1" customHeight="1" ht="0.75" hidden="1">
      <c r="A255" s="2178"/>
      <c r="B255" s="2178"/>
      <c r="C255" s="767" t="s">
        <v>1160</v>
      </c>
      <c r="D255" s="2860"/>
      <c r="E255" s="2602"/>
      <c r="F255" s="2781"/>
      <c r="G255" s="798"/>
      <c r="H255" s="1898"/>
      <c r="I255" s="1049"/>
      <c r="J255" s="969"/>
      <c r="K255" s="1898"/>
      <c r="L255" s="612"/>
      <c r="M255" s="739"/>
      <c r="N255" s="732"/>
      <c r="O255" s="2022"/>
      <c r="P255" s="2022"/>
      <c r="AH255" s="2029">
        <v>0</v>
      </c>
    </row>
    <row s="24354" customFormat="1" customHeight="1" ht="18.75" hidden="1">
      <c r="A256" s="2178" t="s">
        <v>192</v>
      </c>
      <c r="B256" s="2178" t="s">
        <v>193</v>
      </c>
      <c r="C256" s="767"/>
      <c r="D256" s="2860"/>
      <c r="E256" s="2602"/>
      <c r="F256" s="2781" t="str">
        <f>INDEX(PT_DIFFERENTIATION_VTAR,MATCH(A256,PT_DIFFERENTIATION_VTAR_ID,0))</f>
        <v>Тарифы на услуги по передаче теплоносителя</v>
      </c>
      <c r="G256" s="2825" t="str">
        <f>INDEX(PT_DIFFERENTIATION_NTAR,MATCH(B256,PT_DIFFERENTIATION_NTAR_ID,0))</f>
        <v/>
      </c>
      <c r="H256" s="2260"/>
      <c r="I256" s="2137"/>
      <c r="J256" s="2171"/>
      <c r="K256" s="2176"/>
      <c r="L256" s="2260" t="s">
        <v>311</v>
      </c>
      <c r="M256" s="739"/>
      <c r="N256" s="732"/>
      <c r="O256" s="2022"/>
      <c r="P256" s="2022"/>
      <c r="AH256" s="2029">
        <v>0</v>
      </c>
    </row>
    <row s="24354" customFormat="1" customHeight="1" ht="18.75" hidden="1">
      <c r="A257" s="2178"/>
      <c r="B257" s="2178"/>
      <c r="C257" s="767" t="s">
        <v>1151</v>
      </c>
      <c r="D257" s="2860"/>
      <c r="E257" s="2602"/>
      <c r="F257" s="2781"/>
      <c r="G257" s="2825"/>
      <c r="H257" s="1898"/>
      <c r="I257" s="1049" t="s">
        <v>1150</v>
      </c>
      <c r="J257" s="969"/>
      <c r="K257" s="1898"/>
      <c r="L257" s="612"/>
      <c r="M257" s="739"/>
      <c r="N257" s="732"/>
      <c r="O257" s="2022"/>
      <c r="P257" s="2022"/>
      <c r="AH257" s="2029">
        <v>0</v>
      </c>
    </row>
    <row s="24354" customFormat="1" customHeight="1" ht="0.75" hidden="1">
      <c r="A258" s="2178"/>
      <c r="B258" s="2178"/>
      <c r="C258" s="767" t="s">
        <v>1160</v>
      </c>
      <c r="D258" s="2860"/>
      <c r="E258" s="2602"/>
      <c r="F258" s="2781"/>
      <c r="G258" s="798"/>
      <c r="H258" s="1898"/>
      <c r="I258" s="1049"/>
      <c r="J258" s="969"/>
      <c r="K258" s="1898"/>
      <c r="L258" s="612"/>
      <c r="M258" s="739"/>
      <c r="N258" s="732"/>
      <c r="O258" s="2022"/>
      <c r="P258" s="2022"/>
      <c r="AH258" s="2029">
        <v>0</v>
      </c>
    </row>
    <row s="24354" customFormat="1" customHeight="1" ht="18.75" hidden="1">
      <c r="A259" s="2178" t="s">
        <v>198</v>
      </c>
      <c r="B259" s="2178" t="s">
        <v>199</v>
      </c>
      <c r="C259" s="767"/>
      <c r="D259" s="2860"/>
      <c r="E259" s="2602"/>
      <c r="F259" s="2781" t="str">
        <f>INDEX(PT_DIFFERENTIATION_VTAR,MATCH(A259,PT_DIFFERENTIATION_VTAR_ID,0))</f>
        <v>Плата за услуги по поддержанию резервной тепловой мощности при отсутствии потребления тепловой энергии</v>
      </c>
      <c r="G259" s="2825" t="str">
        <f>INDEX(PT_DIFFERENTIATION_NTAR,MATCH(B259,PT_DIFFERENTIATION_NTAR_ID,0))</f>
        <v/>
      </c>
      <c r="H259" s="2260"/>
      <c r="I259" s="2137"/>
      <c r="J259" s="2171"/>
      <c r="K259" s="2176"/>
      <c r="L259" s="2260" t="s">
        <v>311</v>
      </c>
      <c r="M259" s="739"/>
      <c r="N259" s="732"/>
      <c r="O259" s="2022"/>
      <c r="P259" s="2022"/>
      <c r="AH259" s="2029">
        <v>0</v>
      </c>
    </row>
    <row s="24354" customFormat="1" customHeight="1" ht="18.75" hidden="1">
      <c r="A260" s="2178"/>
      <c r="B260" s="2178"/>
      <c r="C260" s="767" t="s">
        <v>1151</v>
      </c>
      <c r="D260" s="2860"/>
      <c r="E260" s="2602"/>
      <c r="F260" s="2781"/>
      <c r="G260" s="2825"/>
      <c r="H260" s="1898"/>
      <c r="I260" s="1049" t="s">
        <v>1150</v>
      </c>
      <c r="J260" s="969"/>
      <c r="K260" s="1898"/>
      <c r="L260" s="612"/>
      <c r="M260" s="739"/>
      <c r="N260" s="732"/>
      <c r="O260" s="2022"/>
      <c r="P260" s="2022"/>
      <c r="AH260" s="2029">
        <v>0</v>
      </c>
    </row>
    <row s="24354" customFormat="1" customHeight="1" ht="0.75" hidden="1">
      <c r="A261" s="2178"/>
      <c r="B261" s="2178"/>
      <c r="C261" s="767" t="s">
        <v>1160</v>
      </c>
      <c r="D261" s="2860"/>
      <c r="E261" s="2602"/>
      <c r="F261" s="2781"/>
      <c r="G261" s="798"/>
      <c r="H261" s="1898"/>
      <c r="I261" s="1049"/>
      <c r="J261" s="969"/>
      <c r="K261" s="1898"/>
      <c r="L261" s="612"/>
      <c r="M261" s="739"/>
      <c r="N261" s="732"/>
      <c r="O261" s="2022"/>
      <c r="P261" s="2022"/>
      <c r="AH261" s="2029">
        <v>0</v>
      </c>
    </row>
    <row s="24354" customFormat="1" customHeight="1" ht="18.75" hidden="1">
      <c r="A262" s="2178" t="s">
        <v>204</v>
      </c>
      <c r="B262" s="2178" t="s">
        <v>205</v>
      </c>
      <c r="C262" s="767"/>
      <c r="D262" s="2860"/>
      <c r="E262" s="2602"/>
      <c r="F262" s="2781" t="str">
        <f>INDEX(PT_DIFFERENTIATION_VTAR,MATCH(A262,PT_DIFFERENTIATION_VTAR_ID,0))</f>
        <v>Плата за подключение (технологическое присоединение) к системе теплоснабжения</v>
      </c>
      <c r="G262" s="2825" t="str">
        <f>INDEX(PT_DIFFERENTIATION_NTAR,MATCH(B262,PT_DIFFERENTIATION_NTAR_ID,0))</f>
        <v/>
      </c>
      <c r="H262" s="2260"/>
      <c r="I262" s="2137"/>
      <c r="J262" s="2171"/>
      <c r="K262" s="2176"/>
      <c r="L262" s="2260" t="s">
        <v>311</v>
      </c>
      <c r="M262" s="739"/>
      <c r="N262" s="732"/>
      <c r="O262" s="2022"/>
      <c r="P262" s="2022"/>
      <c r="AH262" s="2029">
        <v>0</v>
      </c>
    </row>
    <row s="24354" customFormat="1" customHeight="1" ht="18.75" hidden="1">
      <c r="A263" s="2178"/>
      <c r="B263" s="2178"/>
      <c r="C263" s="767" t="s">
        <v>1151</v>
      </c>
      <c r="D263" s="2860"/>
      <c r="E263" s="2602"/>
      <c r="F263" s="2781"/>
      <c r="G263" s="2825"/>
      <c r="H263" s="1898"/>
      <c r="I263" s="1049" t="s">
        <v>1150</v>
      </c>
      <c r="J263" s="969"/>
      <c r="K263" s="1898"/>
      <c r="L263" s="612"/>
      <c r="M263" s="739"/>
      <c r="N263" s="732"/>
      <c r="O263" s="2022"/>
      <c r="P263" s="2022"/>
      <c r="AH263" s="2029">
        <v>0</v>
      </c>
    </row>
    <row s="24354" customFormat="1" customHeight="1" ht="0.75" hidden="1">
      <c r="A264" s="2178"/>
      <c r="B264" s="2178"/>
      <c r="C264" s="767" t="s">
        <v>1160</v>
      </c>
      <c r="D264" s="2860"/>
      <c r="E264" s="2602"/>
      <c r="F264" s="2781"/>
      <c r="G264" s="798"/>
      <c r="H264" s="1898"/>
      <c r="I264" s="1049"/>
      <c r="J264" s="969"/>
      <c r="K264" s="1898"/>
      <c r="L264" s="612"/>
      <c r="M264" s="739"/>
      <c r="N264" s="732"/>
      <c r="O264" s="2022"/>
      <c r="P264" s="2022"/>
      <c r="AH264" s="2029">
        <v>0</v>
      </c>
    </row>
    <row s="24354" customFormat="1" customHeight="1" ht="18.75" hidden="1">
      <c r="A265" s="2178" t="s">
        <v>210</v>
      </c>
      <c r="B265" s="2178" t="s">
        <v>211</v>
      </c>
      <c r="C265" s="767"/>
      <c r="D265" s="2860"/>
      <c r="E265" s="2602"/>
      <c r="F265" s="2781" t="str">
        <f>INDEX(PT_DIFFERENTIATION_VTAR,MATCH(A265,PT_DIFFERENTIATION_VTAR_ID,0))</f>
        <v>Плата за подключение (технологическое присоединение) к системе теплоснабжения (индивидуальная)</v>
      </c>
      <c r="G265" s="2825" t="str">
        <f>INDEX(PT_DIFFERENTIATION_NTAR,MATCH(B265,PT_DIFFERENTIATION_NTAR_ID,0))</f>
        <v/>
      </c>
      <c r="H265" s="2387"/>
      <c r="I265" s="2137"/>
      <c r="J265" s="2171"/>
      <c r="K265" s="2176"/>
      <c r="L265" s="2387" t="s">
        <v>311</v>
      </c>
      <c r="M265" s="739"/>
      <c r="N265" s="732"/>
      <c r="O265" s="2022"/>
      <c r="P265" s="2022"/>
      <c r="AH265" s="2029">
        <v>0</v>
      </c>
    </row>
    <row s="24354" customFormat="1" customHeight="1" ht="18.75" hidden="1">
      <c r="A266" s="2178"/>
      <c r="B266" s="2178"/>
      <c r="C266" s="767" t="s">
        <v>1151</v>
      </c>
      <c r="D266" s="2860"/>
      <c r="E266" s="2602"/>
      <c r="F266" s="2781"/>
      <c r="G266" s="2825"/>
      <c r="H266" s="1898"/>
      <c r="I266" s="1049" t="s">
        <v>1150</v>
      </c>
      <c r="J266" s="969"/>
      <c r="K266" s="1898"/>
      <c r="L266" s="612"/>
      <c r="M266" s="739"/>
      <c r="N266" s="732"/>
      <c r="O266" s="2022"/>
      <c r="P266" s="2022"/>
      <c r="AH266" s="2029">
        <v>0</v>
      </c>
    </row>
    <row s="24354" customFormat="1" customHeight="1" ht="0.75" hidden="1">
      <c r="A267" s="2178"/>
      <c r="B267" s="2178"/>
      <c r="C267" s="767" t="s">
        <v>1160</v>
      </c>
      <c r="D267" s="2860"/>
      <c r="E267" s="2602"/>
      <c r="F267" s="2781"/>
      <c r="G267" s="798"/>
      <c r="H267" s="1898"/>
      <c r="I267" s="1049"/>
      <c r="J267" s="969"/>
      <c r="K267" s="1898"/>
      <c r="L267" s="612"/>
      <c r="M267" s="739"/>
      <c r="N267" s="732"/>
      <c r="O267" s="2022"/>
      <c r="P267" s="2022"/>
      <c r="AH267" s="2029">
        <v>0</v>
      </c>
    </row>
    <row s="24354" customFormat="1" customHeight="1" ht="18.75" hidden="1">
      <c r="A268" s="2178" t="s">
        <v>230</v>
      </c>
      <c r="B268" s="2178" t="s">
        <v>231</v>
      </c>
      <c r="C268" s="767"/>
      <c r="D268" s="2860"/>
      <c r="E268" s="2602"/>
      <c r="F268" s="2781" t="str">
        <f>INDEX(PT_DIFFERENTIATION_VTAR,MATCH(A268,PT_DIFFERENTIATION_VTAR_ID,0))</f>
        <v>Тариф на питьевую воду (питьевое водоснабжение)</v>
      </c>
      <c r="G268" s="2825" t="str">
        <f>INDEX(PT_DIFFERENTIATION_NTAR,MATCH(B268,PT_DIFFERENTIATION_NTAR_ID,0))</f>
        <v/>
      </c>
      <c r="H268" s="2260"/>
      <c r="I268" s="2137"/>
      <c r="J268" s="2171"/>
      <c r="K268" s="2176"/>
      <c r="L268" s="2260" t="s">
        <v>311</v>
      </c>
      <c r="M268" s="739"/>
      <c r="N268" s="732"/>
      <c r="O268" s="2022"/>
      <c r="P268" s="2022"/>
      <c r="AH268" s="2029">
        <v>0</v>
      </c>
    </row>
    <row s="24354" customFormat="1" customHeight="1" ht="18.75" hidden="1">
      <c r="A269" s="2178"/>
      <c r="B269" s="2178"/>
      <c r="C269" s="767" t="s">
        <v>1151</v>
      </c>
      <c r="D269" s="2860"/>
      <c r="E269" s="2602"/>
      <c r="F269" s="2781"/>
      <c r="G269" s="2825"/>
      <c r="H269" s="1898"/>
      <c r="I269" s="1049" t="s">
        <v>1150</v>
      </c>
      <c r="J269" s="969"/>
      <c r="K269" s="1898"/>
      <c r="L269" s="612"/>
      <c r="M269" s="739"/>
      <c r="N269" s="732"/>
      <c r="O269" s="2022"/>
      <c r="P269" s="2022"/>
      <c r="AH269" s="2029">
        <v>0</v>
      </c>
    </row>
    <row s="24354" customFormat="1" customHeight="1" ht="0.75" hidden="1">
      <c r="A270" s="2178"/>
      <c r="B270" s="2178"/>
      <c r="C270" s="767" t="s">
        <v>1160</v>
      </c>
      <c r="D270" s="2860"/>
      <c r="E270" s="2602"/>
      <c r="F270" s="2781"/>
      <c r="G270" s="798"/>
      <c r="H270" s="1898"/>
      <c r="I270" s="1049"/>
      <c r="J270" s="969"/>
      <c r="K270" s="1898"/>
      <c r="L270" s="612"/>
      <c r="M270" s="739"/>
      <c r="N270" s="732"/>
      <c r="O270" s="2022"/>
      <c r="P270" s="2022"/>
      <c r="AH270" s="2029">
        <v>0</v>
      </c>
    </row>
    <row s="24354" customFormat="1" customHeight="1" ht="18.75" hidden="1">
      <c r="A271" s="2178" t="s">
        <v>235</v>
      </c>
      <c r="B271" s="2178" t="s">
        <v>236</v>
      </c>
      <c r="C271" s="767"/>
      <c r="D271" s="2860"/>
      <c r="E271" s="2602"/>
      <c r="F271" s="2781" t="str">
        <f>INDEX(PT_DIFFERENTIATION_VTAR,MATCH(A271,PT_DIFFERENTIATION_VTAR_ID,0))</f>
        <v>Тариф на техническую воду</v>
      </c>
      <c r="G271" s="2825" t="str">
        <f>INDEX(PT_DIFFERENTIATION_NTAR,MATCH(B271,PT_DIFFERENTIATION_NTAR_ID,0))</f>
        <v/>
      </c>
      <c r="H271" s="2260"/>
      <c r="I271" s="2137"/>
      <c r="J271" s="2171"/>
      <c r="K271" s="2176"/>
      <c r="L271" s="2260" t="s">
        <v>311</v>
      </c>
      <c r="M271" s="739"/>
      <c r="N271" s="732"/>
      <c r="O271" s="2022"/>
      <c r="P271" s="2022"/>
      <c r="AH271" s="2029">
        <v>0</v>
      </c>
    </row>
    <row s="24354" customFormat="1" customHeight="1" ht="18.75" hidden="1">
      <c r="A272" s="2178"/>
      <c r="B272" s="2178"/>
      <c r="C272" s="767" t="s">
        <v>1151</v>
      </c>
      <c r="D272" s="2860"/>
      <c r="E272" s="2602"/>
      <c r="F272" s="2781"/>
      <c r="G272" s="2825"/>
      <c r="H272" s="1898"/>
      <c r="I272" s="1049" t="s">
        <v>1150</v>
      </c>
      <c r="J272" s="969"/>
      <c r="K272" s="1898"/>
      <c r="L272" s="612"/>
      <c r="M272" s="739"/>
      <c r="N272" s="732"/>
      <c r="O272" s="2022"/>
      <c r="P272" s="2022"/>
      <c r="AH272" s="2029">
        <v>0</v>
      </c>
    </row>
    <row s="24354" customFormat="1" customHeight="1" ht="0.75" hidden="1">
      <c r="A273" s="2178"/>
      <c r="B273" s="2178"/>
      <c r="C273" s="767" t="s">
        <v>1160</v>
      </c>
      <c r="D273" s="2860"/>
      <c r="E273" s="2602"/>
      <c r="F273" s="2781"/>
      <c r="G273" s="798"/>
      <c r="H273" s="1898"/>
      <c r="I273" s="1049"/>
      <c r="J273" s="969"/>
      <c r="K273" s="1898"/>
      <c r="L273" s="612"/>
      <c r="M273" s="739"/>
      <c r="N273" s="732"/>
      <c r="O273" s="2022"/>
      <c r="P273" s="2022"/>
      <c r="AH273" s="2029">
        <v>0</v>
      </c>
    </row>
    <row s="24354" customFormat="1" customHeight="1" ht="18.75" hidden="1">
      <c r="A274" s="2178" t="s">
        <v>240</v>
      </c>
      <c r="B274" s="2178" t="s">
        <v>241</v>
      </c>
      <c r="C274" s="767"/>
      <c r="D274" s="2860"/>
      <c r="E274" s="2602"/>
      <c r="F274" s="2781" t="str">
        <f>INDEX(PT_DIFFERENTIATION_VTAR,MATCH(A274,PT_DIFFERENTIATION_VTAR_ID,0))</f>
        <v>Тариф на транспортировку воды</v>
      </c>
      <c r="G274" s="2825" t="str">
        <f>INDEX(PT_DIFFERENTIATION_NTAR,MATCH(B274,PT_DIFFERENTIATION_NTAR_ID,0))</f>
        <v/>
      </c>
      <c r="H274" s="2260"/>
      <c r="I274" s="2137"/>
      <c r="J274" s="2171"/>
      <c r="K274" s="2176"/>
      <c r="L274" s="2260" t="s">
        <v>311</v>
      </c>
      <c r="M274" s="739"/>
      <c r="N274" s="732"/>
      <c r="O274" s="2022"/>
      <c r="P274" s="2022"/>
      <c r="AH274" s="2029">
        <v>0</v>
      </c>
    </row>
    <row s="24354" customFormat="1" customHeight="1" ht="18.75" hidden="1">
      <c r="A275" s="2178"/>
      <c r="B275" s="2178"/>
      <c r="C275" s="767" t="s">
        <v>1151</v>
      </c>
      <c r="D275" s="2860"/>
      <c r="E275" s="2602"/>
      <c r="F275" s="2781"/>
      <c r="G275" s="2825"/>
      <c r="H275" s="1898"/>
      <c r="I275" s="1049" t="s">
        <v>1150</v>
      </c>
      <c r="J275" s="969"/>
      <c r="K275" s="1898"/>
      <c r="L275" s="612"/>
      <c r="M275" s="739"/>
      <c r="N275" s="732"/>
      <c r="O275" s="2022"/>
      <c r="P275" s="2022"/>
      <c r="AH275" s="2029">
        <v>0</v>
      </c>
    </row>
    <row s="24354" customFormat="1" customHeight="1" ht="0.75" hidden="1">
      <c r="A276" s="2178"/>
      <c r="B276" s="2178"/>
      <c r="C276" s="767" t="s">
        <v>1160</v>
      </c>
      <c r="D276" s="2860"/>
      <c r="E276" s="2602"/>
      <c r="F276" s="2781"/>
      <c r="G276" s="798"/>
      <c r="H276" s="1898"/>
      <c r="I276" s="1049"/>
      <c r="J276" s="969"/>
      <c r="K276" s="1898"/>
      <c r="L276" s="612"/>
      <c r="M276" s="739"/>
      <c r="N276" s="732"/>
      <c r="O276" s="2022"/>
      <c r="P276" s="2022"/>
      <c r="AH276" s="2029">
        <v>0</v>
      </c>
    </row>
    <row s="24354" customFormat="1" customHeight="1" ht="18.75" hidden="1">
      <c r="A277" s="2178" t="s">
        <v>245</v>
      </c>
      <c r="B277" s="2178" t="s">
        <v>246</v>
      </c>
      <c r="C277" s="767"/>
      <c r="D277" s="2860"/>
      <c r="E277" s="2602"/>
      <c r="F277" s="2781" t="str">
        <f>INDEX(PT_DIFFERENTIATION_VTAR,MATCH(A277,PT_DIFFERENTIATION_VTAR_ID,0))</f>
        <v>Тариф на подвоз воды</v>
      </c>
      <c r="G277" s="2825" t="str">
        <f>INDEX(PT_DIFFERENTIATION_NTAR,MATCH(B277,PT_DIFFERENTIATION_NTAR_ID,0))</f>
        <v/>
      </c>
      <c r="H277" s="2260"/>
      <c r="I277" s="2137"/>
      <c r="J277" s="2171"/>
      <c r="K277" s="2176"/>
      <c r="L277" s="2260" t="s">
        <v>311</v>
      </c>
      <c r="M277" s="739"/>
      <c r="N277" s="732"/>
      <c r="O277" s="2022"/>
      <c r="P277" s="2022"/>
      <c r="AH277" s="2029">
        <v>0</v>
      </c>
    </row>
    <row s="24354" customFormat="1" customHeight="1" ht="18.75" hidden="1">
      <c r="A278" s="2178"/>
      <c r="B278" s="2178"/>
      <c r="C278" s="767" t="s">
        <v>1151</v>
      </c>
      <c r="D278" s="2860"/>
      <c r="E278" s="2602"/>
      <c r="F278" s="2781"/>
      <c r="G278" s="2825"/>
      <c r="H278" s="1898"/>
      <c r="I278" s="1049" t="s">
        <v>1150</v>
      </c>
      <c r="J278" s="969"/>
      <c r="K278" s="1898"/>
      <c r="L278" s="612"/>
      <c r="M278" s="739"/>
      <c r="N278" s="732"/>
      <c r="O278" s="2022"/>
      <c r="P278" s="2022"/>
      <c r="AH278" s="2029">
        <v>0</v>
      </c>
    </row>
    <row s="24354" customFormat="1" customHeight="1" ht="0.75" hidden="1">
      <c r="A279" s="2178"/>
      <c r="B279" s="2178"/>
      <c r="C279" s="767" t="s">
        <v>1160</v>
      </c>
      <c r="D279" s="2860"/>
      <c r="E279" s="2602"/>
      <c r="F279" s="2781"/>
      <c r="G279" s="798"/>
      <c r="H279" s="1898"/>
      <c r="I279" s="1049"/>
      <c r="J279" s="969"/>
      <c r="K279" s="1898"/>
      <c r="L279" s="612"/>
      <c r="M279" s="739"/>
      <c r="N279" s="732"/>
      <c r="O279" s="2022"/>
      <c r="P279" s="2022"/>
      <c r="AH279" s="2029">
        <v>0</v>
      </c>
    </row>
    <row s="24354" customFormat="1" customHeight="1" ht="18.75" hidden="1">
      <c r="A280" s="2178" t="s">
        <v>250</v>
      </c>
      <c r="B280" s="2178" t="s">
        <v>251</v>
      </c>
      <c r="C280" s="767"/>
      <c r="D280" s="2860"/>
      <c r="E280" s="2602"/>
      <c r="F280" s="2781"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2825" t="str">
        <f>INDEX(PT_DIFFERENTIATION_NTAR,MATCH(B280,PT_DIFFERENTIATION_NTAR_ID,0))</f>
        <v/>
      </c>
      <c r="H280" s="2260"/>
      <c r="I280" s="2137"/>
      <c r="J280" s="2171"/>
      <c r="K280" s="2176"/>
      <c r="L280" s="2260" t="s">
        <v>311</v>
      </c>
      <c r="M280" s="739"/>
      <c r="N280" s="732"/>
      <c r="O280" s="2022"/>
      <c r="P280" s="2022"/>
      <c r="AH280" s="2029">
        <v>0</v>
      </c>
    </row>
    <row s="24354" customFormat="1" customHeight="1" ht="18.75" hidden="1">
      <c r="A281" s="2178"/>
      <c r="B281" s="2178"/>
      <c r="C281" s="767" t="s">
        <v>1151</v>
      </c>
      <c r="D281" s="2860"/>
      <c r="E281" s="2602"/>
      <c r="F281" s="2781"/>
      <c r="G281" s="2825"/>
      <c r="H281" s="1898"/>
      <c r="I281" s="1049" t="s">
        <v>1150</v>
      </c>
      <c r="J281" s="969"/>
      <c r="K281" s="1898"/>
      <c r="L281" s="612"/>
      <c r="M281" s="739"/>
      <c r="N281" s="732"/>
      <c r="O281" s="2022"/>
      <c r="P281" s="2022"/>
      <c r="AH281" s="2029">
        <v>0</v>
      </c>
    </row>
    <row s="24354" customFormat="1" customHeight="1" ht="0.75" hidden="1">
      <c r="A282" s="2178"/>
      <c r="B282" s="2178"/>
      <c r="C282" s="767" t="s">
        <v>1160</v>
      </c>
      <c r="D282" s="2860"/>
      <c r="E282" s="2602"/>
      <c r="F282" s="2781"/>
      <c r="G282" s="798"/>
      <c r="H282" s="1898"/>
      <c r="I282" s="1049"/>
      <c r="J282" s="969"/>
      <c r="K282" s="1898"/>
      <c r="L282" s="612"/>
      <c r="M282" s="739"/>
      <c r="N282" s="732"/>
      <c r="O282" s="2022"/>
      <c r="P282" s="2022"/>
      <c r="AH282" s="2029">
        <v>0</v>
      </c>
    </row>
    <row s="24354" customFormat="1" customHeight="1" ht="18.75" hidden="1">
      <c r="A283" s="2178" t="s">
        <v>255</v>
      </c>
      <c r="B283" s="2178" t="s">
        <v>256</v>
      </c>
      <c r="C283" s="767"/>
      <c r="D283" s="2860"/>
      <c r="E283" s="2602"/>
      <c r="F283" s="2781" t="str">
        <f>INDEX(PT_DIFFERENTIATION_VTAR,MATCH(A283,PT_DIFFERENTIATION_VTAR_ID,0))</f>
        <v>Тариф на горячую воду (горячее водоснабжение)</v>
      </c>
      <c r="G283" s="2825" t="str">
        <f>INDEX(PT_DIFFERENTIATION_NTAR,MATCH(B283,PT_DIFFERENTIATION_NTAR_ID,0))</f>
        <v/>
      </c>
      <c r="H283" s="2260"/>
      <c r="I283" s="2137"/>
      <c r="J283" s="2171"/>
      <c r="K283" s="2176"/>
      <c r="L283" s="2260" t="s">
        <v>311</v>
      </c>
      <c r="M283" s="739"/>
      <c r="N283" s="732"/>
      <c r="O283" s="2022"/>
      <c r="P283" s="2022"/>
      <c r="AH283" s="2029">
        <v>0</v>
      </c>
    </row>
    <row s="24354" customFormat="1" customHeight="1" ht="18.75" hidden="1">
      <c r="A284" s="2178"/>
      <c r="B284" s="2178"/>
      <c r="C284" s="767" t="s">
        <v>1151</v>
      </c>
      <c r="D284" s="2860"/>
      <c r="E284" s="2602"/>
      <c r="F284" s="2781"/>
      <c r="G284" s="2825"/>
      <c r="H284" s="1898"/>
      <c r="I284" s="1049" t="s">
        <v>1150</v>
      </c>
      <c r="J284" s="969"/>
      <c r="K284" s="1898"/>
      <c r="L284" s="612"/>
      <c r="M284" s="739"/>
      <c r="N284" s="732"/>
      <c r="O284" s="2022"/>
      <c r="P284" s="2022"/>
      <c r="AH284" s="2029">
        <v>0</v>
      </c>
    </row>
    <row s="24354" customFormat="1" customHeight="1" ht="0.75" hidden="1">
      <c r="A285" s="2178"/>
      <c r="B285" s="2178"/>
      <c r="C285" s="767" t="s">
        <v>1160</v>
      </c>
      <c r="D285" s="2860"/>
      <c r="E285" s="2602"/>
      <c r="F285" s="2781"/>
      <c r="G285" s="798"/>
      <c r="H285" s="1898"/>
      <c r="I285" s="1049"/>
      <c r="J285" s="969"/>
      <c r="K285" s="1898"/>
      <c r="L285" s="612"/>
      <c r="M285" s="739"/>
      <c r="N285" s="732"/>
      <c r="O285" s="2022"/>
      <c r="P285" s="2022"/>
      <c r="AH285" s="2029">
        <v>0</v>
      </c>
    </row>
    <row s="24354" customFormat="1" customHeight="1" ht="18.75" hidden="1">
      <c r="A286" s="2178" t="s">
        <v>260</v>
      </c>
      <c r="B286" s="2178" t="s">
        <v>261</v>
      </c>
      <c r="C286" s="767"/>
      <c r="D286" s="2860"/>
      <c r="E286" s="2602"/>
      <c r="F286" s="2781" t="str">
        <f>INDEX(PT_DIFFERENTIATION_VTAR,MATCH(A286,PT_DIFFERENTIATION_VTAR_ID,0))</f>
        <v>Тариф на транспортировку горячей воды</v>
      </c>
      <c r="G286" s="2825" t="str">
        <f>INDEX(PT_DIFFERENTIATION_NTAR,MATCH(B286,PT_DIFFERENTIATION_NTAR_ID,0))</f>
        <v/>
      </c>
      <c r="H286" s="2260"/>
      <c r="I286" s="2137"/>
      <c r="J286" s="2171"/>
      <c r="K286" s="2176"/>
      <c r="L286" s="2260" t="s">
        <v>311</v>
      </c>
      <c r="M286" s="739"/>
      <c r="N286" s="732"/>
      <c r="O286" s="2022"/>
      <c r="P286" s="2022"/>
      <c r="AH286" s="2029">
        <v>0</v>
      </c>
    </row>
    <row s="24354" customFormat="1" customHeight="1" ht="18.75" hidden="1">
      <c r="A287" s="2178"/>
      <c r="B287" s="2178"/>
      <c r="C287" s="767" t="s">
        <v>1151</v>
      </c>
      <c r="D287" s="2860"/>
      <c r="E287" s="2602"/>
      <c r="F287" s="2781"/>
      <c r="G287" s="2825"/>
      <c r="H287" s="1898"/>
      <c r="I287" s="1049" t="s">
        <v>1150</v>
      </c>
      <c r="J287" s="969"/>
      <c r="K287" s="1898"/>
      <c r="L287" s="612"/>
      <c r="M287" s="739"/>
      <c r="N287" s="732"/>
      <c r="O287" s="2022"/>
      <c r="P287" s="2022"/>
      <c r="AH287" s="2029">
        <v>0</v>
      </c>
    </row>
    <row s="24354" customFormat="1" customHeight="1" ht="0.75" hidden="1">
      <c r="A288" s="2178"/>
      <c r="B288" s="2178"/>
      <c r="C288" s="767" t="s">
        <v>1160</v>
      </c>
      <c r="D288" s="2860"/>
      <c r="E288" s="2602"/>
      <c r="F288" s="2781"/>
      <c r="G288" s="798"/>
      <c r="H288" s="1898"/>
      <c r="I288" s="1049"/>
      <c r="J288" s="969"/>
      <c r="K288" s="1898"/>
      <c r="L288" s="612"/>
      <c r="M288" s="739"/>
      <c r="N288" s="732"/>
      <c r="O288" s="2022"/>
      <c r="P288" s="2022"/>
      <c r="AH288" s="2029">
        <v>0</v>
      </c>
    </row>
    <row s="24354" customFormat="1" customHeight="1" ht="18.75" hidden="1">
      <c r="A289" s="2178" t="s">
        <v>265</v>
      </c>
      <c r="B289" s="2178" t="s">
        <v>266</v>
      </c>
      <c r="C289" s="767"/>
      <c r="D289" s="2860"/>
      <c r="E289" s="2602"/>
      <c r="F289" s="2781" t="str">
        <f>INDEX(PT_DIFFERENTIATION_VTAR,MATCH(A289,PT_DIFFERENTIATION_VTAR_ID,0))</f>
        <v>Тариф на подключение (технологическое присоединение) к централизованной системе горячего водоснабжения</v>
      </c>
      <c r="G289" s="2825" t="str">
        <f>INDEX(PT_DIFFERENTIATION_NTAR,MATCH(B289,PT_DIFFERENTIATION_NTAR_ID,0))</f>
        <v/>
      </c>
      <c r="H289" s="2260"/>
      <c r="I289" s="2137"/>
      <c r="J289" s="2171"/>
      <c r="K289" s="2176"/>
      <c r="L289" s="2260" t="s">
        <v>311</v>
      </c>
      <c r="M289" s="739"/>
      <c r="N289" s="732"/>
      <c r="O289" s="2022"/>
      <c r="P289" s="2022"/>
      <c r="AH289" s="2029">
        <v>0</v>
      </c>
    </row>
    <row s="24354" customFormat="1" customHeight="1" ht="18.75" hidden="1">
      <c r="A290" s="2178"/>
      <c r="B290" s="2178"/>
      <c r="C290" s="767" t="s">
        <v>1151</v>
      </c>
      <c r="D290" s="2860"/>
      <c r="E290" s="2602"/>
      <c r="F290" s="2781"/>
      <c r="G290" s="2825"/>
      <c r="H290" s="1898"/>
      <c r="I290" s="1049" t="s">
        <v>1150</v>
      </c>
      <c r="J290" s="969"/>
      <c r="K290" s="1898"/>
      <c r="L290" s="612"/>
      <c r="M290" s="739"/>
      <c r="N290" s="732"/>
      <c r="O290" s="2022"/>
      <c r="P290" s="2022"/>
      <c r="AH290" s="2029">
        <v>0</v>
      </c>
    </row>
    <row s="24354" customFormat="1" customHeight="1" ht="0.75" hidden="1">
      <c r="A291" s="2178"/>
      <c r="B291" s="2178"/>
      <c r="C291" s="767" t="s">
        <v>1160</v>
      </c>
      <c r="D291" s="2860"/>
      <c r="E291" s="2602"/>
      <c r="F291" s="2781"/>
      <c r="G291" s="798"/>
      <c r="H291" s="1898"/>
      <c r="I291" s="1049"/>
      <c r="J291" s="969"/>
      <c r="K291" s="1898"/>
      <c r="L291" s="612"/>
      <c r="M291" s="739"/>
      <c r="N291" s="732"/>
      <c r="O291" s="2022"/>
      <c r="P291" s="2022"/>
      <c r="AH291" s="2029">
        <v>0</v>
      </c>
    </row>
    <row s="24354" customFormat="1" customHeight="1" ht="18.75" hidden="1">
      <c r="A292" s="2178" t="s">
        <v>270</v>
      </c>
      <c r="B292" s="2178" t="s">
        <v>271</v>
      </c>
      <c r="C292" s="767"/>
      <c r="D292" s="2860"/>
      <c r="E292" s="2602"/>
      <c r="F292" s="2781" t="str">
        <f>INDEX(PT_DIFFERENTIATION_VTAR,MATCH(A292,PT_DIFFERENTIATION_VTAR_ID,0))</f>
        <v>Тариф на водоотведение</v>
      </c>
      <c r="G292" s="2825" t="str">
        <f>INDEX(PT_DIFFERENTIATION_NTAR,MATCH(B292,PT_DIFFERENTIATION_NTAR_ID,0))</f>
        <v/>
      </c>
      <c r="H292" s="2260"/>
      <c r="I292" s="2137"/>
      <c r="J292" s="2171"/>
      <c r="K292" s="2176"/>
      <c r="L292" s="2260" t="s">
        <v>311</v>
      </c>
      <c r="M292" s="739"/>
      <c r="N292" s="732"/>
      <c r="O292" s="2022"/>
      <c r="P292" s="2022"/>
      <c r="AH292" s="2029">
        <v>0</v>
      </c>
    </row>
    <row s="24354" customFormat="1" customHeight="1" ht="18.75" hidden="1">
      <c r="A293" s="2178"/>
      <c r="B293" s="2178"/>
      <c r="C293" s="767" t="s">
        <v>1151</v>
      </c>
      <c r="D293" s="2860"/>
      <c r="E293" s="2602"/>
      <c r="F293" s="2781"/>
      <c r="G293" s="2825"/>
      <c r="H293" s="1898"/>
      <c r="I293" s="1049" t="s">
        <v>1150</v>
      </c>
      <c r="J293" s="969"/>
      <c r="K293" s="1898"/>
      <c r="L293" s="612"/>
      <c r="M293" s="739"/>
      <c r="N293" s="732"/>
      <c r="O293" s="2022"/>
      <c r="P293" s="2022"/>
      <c r="AH293" s="2029">
        <v>0</v>
      </c>
    </row>
    <row s="24354" customFormat="1" customHeight="1" ht="0.75" hidden="1">
      <c r="A294" s="2178"/>
      <c r="B294" s="2178"/>
      <c r="C294" s="767" t="s">
        <v>1160</v>
      </c>
      <c r="D294" s="2860"/>
      <c r="E294" s="2602"/>
      <c r="F294" s="2781"/>
      <c r="G294" s="798"/>
      <c r="H294" s="1898"/>
      <c r="I294" s="1049"/>
      <c r="J294" s="969"/>
      <c r="K294" s="1898"/>
      <c r="L294" s="612"/>
      <c r="M294" s="739"/>
      <c r="N294" s="732"/>
      <c r="O294" s="2022"/>
      <c r="P294" s="2022"/>
      <c r="AH294" s="2029">
        <v>0</v>
      </c>
    </row>
    <row s="24354" customFormat="1" customHeight="1" ht="18.75" hidden="1">
      <c r="A295" s="2178" t="s">
        <v>275</v>
      </c>
      <c r="B295" s="2178" t="s">
        <v>276</v>
      </c>
      <c r="C295" s="767"/>
      <c r="D295" s="2860"/>
      <c r="E295" s="2602"/>
      <c r="F295" s="2781" t="str">
        <f>INDEX(PT_DIFFERENTIATION_VTAR,MATCH(A295,PT_DIFFERENTIATION_VTAR_ID,0))</f>
        <v>Тариф на транспортировку сточных вод</v>
      </c>
      <c r="G295" s="2825" t="str">
        <f>INDEX(PT_DIFFERENTIATION_NTAR,MATCH(B295,PT_DIFFERENTIATION_NTAR_ID,0))</f>
        <v/>
      </c>
      <c r="H295" s="2260"/>
      <c r="I295" s="2137"/>
      <c r="J295" s="2171"/>
      <c r="K295" s="2176"/>
      <c r="L295" s="2260" t="s">
        <v>311</v>
      </c>
      <c r="M295" s="739"/>
      <c r="N295" s="732"/>
      <c r="O295" s="2022"/>
      <c r="P295" s="2022"/>
      <c r="AH295" s="2029">
        <v>0</v>
      </c>
    </row>
    <row s="24354" customFormat="1" customHeight="1" ht="18.75" hidden="1">
      <c r="A296" s="2178"/>
      <c r="B296" s="2178"/>
      <c r="C296" s="767" t="s">
        <v>1151</v>
      </c>
      <c r="D296" s="2860"/>
      <c r="E296" s="2602"/>
      <c r="F296" s="2781"/>
      <c r="G296" s="2825"/>
      <c r="H296" s="1898"/>
      <c r="I296" s="1049" t="s">
        <v>1150</v>
      </c>
      <c r="J296" s="969"/>
      <c r="K296" s="1898"/>
      <c r="L296" s="612"/>
      <c r="M296" s="739"/>
      <c r="N296" s="732"/>
      <c r="O296" s="2022"/>
      <c r="P296" s="2022"/>
      <c r="AH296" s="2029">
        <v>0</v>
      </c>
    </row>
    <row s="24354" customFormat="1" customHeight="1" ht="0.75" hidden="1">
      <c r="A297" s="2178"/>
      <c r="B297" s="2178"/>
      <c r="C297" s="767" t="s">
        <v>1160</v>
      </c>
      <c r="D297" s="2860"/>
      <c r="E297" s="2602"/>
      <c r="F297" s="2781"/>
      <c r="G297" s="798"/>
      <c r="H297" s="1898"/>
      <c r="I297" s="1049"/>
      <c r="J297" s="969"/>
      <c r="K297" s="1898"/>
      <c r="L297" s="612"/>
      <c r="M297" s="739"/>
      <c r="N297" s="732"/>
      <c r="O297" s="2022"/>
      <c r="P297" s="2022"/>
      <c r="AH297" s="2029">
        <v>0</v>
      </c>
    </row>
    <row s="24354" customFormat="1" customHeight="1" ht="18.75" hidden="1">
      <c r="A298" s="2178" t="s">
        <v>280</v>
      </c>
      <c r="B298" s="2178" t="s">
        <v>281</v>
      </c>
      <c r="C298" s="767"/>
      <c r="D298" s="2860"/>
      <c r="E298" s="2602"/>
      <c r="F298" s="2781" t="str">
        <f>INDEX(PT_DIFFERENTIATION_VTAR,MATCH(A298,PT_DIFFERENTIATION_VTAR_ID,0))</f>
        <v>Тариф на подключение (технологическое присоединение) к централизованной системе водоотведения</v>
      </c>
      <c r="G298" s="2825" t="str">
        <f>INDEX(PT_DIFFERENTIATION_NTAR,MATCH(B298,PT_DIFFERENTIATION_NTAR_ID,0))</f>
        <v/>
      </c>
      <c r="H298" s="2260"/>
      <c r="I298" s="2137"/>
      <c r="J298" s="2171"/>
      <c r="K298" s="2176"/>
      <c r="L298" s="2260" t="s">
        <v>311</v>
      </c>
      <c r="M298" s="739"/>
      <c r="N298" s="732"/>
      <c r="O298" s="2022"/>
      <c r="P298" s="2022"/>
      <c r="AH298" s="2029">
        <v>0</v>
      </c>
    </row>
    <row s="24354" customFormat="1" customHeight="1" ht="18.75" hidden="1">
      <c r="A299" s="2178"/>
      <c r="B299" s="2178"/>
      <c r="C299" s="767" t="s">
        <v>1151</v>
      </c>
      <c r="D299" s="2860"/>
      <c r="E299" s="2602"/>
      <c r="F299" s="2781"/>
      <c r="G299" s="2825"/>
      <c r="H299" s="1898"/>
      <c r="I299" s="1049" t="s">
        <v>1150</v>
      </c>
      <c r="J299" s="969"/>
      <c r="K299" s="1898"/>
      <c r="L299" s="612"/>
      <c r="M299" s="739"/>
      <c r="N299" s="732"/>
      <c r="O299" s="2022"/>
      <c r="P299" s="2022"/>
      <c r="AH299" s="2029">
        <v>0</v>
      </c>
    </row>
    <row s="24354" customFormat="1" customHeight="1" ht="1.05">
      <c r="A300" s="2178"/>
      <c r="B300" s="2178"/>
      <c r="C300" s="767" t="s">
        <v>1160</v>
      </c>
      <c r="D300" s="2860"/>
      <c r="E300" s="2602"/>
      <c r="F300" s="2781"/>
      <c r="G300" s="798"/>
      <c r="H300" s="1898"/>
      <c r="I300" s="1049"/>
      <c r="J300" s="969"/>
      <c r="K300" s="1898"/>
      <c r="L300" s="612"/>
      <c r="M300" s="739"/>
      <c r="N300" s="732"/>
      <c r="O300" s="2022"/>
      <c r="P300" s="2022"/>
      <c r="AH300" s="2029">
        <v>1</v>
      </c>
    </row>
    <row customHeight="1" ht="27.299999999999997">
      <c r="A301" s="2178"/>
      <c r="B301" s="2178"/>
      <c r="D301" s="774"/>
      <c r="E301" s="545" t="s">
        <v>93</v>
      </c>
      <c r="F301"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1" s="2858"/>
      <c r="H301" s="2858"/>
      <c r="I301" s="2858"/>
      <c r="J301" s="2858"/>
      <c r="K301" s="2858"/>
      <c r="L301" s="2858"/>
      <c r="M301" s="695"/>
      <c r="N301" s="732"/>
      <c r="AH301" s="772">
        <v>26</v>
      </c>
    </row>
    <row s="24354" customFormat="1" customHeight="1" ht="60.75">
      <c r="A302" s="2178" t="s">
        <v>158</v>
      </c>
      <c r="B302" s="2178" t="s">
        <v>159</v>
      </c>
      <c r="C302" s="767"/>
      <c r="D302" s="2860"/>
      <c r="E302" s="2602"/>
      <c r="F302" s="2781"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2825" t="str">
        <f>INDEX(PT_DIFFERENTIATION_NTAR,MATCH(B302,PT_DIFFERENTIATION_NTAR_ID,0))</f>
        <v>Тариф на производство и передачу тепловой энергии</v>
      </c>
      <c r="H302" s="2260"/>
      <c r="I302" s="9112">
        <v>45658.4718287037</v>
      </c>
      <c r="J302" s="9113">
        <v>51501.47193287037</v>
      </c>
      <c r="K302" s="2176">
        <v>0</v>
      </c>
      <c r="L302" s="2260" t="s">
        <v>311</v>
      </c>
      <c r="M302"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732"/>
      <c r="O302" s="2022"/>
      <c r="P302" s="2022"/>
      <c r="AH302" s="2029">
        <v>0</v>
      </c>
    </row>
    <row s="24354" customFormat="1" customHeight="1" ht="18.75">
      <c r="A303" s="2178"/>
      <c r="B303" s="2178"/>
      <c r="C303" s="767" t="s">
        <v>1151</v>
      </c>
      <c r="D303" s="2860"/>
      <c r="E303" s="2602"/>
      <c r="F303" s="2781"/>
      <c r="G303" s="2825"/>
      <c r="H303" s="1898"/>
      <c r="I303" s="1049" t="s">
        <v>1150</v>
      </c>
      <c r="J303" s="969"/>
      <c r="K303" s="1898"/>
      <c r="L303" s="612"/>
      <c r="M303" s="2568"/>
      <c r="N303" s="732"/>
      <c r="O303" s="2022"/>
      <c r="P303" s="2022"/>
      <c r="AH303" s="2029">
        <v>0</v>
      </c>
    </row>
    <row s="24354" customFormat="1" customHeight="1" ht="0.75">
      <c r="A304" s="2178"/>
      <c r="B304" s="2178"/>
      <c r="C304" s="767" t="s">
        <v>1160</v>
      </c>
      <c r="D304" s="2860"/>
      <c r="E304" s="2602"/>
      <c r="F304" s="2781"/>
      <c r="G304" s="798"/>
      <c r="H304" s="1898"/>
      <c r="I304" s="1049"/>
      <c r="J304" s="969"/>
      <c r="K304" s="1898"/>
      <c r="L304" s="612"/>
      <c r="M304" s="2568"/>
      <c r="N304" s="732"/>
      <c r="O304" s="2022"/>
      <c r="P304" s="2022"/>
      <c r="AH304" s="2029">
        <v>0</v>
      </c>
    </row>
    <row s="24354" customFormat="1" customHeight="1" ht="45" hidden="1">
      <c r="A305" s="2178" t="s">
        <v>168</v>
      </c>
      <c r="B305" s="2178" t="s">
        <v>169</v>
      </c>
      <c r="C305" s="767"/>
      <c r="D305" s="2860"/>
      <c r="E305" s="2602"/>
      <c r="F305" s="2781"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2825" t="str">
        <f>INDEX(PT_DIFFERENTIATION_NTAR,MATCH(B305,PT_DIFFERENTIATION_NTAR_ID,0))</f>
        <v/>
      </c>
      <c r="H305" s="2260"/>
      <c r="I305" s="2137"/>
      <c r="J305" s="2171"/>
      <c r="K305" s="2176"/>
      <c r="L305" s="2260" t="s">
        <v>311</v>
      </c>
      <c r="M305" s="2569"/>
      <c r="N305" s="732"/>
      <c r="O305" s="2022"/>
      <c r="P305" s="2022"/>
      <c r="AH305" s="2029">
        <v>0</v>
      </c>
    </row>
    <row s="24354" customFormat="1" customHeight="1" ht="18.75" hidden="1">
      <c r="A306" s="2178"/>
      <c r="B306" s="2178"/>
      <c r="C306" s="767" t="s">
        <v>1151</v>
      </c>
      <c r="D306" s="2860"/>
      <c r="E306" s="2602"/>
      <c r="F306" s="2781"/>
      <c r="G306" s="2825"/>
      <c r="H306" s="1898"/>
      <c r="I306" s="1049" t="s">
        <v>1150</v>
      </c>
      <c r="J306" s="969"/>
      <c r="K306" s="1898"/>
      <c r="L306" s="612"/>
      <c r="M306" s="2259"/>
      <c r="N306" s="732"/>
      <c r="O306" s="2022"/>
      <c r="P306" s="2022"/>
      <c r="AH306" s="2029">
        <v>0</v>
      </c>
    </row>
    <row s="24354" customFormat="1" customHeight="1" ht="0.75" hidden="1">
      <c r="A307" s="2178"/>
      <c r="B307" s="2178"/>
      <c r="C307" s="767" t="s">
        <v>1160</v>
      </c>
      <c r="D307" s="2860"/>
      <c r="E307" s="2602"/>
      <c r="F307" s="2781"/>
      <c r="G307" s="798"/>
      <c r="H307" s="1898"/>
      <c r="I307" s="1049"/>
      <c r="J307" s="969"/>
      <c r="K307" s="1898"/>
      <c r="L307" s="612"/>
      <c r="M307" s="739"/>
      <c r="N307" s="732"/>
      <c r="O307" s="2022"/>
      <c r="P307" s="2022"/>
      <c r="AH307" s="2029">
        <v>0</v>
      </c>
    </row>
    <row s="24354" customFormat="1" customHeight="1" ht="45" hidden="1">
      <c r="A308" s="2178" t="s">
        <v>174</v>
      </c>
      <c r="B308" s="2178" t="s">
        <v>175</v>
      </c>
      <c r="C308" s="767"/>
      <c r="D308" s="2860"/>
      <c r="E308" s="2602"/>
      <c r="F308" s="2781"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825" t="str">
        <f>INDEX(PT_DIFFERENTIATION_NTAR,MATCH(B308,PT_DIFFERENTIATION_NTAR_ID,0))</f>
        <v/>
      </c>
      <c r="H308" s="2260"/>
      <c r="I308" s="2137"/>
      <c r="J308" s="2171"/>
      <c r="K308" s="2176"/>
      <c r="L308" s="2260" t="s">
        <v>311</v>
      </c>
      <c r="M308" s="739"/>
      <c r="N308" s="732"/>
      <c r="O308" s="2022"/>
      <c r="P308" s="2022"/>
      <c r="AH308" s="2029">
        <v>0</v>
      </c>
    </row>
    <row s="24354" customFormat="1" customHeight="1" ht="18.75" hidden="1">
      <c r="A309" s="2178"/>
      <c r="B309" s="2178"/>
      <c r="C309" s="767" t="s">
        <v>1151</v>
      </c>
      <c r="D309" s="2860"/>
      <c r="E309" s="2602"/>
      <c r="F309" s="2781"/>
      <c r="G309" s="2825"/>
      <c r="H309" s="1898"/>
      <c r="I309" s="1049" t="s">
        <v>1150</v>
      </c>
      <c r="J309" s="969"/>
      <c r="K309" s="1898"/>
      <c r="L309" s="612"/>
      <c r="M309" s="739"/>
      <c r="N309" s="732"/>
      <c r="O309" s="2022"/>
      <c r="P309" s="2022"/>
      <c r="AH309" s="2029">
        <v>0</v>
      </c>
    </row>
    <row s="24354" customFormat="1" customHeight="1" ht="0.75" hidden="1">
      <c r="A310" s="2178"/>
      <c r="B310" s="2178"/>
      <c r="C310" s="767" t="s">
        <v>1160</v>
      </c>
      <c r="D310" s="2860"/>
      <c r="E310" s="2602"/>
      <c r="F310" s="2781"/>
      <c r="G310" s="798"/>
      <c r="H310" s="1898"/>
      <c r="I310" s="1049"/>
      <c r="J310" s="969"/>
      <c r="K310" s="1898"/>
      <c r="L310" s="612"/>
      <c r="M310" s="739"/>
      <c r="N310" s="732"/>
      <c r="O310" s="2022"/>
      <c r="P310" s="2022"/>
      <c r="AH310" s="2029">
        <v>0</v>
      </c>
    </row>
    <row s="24354" customFormat="1" customHeight="1" ht="45" hidden="1">
      <c r="A311" s="2178" t="s">
        <v>180</v>
      </c>
      <c r="B311" s="2178" t="s">
        <v>181</v>
      </c>
      <c r="C311" s="767"/>
      <c r="D311" s="2860"/>
      <c r="E311" s="2602"/>
      <c r="F311" s="2781"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825" t="str">
        <f>INDEX(PT_DIFFERENTIATION_NTAR,MATCH(B311,PT_DIFFERENTIATION_NTAR_ID,0))</f>
        <v/>
      </c>
      <c r="H311" s="2260"/>
      <c r="I311" s="2137"/>
      <c r="J311" s="2171"/>
      <c r="K311" s="2176"/>
      <c r="L311" s="2260" t="s">
        <v>311</v>
      </c>
      <c r="M311" s="739"/>
      <c r="N311" s="732"/>
      <c r="O311" s="2022"/>
      <c r="P311" s="2022"/>
      <c r="AH311" s="2029">
        <v>0</v>
      </c>
    </row>
    <row s="24354" customFormat="1" customHeight="1" ht="18.75" hidden="1">
      <c r="A312" s="2178"/>
      <c r="B312" s="2178"/>
      <c r="C312" s="767" t="s">
        <v>1151</v>
      </c>
      <c r="D312" s="2860"/>
      <c r="E312" s="2602"/>
      <c r="F312" s="2781"/>
      <c r="G312" s="2825"/>
      <c r="H312" s="1898"/>
      <c r="I312" s="1049" t="s">
        <v>1150</v>
      </c>
      <c r="J312" s="969"/>
      <c r="K312" s="1898"/>
      <c r="L312" s="612"/>
      <c r="M312" s="739"/>
      <c r="N312" s="732"/>
      <c r="O312" s="2022"/>
      <c r="P312" s="2022"/>
      <c r="AH312" s="2029">
        <v>0</v>
      </c>
    </row>
    <row s="24354" customFormat="1" customHeight="1" ht="0.75" hidden="1">
      <c r="A313" s="2178"/>
      <c r="B313" s="2178"/>
      <c r="C313" s="767" t="s">
        <v>1160</v>
      </c>
      <c r="D313" s="2860"/>
      <c r="E313" s="2602"/>
      <c r="F313" s="2781"/>
      <c r="G313" s="798"/>
      <c r="H313" s="1898"/>
      <c r="I313" s="1049"/>
      <c r="J313" s="969"/>
      <c r="K313" s="1898"/>
      <c r="L313" s="612"/>
      <c r="M313" s="739"/>
      <c r="N313" s="732"/>
      <c r="O313" s="2022"/>
      <c r="P313" s="2022"/>
      <c r="AH313" s="2029">
        <v>0</v>
      </c>
    </row>
    <row s="24354" customFormat="1" customHeight="1" ht="18.75" hidden="1">
      <c r="A314" s="2178" t="s">
        <v>186</v>
      </c>
      <c r="B314" s="2178" t="s">
        <v>187</v>
      </c>
      <c r="C314" s="767"/>
      <c r="D314" s="2860"/>
      <c r="E314" s="2602"/>
      <c r="F314" s="2781" t="str">
        <f>INDEX(PT_DIFFERENTIATION_VTAR,MATCH(A314,PT_DIFFERENTIATION_VTAR_ID,0))</f>
        <v>Тарифы на услуги по передаче тепловой энергии</v>
      </c>
      <c r="G314" s="2825" t="str">
        <f>INDEX(PT_DIFFERENTIATION_NTAR,MATCH(B314,PT_DIFFERENTIATION_NTAR_ID,0))</f>
        <v/>
      </c>
      <c r="H314" s="2260"/>
      <c r="I314" s="2137"/>
      <c r="J314" s="2171"/>
      <c r="K314" s="2176"/>
      <c r="L314" s="2260" t="s">
        <v>311</v>
      </c>
      <c r="M314" s="739"/>
      <c r="N314" s="732"/>
      <c r="O314" s="2022"/>
      <c r="P314" s="2022"/>
      <c r="AH314" s="2029">
        <v>0</v>
      </c>
    </row>
    <row s="24354" customFormat="1" customHeight="1" ht="18.75" hidden="1">
      <c r="A315" s="2178"/>
      <c r="B315" s="2178"/>
      <c r="C315" s="767" t="s">
        <v>1151</v>
      </c>
      <c r="D315" s="2860"/>
      <c r="E315" s="2602"/>
      <c r="F315" s="2781"/>
      <c r="G315" s="2825"/>
      <c r="H315" s="1898"/>
      <c r="I315" s="1049" t="s">
        <v>1150</v>
      </c>
      <c r="J315" s="969"/>
      <c r="K315" s="1898"/>
      <c r="L315" s="612"/>
      <c r="M315" s="739"/>
      <c r="N315" s="732"/>
      <c r="O315" s="2022"/>
      <c r="P315" s="2022"/>
      <c r="AH315" s="2029">
        <v>0</v>
      </c>
    </row>
    <row s="24354" customFormat="1" customHeight="1" ht="0.75" hidden="1">
      <c r="A316" s="2178"/>
      <c r="B316" s="2178"/>
      <c r="C316" s="767" t="s">
        <v>1160</v>
      </c>
      <c r="D316" s="2860"/>
      <c r="E316" s="2602"/>
      <c r="F316" s="2781"/>
      <c r="G316" s="798"/>
      <c r="H316" s="1898"/>
      <c r="I316" s="1049"/>
      <c r="J316" s="969"/>
      <c r="K316" s="1898"/>
      <c r="L316" s="612"/>
      <c r="M316" s="739"/>
      <c r="N316" s="732"/>
      <c r="O316" s="2022"/>
      <c r="P316" s="2022"/>
      <c r="AH316" s="2029">
        <v>0</v>
      </c>
    </row>
    <row s="24354" customFormat="1" customHeight="1" ht="18.75" hidden="1">
      <c r="A317" s="2178" t="s">
        <v>192</v>
      </c>
      <c r="B317" s="2178" t="s">
        <v>193</v>
      </c>
      <c r="C317" s="767"/>
      <c r="D317" s="2860"/>
      <c r="E317" s="2602"/>
      <c r="F317" s="2781" t="str">
        <f>INDEX(PT_DIFFERENTIATION_VTAR,MATCH(A317,PT_DIFFERENTIATION_VTAR_ID,0))</f>
        <v>Тарифы на услуги по передаче теплоносителя</v>
      </c>
      <c r="G317" s="2825" t="str">
        <f>INDEX(PT_DIFFERENTIATION_NTAR,MATCH(B317,PT_DIFFERENTIATION_NTAR_ID,0))</f>
        <v/>
      </c>
      <c r="H317" s="2260"/>
      <c r="I317" s="2137"/>
      <c r="J317" s="2171"/>
      <c r="K317" s="2176"/>
      <c r="L317" s="2260" t="s">
        <v>311</v>
      </c>
      <c r="M317" s="739"/>
      <c r="N317" s="732"/>
      <c r="O317" s="2022"/>
      <c r="P317" s="2022"/>
      <c r="AH317" s="2029">
        <v>0</v>
      </c>
    </row>
    <row s="24354" customFormat="1" customHeight="1" ht="18.75" hidden="1">
      <c r="A318" s="2178"/>
      <c r="B318" s="2178"/>
      <c r="C318" s="767" t="s">
        <v>1151</v>
      </c>
      <c r="D318" s="2860"/>
      <c r="E318" s="2602"/>
      <c r="F318" s="2781"/>
      <c r="G318" s="2825"/>
      <c r="H318" s="1898"/>
      <c r="I318" s="1049" t="s">
        <v>1150</v>
      </c>
      <c r="J318" s="969"/>
      <c r="K318" s="1898"/>
      <c r="L318" s="612"/>
      <c r="M318" s="739"/>
      <c r="N318" s="732"/>
      <c r="O318" s="2022"/>
      <c r="P318" s="2022"/>
      <c r="AH318" s="2029">
        <v>0</v>
      </c>
    </row>
    <row s="24354" customFormat="1" customHeight="1" ht="0.75" hidden="1">
      <c r="A319" s="2178"/>
      <c r="B319" s="2178"/>
      <c r="C319" s="767" t="s">
        <v>1160</v>
      </c>
      <c r="D319" s="2860"/>
      <c r="E319" s="2602"/>
      <c r="F319" s="2781"/>
      <c r="G319" s="798"/>
      <c r="H319" s="1898"/>
      <c r="I319" s="1049"/>
      <c r="J319" s="969"/>
      <c r="K319" s="1898"/>
      <c r="L319" s="612"/>
      <c r="M319" s="739"/>
      <c r="N319" s="732"/>
      <c r="O319" s="2022"/>
      <c r="P319" s="2022"/>
      <c r="AH319" s="2029">
        <v>0</v>
      </c>
    </row>
    <row s="24354" customFormat="1" customHeight="1" ht="18.75" hidden="1">
      <c r="A320" s="2178" t="s">
        <v>198</v>
      </c>
      <c r="B320" s="2178" t="s">
        <v>199</v>
      </c>
      <c r="C320" s="767"/>
      <c r="D320" s="2860"/>
      <c r="E320" s="2602"/>
      <c r="F320" s="2781"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825" t="str">
        <f>INDEX(PT_DIFFERENTIATION_NTAR,MATCH(B320,PT_DIFFERENTIATION_NTAR_ID,0))</f>
        <v/>
      </c>
      <c r="H320" s="2260"/>
      <c r="I320" s="2137"/>
      <c r="J320" s="2171"/>
      <c r="K320" s="2176"/>
      <c r="L320" s="2260" t="s">
        <v>311</v>
      </c>
      <c r="M320" s="739"/>
      <c r="N320" s="732"/>
      <c r="O320" s="2022"/>
      <c r="P320" s="2022"/>
      <c r="AH320" s="2029">
        <v>0</v>
      </c>
    </row>
    <row s="24354" customFormat="1" customHeight="1" ht="18.75" hidden="1">
      <c r="A321" s="2178"/>
      <c r="B321" s="2178"/>
      <c r="C321" s="767" t="s">
        <v>1151</v>
      </c>
      <c r="D321" s="2860"/>
      <c r="E321" s="2602"/>
      <c r="F321" s="2781"/>
      <c r="G321" s="2825"/>
      <c r="H321" s="1898"/>
      <c r="I321" s="1049" t="s">
        <v>1150</v>
      </c>
      <c r="J321" s="969"/>
      <c r="K321" s="1898"/>
      <c r="L321" s="612"/>
      <c r="M321" s="739"/>
      <c r="N321" s="732"/>
      <c r="O321" s="2022"/>
      <c r="P321" s="2022"/>
      <c r="AH321" s="2029">
        <v>0</v>
      </c>
    </row>
    <row s="24354" customFormat="1" customHeight="1" ht="0.75" hidden="1">
      <c r="A322" s="2178"/>
      <c r="B322" s="2178"/>
      <c r="C322" s="767" t="s">
        <v>1160</v>
      </c>
      <c r="D322" s="2860"/>
      <c r="E322" s="2602"/>
      <c r="F322" s="2781"/>
      <c r="G322" s="798"/>
      <c r="H322" s="1898"/>
      <c r="I322" s="1049"/>
      <c r="J322" s="969"/>
      <c r="K322" s="1898"/>
      <c r="L322" s="612"/>
      <c r="M322" s="739"/>
      <c r="N322" s="732"/>
      <c r="O322" s="2022"/>
      <c r="P322" s="2022"/>
      <c r="AH322" s="2029">
        <v>0</v>
      </c>
    </row>
    <row s="24354" customFormat="1" customHeight="1" ht="18.75" hidden="1">
      <c r="A323" s="2178" t="s">
        <v>204</v>
      </c>
      <c r="B323" s="2178" t="s">
        <v>205</v>
      </c>
      <c r="C323" s="767"/>
      <c r="D323" s="2860"/>
      <c r="E323" s="2602"/>
      <c r="F323" s="2781" t="str">
        <f>INDEX(PT_DIFFERENTIATION_VTAR,MATCH(A323,PT_DIFFERENTIATION_VTAR_ID,0))</f>
        <v>Плата за подключение (технологическое присоединение) к системе теплоснабжения</v>
      </c>
      <c r="G323" s="2825" t="str">
        <f>INDEX(PT_DIFFERENTIATION_NTAR,MATCH(B323,PT_DIFFERENTIATION_NTAR_ID,0))</f>
        <v/>
      </c>
      <c r="H323" s="2260"/>
      <c r="I323" s="2137"/>
      <c r="J323" s="2171"/>
      <c r="K323" s="2176"/>
      <c r="L323" s="2260" t="s">
        <v>311</v>
      </c>
      <c r="M323" s="739"/>
      <c r="N323" s="732"/>
      <c r="O323" s="2022"/>
      <c r="P323" s="2022"/>
      <c r="AH323" s="2029">
        <v>0</v>
      </c>
    </row>
    <row s="24354" customFormat="1" customHeight="1" ht="18.75" hidden="1">
      <c r="A324" s="2178"/>
      <c r="B324" s="2178"/>
      <c r="C324" s="767" t="s">
        <v>1151</v>
      </c>
      <c r="D324" s="2860"/>
      <c r="E324" s="2602"/>
      <c r="F324" s="2781"/>
      <c r="G324" s="2825"/>
      <c r="H324" s="1898"/>
      <c r="I324" s="1049" t="s">
        <v>1150</v>
      </c>
      <c r="J324" s="969"/>
      <c r="K324" s="1898"/>
      <c r="L324" s="612"/>
      <c r="M324" s="739"/>
      <c r="N324" s="732"/>
      <c r="O324" s="2022"/>
      <c r="P324" s="2022"/>
      <c r="AH324" s="2029">
        <v>0</v>
      </c>
    </row>
    <row s="24354" customFormat="1" customHeight="1" ht="0.75" hidden="1">
      <c r="A325" s="2178"/>
      <c r="B325" s="2178"/>
      <c r="C325" s="767" t="s">
        <v>1160</v>
      </c>
      <c r="D325" s="2860"/>
      <c r="E325" s="2602"/>
      <c r="F325" s="2781"/>
      <c r="G325" s="798"/>
      <c r="H325" s="1898"/>
      <c r="I325" s="1049"/>
      <c r="J325" s="969"/>
      <c r="K325" s="1898"/>
      <c r="L325" s="612"/>
      <c r="M325" s="739"/>
      <c r="N325" s="732"/>
      <c r="O325" s="2022"/>
      <c r="P325" s="2022"/>
      <c r="AH325" s="2029">
        <v>0</v>
      </c>
    </row>
    <row s="24354" customFormat="1" customHeight="1" ht="18.75" hidden="1">
      <c r="A326" s="2178" t="s">
        <v>210</v>
      </c>
      <c r="B326" s="2178" t="s">
        <v>211</v>
      </c>
      <c r="C326" s="767"/>
      <c r="D326" s="2860"/>
      <c r="E326" s="2602"/>
      <c r="F326" s="2781" t="str">
        <f>INDEX(PT_DIFFERENTIATION_VTAR,MATCH(A326,PT_DIFFERENTIATION_VTAR_ID,0))</f>
        <v>Плата за подключение (технологическое присоединение) к системе теплоснабжения (индивидуальная)</v>
      </c>
      <c r="G326" s="2825" t="str">
        <f>INDEX(PT_DIFFERENTIATION_NTAR,MATCH(B326,PT_DIFFERENTIATION_NTAR_ID,0))</f>
        <v/>
      </c>
      <c r="H326" s="2387"/>
      <c r="I326" s="2137"/>
      <c r="J326" s="2171"/>
      <c r="K326" s="2176"/>
      <c r="L326" s="2387" t="s">
        <v>311</v>
      </c>
      <c r="M326" s="739"/>
      <c r="N326" s="732"/>
      <c r="O326" s="2022"/>
      <c r="P326" s="2022"/>
      <c r="AH326" s="2029">
        <v>0</v>
      </c>
    </row>
    <row s="24354" customFormat="1" customHeight="1" ht="18.75" hidden="1">
      <c r="A327" s="2178"/>
      <c r="B327" s="2178"/>
      <c r="C327" s="767" t="s">
        <v>1151</v>
      </c>
      <c r="D327" s="2860"/>
      <c r="E327" s="2602"/>
      <c r="F327" s="2781"/>
      <c r="G327" s="2825"/>
      <c r="H327" s="1898"/>
      <c r="I327" s="1049" t="s">
        <v>1150</v>
      </c>
      <c r="J327" s="969"/>
      <c r="K327" s="1898"/>
      <c r="L327" s="612"/>
      <c r="M327" s="739"/>
      <c r="N327" s="732"/>
      <c r="O327" s="2022"/>
      <c r="P327" s="2022"/>
      <c r="AH327" s="2029">
        <v>0</v>
      </c>
    </row>
    <row s="24354" customFormat="1" customHeight="1" ht="0.75" hidden="1">
      <c r="A328" s="2178"/>
      <c r="B328" s="2178"/>
      <c r="C328" s="767" t="s">
        <v>1160</v>
      </c>
      <c r="D328" s="2860"/>
      <c r="E328" s="2602"/>
      <c r="F328" s="2781"/>
      <c r="G328" s="798"/>
      <c r="H328" s="1898"/>
      <c r="I328" s="1049"/>
      <c r="J328" s="969"/>
      <c r="K328" s="1898"/>
      <c r="L328" s="612"/>
      <c r="M328" s="739"/>
      <c r="N328" s="732"/>
      <c r="O328" s="2022"/>
      <c r="P328" s="2022"/>
      <c r="AH328" s="2029">
        <v>0</v>
      </c>
    </row>
    <row s="24354" customFormat="1" customHeight="1" ht="18.75" hidden="1">
      <c r="A329" s="2178" t="s">
        <v>230</v>
      </c>
      <c r="B329" s="2178" t="s">
        <v>231</v>
      </c>
      <c r="C329" s="767"/>
      <c r="D329" s="2860"/>
      <c r="E329" s="2602"/>
      <c r="F329" s="2781" t="str">
        <f>INDEX(PT_DIFFERENTIATION_VTAR,MATCH(A329,PT_DIFFERENTIATION_VTAR_ID,0))</f>
        <v>Тариф на питьевую воду (питьевое водоснабжение)</v>
      </c>
      <c r="G329" s="2825" t="str">
        <f>INDEX(PT_DIFFERENTIATION_NTAR,MATCH(B329,PT_DIFFERENTIATION_NTAR_ID,0))</f>
        <v/>
      </c>
      <c r="H329" s="2260"/>
      <c r="I329" s="2137"/>
      <c r="J329" s="2171"/>
      <c r="K329" s="2176"/>
      <c r="L329" s="2260" t="s">
        <v>311</v>
      </c>
      <c r="M329" s="739"/>
      <c r="N329" s="732"/>
      <c r="O329" s="2022"/>
      <c r="P329" s="2022"/>
      <c r="AH329" s="2029">
        <v>0</v>
      </c>
    </row>
    <row s="24354" customFormat="1" customHeight="1" ht="18.75" hidden="1">
      <c r="A330" s="2178"/>
      <c r="B330" s="2178"/>
      <c r="C330" s="767" t="s">
        <v>1151</v>
      </c>
      <c r="D330" s="2860"/>
      <c r="E330" s="2602"/>
      <c r="F330" s="2781"/>
      <c r="G330" s="2825"/>
      <c r="H330" s="1898"/>
      <c r="I330" s="1049" t="s">
        <v>1150</v>
      </c>
      <c r="J330" s="969"/>
      <c r="K330" s="1898"/>
      <c r="L330" s="612"/>
      <c r="M330" s="739"/>
      <c r="N330" s="732"/>
      <c r="O330" s="2022"/>
      <c r="P330" s="2022"/>
      <c r="AH330" s="2029">
        <v>0</v>
      </c>
    </row>
    <row s="24354" customFormat="1" customHeight="1" ht="0.75" hidden="1">
      <c r="A331" s="2178"/>
      <c r="B331" s="2178"/>
      <c r="C331" s="767" t="s">
        <v>1160</v>
      </c>
      <c r="D331" s="2860"/>
      <c r="E331" s="2602"/>
      <c r="F331" s="2781"/>
      <c r="G331" s="798"/>
      <c r="H331" s="1898"/>
      <c r="I331" s="1049"/>
      <c r="J331" s="969"/>
      <c r="K331" s="1898"/>
      <c r="L331" s="612"/>
      <c r="M331" s="739"/>
      <c r="N331" s="732"/>
      <c r="O331" s="2022"/>
      <c r="P331" s="2022"/>
      <c r="AH331" s="2029">
        <v>0</v>
      </c>
    </row>
    <row s="24354" customFormat="1" customHeight="1" ht="18.75" hidden="1">
      <c r="A332" s="2178" t="s">
        <v>235</v>
      </c>
      <c r="B332" s="2178" t="s">
        <v>236</v>
      </c>
      <c r="C332" s="767"/>
      <c r="D332" s="2860"/>
      <c r="E332" s="2602"/>
      <c r="F332" s="2781" t="str">
        <f>INDEX(PT_DIFFERENTIATION_VTAR,MATCH(A332,PT_DIFFERENTIATION_VTAR_ID,0))</f>
        <v>Тариф на техническую воду</v>
      </c>
      <c r="G332" s="2825" t="str">
        <f>INDEX(PT_DIFFERENTIATION_NTAR,MATCH(B332,PT_DIFFERENTIATION_NTAR_ID,0))</f>
        <v/>
      </c>
      <c r="H332" s="2260"/>
      <c r="I332" s="2137"/>
      <c r="J332" s="2171"/>
      <c r="K332" s="2176"/>
      <c r="L332" s="2260" t="s">
        <v>311</v>
      </c>
      <c r="M332" s="739"/>
      <c r="N332" s="732"/>
      <c r="O332" s="2022"/>
      <c r="P332" s="2022"/>
      <c r="AH332" s="2029">
        <v>0</v>
      </c>
    </row>
    <row s="24354" customFormat="1" customHeight="1" ht="18.75" hidden="1">
      <c r="A333" s="2178"/>
      <c r="B333" s="2178"/>
      <c r="C333" s="767" t="s">
        <v>1151</v>
      </c>
      <c r="D333" s="2860"/>
      <c r="E333" s="2602"/>
      <c r="F333" s="2781"/>
      <c r="G333" s="2825"/>
      <c r="H333" s="1898"/>
      <c r="I333" s="1049" t="s">
        <v>1150</v>
      </c>
      <c r="J333" s="969"/>
      <c r="K333" s="1898"/>
      <c r="L333" s="612"/>
      <c r="M333" s="739"/>
      <c r="N333" s="732"/>
      <c r="O333" s="2022"/>
      <c r="P333" s="2022"/>
      <c r="AH333" s="2029">
        <v>0</v>
      </c>
    </row>
    <row s="24354" customFormat="1" customHeight="1" ht="0.75" hidden="1">
      <c r="A334" s="2178"/>
      <c r="B334" s="2178"/>
      <c r="C334" s="767" t="s">
        <v>1160</v>
      </c>
      <c r="D334" s="2860"/>
      <c r="E334" s="2602"/>
      <c r="F334" s="2781"/>
      <c r="G334" s="798"/>
      <c r="H334" s="1898"/>
      <c r="I334" s="1049"/>
      <c r="J334" s="969"/>
      <c r="K334" s="1898"/>
      <c r="L334" s="612"/>
      <c r="M334" s="739"/>
      <c r="N334" s="732"/>
      <c r="O334" s="2022"/>
      <c r="P334" s="2022"/>
      <c r="AH334" s="2029">
        <v>0</v>
      </c>
    </row>
    <row s="24354" customFormat="1" customHeight="1" ht="18.75" hidden="1">
      <c r="A335" s="2178" t="s">
        <v>240</v>
      </c>
      <c r="B335" s="2178" t="s">
        <v>241</v>
      </c>
      <c r="C335" s="767"/>
      <c r="D335" s="2860"/>
      <c r="E335" s="2602"/>
      <c r="F335" s="2781" t="str">
        <f>INDEX(PT_DIFFERENTIATION_VTAR,MATCH(A335,PT_DIFFERENTIATION_VTAR_ID,0))</f>
        <v>Тариф на транспортировку воды</v>
      </c>
      <c r="G335" s="2825" t="str">
        <f>INDEX(PT_DIFFERENTIATION_NTAR,MATCH(B335,PT_DIFFERENTIATION_NTAR_ID,0))</f>
        <v/>
      </c>
      <c r="H335" s="2260"/>
      <c r="I335" s="2137"/>
      <c r="J335" s="2171"/>
      <c r="K335" s="2176"/>
      <c r="L335" s="2260" t="s">
        <v>311</v>
      </c>
      <c r="M335" s="739"/>
      <c r="N335" s="732"/>
      <c r="O335" s="2022"/>
      <c r="P335" s="2022"/>
      <c r="AH335" s="2029">
        <v>0</v>
      </c>
    </row>
    <row s="24354" customFormat="1" customHeight="1" ht="18.75" hidden="1">
      <c r="A336" s="2178"/>
      <c r="B336" s="2178"/>
      <c r="C336" s="767" t="s">
        <v>1151</v>
      </c>
      <c r="D336" s="2860"/>
      <c r="E336" s="2602"/>
      <c r="F336" s="2781"/>
      <c r="G336" s="2825"/>
      <c r="H336" s="1898"/>
      <c r="I336" s="1049" t="s">
        <v>1150</v>
      </c>
      <c r="J336" s="969"/>
      <c r="K336" s="1898"/>
      <c r="L336" s="612"/>
      <c r="M336" s="739"/>
      <c r="N336" s="732"/>
      <c r="O336" s="2022"/>
      <c r="P336" s="2022"/>
      <c r="AH336" s="2029">
        <v>0</v>
      </c>
    </row>
    <row s="24354" customFormat="1" customHeight="1" ht="0.75" hidden="1">
      <c r="A337" s="2178"/>
      <c r="B337" s="2178"/>
      <c r="C337" s="767" t="s">
        <v>1160</v>
      </c>
      <c r="D337" s="2860"/>
      <c r="E337" s="2602"/>
      <c r="F337" s="2781"/>
      <c r="G337" s="798"/>
      <c r="H337" s="1898"/>
      <c r="I337" s="1049"/>
      <c r="J337" s="969"/>
      <c r="K337" s="1898"/>
      <c r="L337" s="612"/>
      <c r="M337" s="739"/>
      <c r="N337" s="732"/>
      <c r="O337" s="2022"/>
      <c r="P337" s="2022"/>
      <c r="AH337" s="2029">
        <v>0</v>
      </c>
    </row>
    <row s="24354" customFormat="1" customHeight="1" ht="18.75" hidden="1">
      <c r="A338" s="2178" t="s">
        <v>245</v>
      </c>
      <c r="B338" s="2178" t="s">
        <v>246</v>
      </c>
      <c r="C338" s="767"/>
      <c r="D338" s="2860"/>
      <c r="E338" s="2602"/>
      <c r="F338" s="2781" t="str">
        <f>INDEX(PT_DIFFERENTIATION_VTAR,MATCH(A338,PT_DIFFERENTIATION_VTAR_ID,0))</f>
        <v>Тариф на подвоз воды</v>
      </c>
      <c r="G338" s="2825" t="str">
        <f>INDEX(PT_DIFFERENTIATION_NTAR,MATCH(B338,PT_DIFFERENTIATION_NTAR_ID,0))</f>
        <v/>
      </c>
      <c r="H338" s="2260"/>
      <c r="I338" s="2137"/>
      <c r="J338" s="2171"/>
      <c r="K338" s="2176"/>
      <c r="L338" s="2260" t="s">
        <v>311</v>
      </c>
      <c r="M338" s="739"/>
      <c r="N338" s="732"/>
      <c r="O338" s="2022"/>
      <c r="P338" s="2022"/>
      <c r="AH338" s="2029">
        <v>0</v>
      </c>
    </row>
    <row s="24354" customFormat="1" customHeight="1" ht="18.75" hidden="1">
      <c r="A339" s="2178"/>
      <c r="B339" s="2178"/>
      <c r="C339" s="767" t="s">
        <v>1151</v>
      </c>
      <c r="D339" s="2860"/>
      <c r="E339" s="2602"/>
      <c r="F339" s="2781"/>
      <c r="G339" s="2825"/>
      <c r="H339" s="1898"/>
      <c r="I339" s="1049" t="s">
        <v>1150</v>
      </c>
      <c r="J339" s="969"/>
      <c r="K339" s="1898"/>
      <c r="L339" s="612"/>
      <c r="M339" s="739"/>
      <c r="N339" s="732"/>
      <c r="O339" s="2022"/>
      <c r="P339" s="2022"/>
      <c r="AH339" s="2029">
        <v>0</v>
      </c>
    </row>
    <row s="24354" customFormat="1" customHeight="1" ht="0.75" hidden="1">
      <c r="A340" s="2178"/>
      <c r="B340" s="2178"/>
      <c r="C340" s="767" t="s">
        <v>1160</v>
      </c>
      <c r="D340" s="2860"/>
      <c r="E340" s="2602"/>
      <c r="F340" s="2781"/>
      <c r="G340" s="798"/>
      <c r="H340" s="1898"/>
      <c r="I340" s="1049"/>
      <c r="J340" s="969"/>
      <c r="K340" s="1898"/>
      <c r="L340" s="612"/>
      <c r="M340" s="739"/>
      <c r="N340" s="732"/>
      <c r="O340" s="2022"/>
      <c r="P340" s="2022"/>
      <c r="AH340" s="2029">
        <v>0</v>
      </c>
    </row>
    <row s="24354" customFormat="1" customHeight="1" ht="18.75" hidden="1">
      <c r="A341" s="2178" t="s">
        <v>250</v>
      </c>
      <c r="B341" s="2178" t="s">
        <v>251</v>
      </c>
      <c r="C341" s="767"/>
      <c r="D341" s="2860"/>
      <c r="E341" s="2602"/>
      <c r="F341" s="2781"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825" t="str">
        <f>INDEX(PT_DIFFERENTIATION_NTAR,MATCH(B341,PT_DIFFERENTIATION_NTAR_ID,0))</f>
        <v/>
      </c>
      <c r="H341" s="2260"/>
      <c r="I341" s="2137"/>
      <c r="J341" s="2171"/>
      <c r="K341" s="2176"/>
      <c r="L341" s="2260" t="s">
        <v>311</v>
      </c>
      <c r="M341" s="739"/>
      <c r="N341" s="732"/>
      <c r="O341" s="2022"/>
      <c r="P341" s="2022"/>
      <c r="AH341" s="2029">
        <v>0</v>
      </c>
    </row>
    <row s="24354" customFormat="1" customHeight="1" ht="18.75" hidden="1">
      <c r="A342" s="2178"/>
      <c r="B342" s="2178"/>
      <c r="C342" s="767" t="s">
        <v>1151</v>
      </c>
      <c r="D342" s="2860"/>
      <c r="E342" s="2602"/>
      <c r="F342" s="2781"/>
      <c r="G342" s="2825"/>
      <c r="H342" s="1898"/>
      <c r="I342" s="1049" t="s">
        <v>1150</v>
      </c>
      <c r="J342" s="969"/>
      <c r="K342" s="1898"/>
      <c r="L342" s="612"/>
      <c r="M342" s="739"/>
      <c r="N342" s="732"/>
      <c r="O342" s="2022"/>
      <c r="P342" s="2022"/>
      <c r="AH342" s="2029">
        <v>0</v>
      </c>
    </row>
    <row s="24354" customFormat="1" customHeight="1" ht="0.75" hidden="1">
      <c r="A343" s="2178"/>
      <c r="B343" s="2178"/>
      <c r="C343" s="767" t="s">
        <v>1160</v>
      </c>
      <c r="D343" s="2860"/>
      <c r="E343" s="2602"/>
      <c r="F343" s="2781"/>
      <c r="G343" s="798"/>
      <c r="H343" s="1898"/>
      <c r="I343" s="1049"/>
      <c r="J343" s="969"/>
      <c r="K343" s="1898"/>
      <c r="L343" s="612"/>
      <c r="M343" s="739"/>
      <c r="N343" s="732"/>
      <c r="O343" s="2022"/>
      <c r="P343" s="2022"/>
      <c r="AH343" s="2029">
        <v>0</v>
      </c>
    </row>
    <row s="24354" customFormat="1" customHeight="1" ht="18.75" hidden="1">
      <c r="A344" s="2178" t="s">
        <v>255</v>
      </c>
      <c r="B344" s="2178" t="s">
        <v>256</v>
      </c>
      <c r="C344" s="767"/>
      <c r="D344" s="2860"/>
      <c r="E344" s="2602"/>
      <c r="F344" s="2781" t="str">
        <f>INDEX(PT_DIFFERENTIATION_VTAR,MATCH(A344,PT_DIFFERENTIATION_VTAR_ID,0))</f>
        <v>Тариф на горячую воду (горячее водоснабжение)</v>
      </c>
      <c r="G344" s="2825" t="str">
        <f>INDEX(PT_DIFFERENTIATION_NTAR,MATCH(B344,PT_DIFFERENTIATION_NTAR_ID,0))</f>
        <v/>
      </c>
      <c r="H344" s="2260"/>
      <c r="I344" s="2137"/>
      <c r="J344" s="2171"/>
      <c r="K344" s="2176"/>
      <c r="L344" s="2260" t="s">
        <v>311</v>
      </c>
      <c r="M344" s="739"/>
      <c r="N344" s="732"/>
      <c r="O344" s="2022"/>
      <c r="P344" s="2022"/>
      <c r="AH344" s="2029">
        <v>0</v>
      </c>
    </row>
    <row s="24354" customFormat="1" customHeight="1" ht="18.75" hidden="1">
      <c r="A345" s="2178"/>
      <c r="B345" s="2178"/>
      <c r="C345" s="767" t="s">
        <v>1151</v>
      </c>
      <c r="D345" s="2860"/>
      <c r="E345" s="2602"/>
      <c r="F345" s="2781"/>
      <c r="G345" s="2825"/>
      <c r="H345" s="1898"/>
      <c r="I345" s="1049" t="s">
        <v>1150</v>
      </c>
      <c r="J345" s="969"/>
      <c r="K345" s="1898"/>
      <c r="L345" s="612"/>
      <c r="M345" s="739"/>
      <c r="N345" s="732"/>
      <c r="O345" s="2022"/>
      <c r="P345" s="2022"/>
      <c r="AH345" s="2029">
        <v>0</v>
      </c>
    </row>
    <row s="24354" customFormat="1" customHeight="1" ht="0.75" hidden="1">
      <c r="A346" s="2178"/>
      <c r="B346" s="2178"/>
      <c r="C346" s="767" t="s">
        <v>1160</v>
      </c>
      <c r="D346" s="2860"/>
      <c r="E346" s="2602"/>
      <c r="F346" s="2781"/>
      <c r="G346" s="798"/>
      <c r="H346" s="1898"/>
      <c r="I346" s="1049"/>
      <c r="J346" s="969"/>
      <c r="K346" s="1898"/>
      <c r="L346" s="612"/>
      <c r="M346" s="739"/>
      <c r="N346" s="732"/>
      <c r="O346" s="2022"/>
      <c r="P346" s="2022"/>
      <c r="AH346" s="2029">
        <v>0</v>
      </c>
    </row>
    <row s="24354" customFormat="1" customHeight="1" ht="18.75" hidden="1">
      <c r="A347" s="2178" t="s">
        <v>260</v>
      </c>
      <c r="B347" s="2178" t="s">
        <v>261</v>
      </c>
      <c r="C347" s="767"/>
      <c r="D347" s="2860"/>
      <c r="E347" s="2602"/>
      <c r="F347" s="2781" t="str">
        <f>INDEX(PT_DIFFERENTIATION_VTAR,MATCH(A347,PT_DIFFERENTIATION_VTAR_ID,0))</f>
        <v>Тариф на транспортировку горячей воды</v>
      </c>
      <c r="G347" s="2825" t="str">
        <f>INDEX(PT_DIFFERENTIATION_NTAR,MATCH(B347,PT_DIFFERENTIATION_NTAR_ID,0))</f>
        <v/>
      </c>
      <c r="H347" s="2260"/>
      <c r="I347" s="2137"/>
      <c r="J347" s="2171"/>
      <c r="K347" s="2176"/>
      <c r="L347" s="2260" t="s">
        <v>311</v>
      </c>
      <c r="M347" s="739"/>
      <c r="N347" s="732"/>
      <c r="O347" s="2022"/>
      <c r="P347" s="2022"/>
      <c r="AH347" s="2029">
        <v>0</v>
      </c>
    </row>
    <row s="24354" customFormat="1" customHeight="1" ht="18.75" hidden="1">
      <c r="A348" s="2178"/>
      <c r="B348" s="2178"/>
      <c r="C348" s="767" t="s">
        <v>1151</v>
      </c>
      <c r="D348" s="2860"/>
      <c r="E348" s="2602"/>
      <c r="F348" s="2781"/>
      <c r="G348" s="2825"/>
      <c r="H348" s="1898"/>
      <c r="I348" s="1049" t="s">
        <v>1150</v>
      </c>
      <c r="J348" s="969"/>
      <c r="K348" s="1898"/>
      <c r="L348" s="612"/>
      <c r="M348" s="739"/>
      <c r="N348" s="732"/>
      <c r="O348" s="2022"/>
      <c r="P348" s="2022"/>
      <c r="AH348" s="2029">
        <v>0</v>
      </c>
    </row>
    <row s="24354" customFormat="1" customHeight="1" ht="0.75" hidden="1">
      <c r="A349" s="2178"/>
      <c r="B349" s="2178"/>
      <c r="C349" s="767" t="s">
        <v>1160</v>
      </c>
      <c r="D349" s="2860"/>
      <c r="E349" s="2602"/>
      <c r="F349" s="2781"/>
      <c r="G349" s="798"/>
      <c r="H349" s="1898"/>
      <c r="I349" s="1049"/>
      <c r="J349" s="969"/>
      <c r="K349" s="1898"/>
      <c r="L349" s="612"/>
      <c r="M349" s="739"/>
      <c r="N349" s="732"/>
      <c r="O349" s="2022"/>
      <c r="P349" s="2022"/>
      <c r="AH349" s="2029">
        <v>0</v>
      </c>
    </row>
    <row s="24354" customFormat="1" customHeight="1" ht="18.75" hidden="1">
      <c r="A350" s="2178" t="s">
        <v>265</v>
      </c>
      <c r="B350" s="2178" t="s">
        <v>266</v>
      </c>
      <c r="C350" s="767"/>
      <c r="D350" s="2860"/>
      <c r="E350" s="2602"/>
      <c r="F350" s="2781" t="str">
        <f>INDEX(PT_DIFFERENTIATION_VTAR,MATCH(A350,PT_DIFFERENTIATION_VTAR_ID,0))</f>
        <v>Тариф на подключение (технологическое присоединение) к централизованной системе горячего водоснабжения</v>
      </c>
      <c r="G350" s="2825" t="str">
        <f>INDEX(PT_DIFFERENTIATION_NTAR,MATCH(B350,PT_DIFFERENTIATION_NTAR_ID,0))</f>
        <v/>
      </c>
      <c r="H350" s="2260"/>
      <c r="I350" s="2137"/>
      <c r="J350" s="2171"/>
      <c r="K350" s="2176"/>
      <c r="L350" s="2260" t="s">
        <v>311</v>
      </c>
      <c r="M350" s="739"/>
      <c r="N350" s="732"/>
      <c r="O350" s="2022"/>
      <c r="P350" s="2022"/>
      <c r="AH350" s="2029">
        <v>0</v>
      </c>
    </row>
    <row s="24354" customFormat="1" customHeight="1" ht="18.75" hidden="1">
      <c r="A351" s="2178"/>
      <c r="B351" s="2178"/>
      <c r="C351" s="767" t="s">
        <v>1151</v>
      </c>
      <c r="D351" s="2860"/>
      <c r="E351" s="2602"/>
      <c r="F351" s="2781"/>
      <c r="G351" s="2825"/>
      <c r="H351" s="1898"/>
      <c r="I351" s="1049" t="s">
        <v>1150</v>
      </c>
      <c r="J351" s="969"/>
      <c r="K351" s="1898"/>
      <c r="L351" s="612"/>
      <c r="M351" s="739"/>
      <c r="N351" s="732"/>
      <c r="O351" s="2022"/>
      <c r="P351" s="2022"/>
      <c r="AH351" s="2029">
        <v>0</v>
      </c>
    </row>
    <row s="24354" customFormat="1" customHeight="1" ht="0.75" hidden="1">
      <c r="A352" s="2178"/>
      <c r="B352" s="2178"/>
      <c r="C352" s="767" t="s">
        <v>1160</v>
      </c>
      <c r="D352" s="2860"/>
      <c r="E352" s="2602"/>
      <c r="F352" s="2781"/>
      <c r="G352" s="798"/>
      <c r="H352" s="1898"/>
      <c r="I352" s="1049"/>
      <c r="J352" s="969"/>
      <c r="K352" s="1898"/>
      <c r="L352" s="612"/>
      <c r="M352" s="739"/>
      <c r="N352" s="732"/>
      <c r="O352" s="2022"/>
      <c r="P352" s="2022"/>
      <c r="AH352" s="2029">
        <v>0</v>
      </c>
    </row>
    <row s="24354" customFormat="1" customHeight="1" ht="18.75" hidden="1">
      <c r="A353" s="2178" t="s">
        <v>270</v>
      </c>
      <c r="B353" s="2178" t="s">
        <v>271</v>
      </c>
      <c r="C353" s="767"/>
      <c r="D353" s="2860"/>
      <c r="E353" s="2602"/>
      <c r="F353" s="2781" t="str">
        <f>INDEX(PT_DIFFERENTIATION_VTAR,MATCH(A353,PT_DIFFERENTIATION_VTAR_ID,0))</f>
        <v>Тариф на водоотведение</v>
      </c>
      <c r="G353" s="2825" t="str">
        <f>INDEX(PT_DIFFERENTIATION_NTAR,MATCH(B353,PT_DIFFERENTIATION_NTAR_ID,0))</f>
        <v/>
      </c>
      <c r="H353" s="2260"/>
      <c r="I353" s="2137"/>
      <c r="J353" s="2171"/>
      <c r="K353" s="2176"/>
      <c r="L353" s="2260" t="s">
        <v>311</v>
      </c>
      <c r="M353" s="739"/>
      <c r="N353" s="732"/>
      <c r="O353" s="2022"/>
      <c r="P353" s="2022"/>
      <c r="AH353" s="2029">
        <v>0</v>
      </c>
    </row>
    <row s="24354" customFormat="1" customHeight="1" ht="18.75" hidden="1">
      <c r="A354" s="2178"/>
      <c r="B354" s="2178"/>
      <c r="C354" s="767" t="s">
        <v>1151</v>
      </c>
      <c r="D354" s="2860"/>
      <c r="E354" s="2602"/>
      <c r="F354" s="2781"/>
      <c r="G354" s="2825"/>
      <c r="H354" s="1898"/>
      <c r="I354" s="1049" t="s">
        <v>1150</v>
      </c>
      <c r="J354" s="969"/>
      <c r="K354" s="1898"/>
      <c r="L354" s="612"/>
      <c r="M354" s="739"/>
      <c r="N354" s="732"/>
      <c r="O354" s="2022"/>
      <c r="P354" s="2022"/>
      <c r="AH354" s="2029">
        <v>0</v>
      </c>
    </row>
    <row s="24354" customFormat="1" customHeight="1" ht="0.75" hidden="1">
      <c r="A355" s="2178"/>
      <c r="B355" s="2178"/>
      <c r="C355" s="767" t="s">
        <v>1160</v>
      </c>
      <c r="D355" s="2860"/>
      <c r="E355" s="2602"/>
      <c r="F355" s="2781"/>
      <c r="G355" s="798"/>
      <c r="H355" s="1898"/>
      <c r="I355" s="1049"/>
      <c r="J355" s="969"/>
      <c r="K355" s="1898"/>
      <c r="L355" s="612"/>
      <c r="M355" s="739"/>
      <c r="N355" s="732"/>
      <c r="O355" s="2022"/>
      <c r="P355" s="2022"/>
      <c r="AH355" s="2029">
        <v>0</v>
      </c>
    </row>
    <row s="24354" customFormat="1" customHeight="1" ht="18.75" hidden="1">
      <c r="A356" s="2178" t="s">
        <v>275</v>
      </c>
      <c r="B356" s="2178" t="s">
        <v>276</v>
      </c>
      <c r="C356" s="767"/>
      <c r="D356" s="2860"/>
      <c r="E356" s="2602"/>
      <c r="F356" s="2781" t="str">
        <f>INDEX(PT_DIFFERENTIATION_VTAR,MATCH(A356,PT_DIFFERENTIATION_VTAR_ID,0))</f>
        <v>Тариф на транспортировку сточных вод</v>
      </c>
      <c r="G356" s="2825" t="str">
        <f>INDEX(PT_DIFFERENTIATION_NTAR,MATCH(B356,PT_DIFFERENTIATION_NTAR_ID,0))</f>
        <v/>
      </c>
      <c r="H356" s="2260"/>
      <c r="I356" s="2137"/>
      <c r="J356" s="2171"/>
      <c r="K356" s="2176"/>
      <c r="L356" s="2260" t="s">
        <v>311</v>
      </c>
      <c r="M356" s="739"/>
      <c r="N356" s="732"/>
      <c r="O356" s="2022"/>
      <c r="P356" s="2022"/>
      <c r="AH356" s="2029">
        <v>0</v>
      </c>
    </row>
    <row s="24354" customFormat="1" customHeight="1" ht="18.75" hidden="1">
      <c r="A357" s="2178"/>
      <c r="B357" s="2178"/>
      <c r="C357" s="767" t="s">
        <v>1151</v>
      </c>
      <c r="D357" s="2860"/>
      <c r="E357" s="2602"/>
      <c r="F357" s="2781"/>
      <c r="G357" s="2825"/>
      <c r="H357" s="1898"/>
      <c r="I357" s="1049" t="s">
        <v>1150</v>
      </c>
      <c r="J357" s="969"/>
      <c r="K357" s="1898"/>
      <c r="L357" s="612"/>
      <c r="M357" s="739"/>
      <c r="N357" s="732"/>
      <c r="O357" s="2022"/>
      <c r="P357" s="2022"/>
      <c r="AH357" s="2029">
        <v>0</v>
      </c>
    </row>
    <row s="24354" customFormat="1" customHeight="1" ht="0.75" hidden="1">
      <c r="A358" s="2178"/>
      <c r="B358" s="2178"/>
      <c r="C358" s="767" t="s">
        <v>1160</v>
      </c>
      <c r="D358" s="2860"/>
      <c r="E358" s="2602"/>
      <c r="F358" s="2781"/>
      <c r="G358" s="798"/>
      <c r="H358" s="1898"/>
      <c r="I358" s="1049"/>
      <c r="J358" s="969"/>
      <c r="K358" s="1898"/>
      <c r="L358" s="612"/>
      <c r="M358" s="739"/>
      <c r="N358" s="732"/>
      <c r="O358" s="2022"/>
      <c r="P358" s="2022"/>
      <c r="AH358" s="2029">
        <v>0</v>
      </c>
    </row>
    <row s="24354" customFormat="1" customHeight="1" ht="18.75" hidden="1">
      <c r="A359" s="2178" t="s">
        <v>280</v>
      </c>
      <c r="B359" s="2178" t="s">
        <v>281</v>
      </c>
      <c r="C359" s="767"/>
      <c r="D359" s="2860"/>
      <c r="E359" s="2602"/>
      <c r="F359" s="2781" t="str">
        <f>INDEX(PT_DIFFERENTIATION_VTAR,MATCH(A359,PT_DIFFERENTIATION_VTAR_ID,0))</f>
        <v>Тариф на подключение (технологическое присоединение) к централизованной системе водоотведения</v>
      </c>
      <c r="G359" s="2825" t="str">
        <f>INDEX(PT_DIFFERENTIATION_NTAR,MATCH(B359,PT_DIFFERENTIATION_NTAR_ID,0))</f>
        <v/>
      </c>
      <c r="H359" s="2260"/>
      <c r="I359" s="2137"/>
      <c r="J359" s="2171"/>
      <c r="K359" s="2176"/>
      <c r="L359" s="2260" t="s">
        <v>311</v>
      </c>
      <c r="M359" s="739"/>
      <c r="N359" s="732"/>
      <c r="O359" s="2022"/>
      <c r="P359" s="2022"/>
      <c r="AH359" s="2029">
        <v>0</v>
      </c>
    </row>
    <row s="24354" customFormat="1" customHeight="1" ht="18.75" hidden="1">
      <c r="A360" s="2178"/>
      <c r="B360" s="2178"/>
      <c r="C360" s="767" t="s">
        <v>1151</v>
      </c>
      <c r="D360" s="2860"/>
      <c r="E360" s="2602"/>
      <c r="F360" s="2781"/>
      <c r="G360" s="2825"/>
      <c r="H360" s="1898"/>
      <c r="I360" s="1049" t="s">
        <v>1150</v>
      </c>
      <c r="J360" s="969"/>
      <c r="K360" s="1898"/>
      <c r="L360" s="612"/>
      <c r="M360" s="739"/>
      <c r="N360" s="732"/>
      <c r="O360" s="2022"/>
      <c r="P360" s="2022"/>
      <c r="AH360" s="2029">
        <v>0</v>
      </c>
    </row>
    <row s="24354" customFormat="1" customHeight="1" ht="1.05">
      <c r="A361" s="2178"/>
      <c r="B361" s="2178"/>
      <c r="C361" s="767" t="s">
        <v>1160</v>
      </c>
      <c r="D361" s="2860"/>
      <c r="E361" s="2602"/>
      <c r="F361" s="2781"/>
      <c r="G361" s="798"/>
      <c r="H361" s="1898"/>
      <c r="I361" s="1049"/>
      <c r="J361" s="969"/>
      <c r="K361" s="1898"/>
      <c r="L361" s="612"/>
      <c r="M361" s="739"/>
      <c r="N361" s="732"/>
      <c r="O361" s="2022"/>
      <c r="P361" s="2022"/>
      <c r="AH361" s="2029">
        <v>1</v>
      </c>
    </row>
    <row s="27130" customFormat="1" customHeight="1" ht="3">
      <c r="A362" s="2178"/>
      <c r="B362" s="2178"/>
      <c r="C362" s="2179"/>
      <c r="E362" s="800"/>
      <c r="F362" s="800"/>
      <c r="G362" s="800"/>
      <c r="H362" s="800"/>
      <c r="I362" s="800"/>
      <c r="J362" s="800"/>
      <c r="K362" s="800"/>
      <c r="L362" s="800"/>
      <c r="M362" s="800"/>
      <c r="O362" s="594"/>
      <c r="P362" s="594"/>
      <c r="AH362" s="538">
        <v>3</v>
      </c>
    </row>
    <row customHeight="1" ht="26.25">
      <c r="E363" s="600"/>
      <c r="F363" s="2683"/>
      <c r="G363" s="2683"/>
      <c r="H363" s="2683"/>
      <c r="I363" s="2683"/>
      <c r="J363" s="2683"/>
      <c r="K363" s="2683"/>
      <c r="L363" s="2683"/>
      <c r="M363" s="2683"/>
      <c r="AH363" s="772">
        <v>25</v>
      </c>
    </row>
    <row customHeight="1" ht="14.25" hidden="1">
      <c r="A364" s="2177" t="s">
        <v>83</v>
      </c>
      <c r="B364" s="2177">
        <v>0</v>
      </c>
      <c r="C364" s="767">
        <v>0</v>
      </c>
      <c r="D364" s="742">
        <v>3</v>
      </c>
      <c r="E364" s="772">
        <v>6</v>
      </c>
      <c r="F364" s="772">
        <v>46</v>
      </c>
      <c r="G364" s="772">
        <v>35</v>
      </c>
      <c r="H364" s="772">
        <v>3</v>
      </c>
      <c r="I364" s="772">
        <v>11</v>
      </c>
      <c r="J364" s="772">
        <v>11</v>
      </c>
      <c r="K364" s="772">
        <v>35</v>
      </c>
      <c r="L364" s="772">
        <v>35</v>
      </c>
      <c r="M364" s="772">
        <v>84</v>
      </c>
      <c r="N364" s="772">
        <v>10</v>
      </c>
      <c r="O364" s="748">
        <v>10</v>
      </c>
      <c r="P364" s="748">
        <v>10</v>
      </c>
      <c r="Q364" s="772">
        <v>10</v>
      </c>
      <c r="R364" s="772">
        <v>10</v>
      </c>
      <c r="S364" s="772">
        <v>10</v>
      </c>
      <c r="T364" s="772">
        <v>10</v>
      </c>
      <c r="U364" s="772">
        <v>10</v>
      </c>
      <c r="V364" s="772">
        <v>10</v>
      </c>
      <c r="W364" s="772">
        <v>10</v>
      </c>
      <c r="X364" s="772">
        <v>10</v>
      </c>
      <c r="Y364" s="772">
        <v>10</v>
      </c>
      <c r="Z364" s="772">
        <v>10</v>
      </c>
      <c r="AA364" s="772">
        <v>10</v>
      </c>
      <c r="AB364" s="772">
        <v>10</v>
      </c>
      <c r="AC364" s="772">
        <v>10</v>
      </c>
      <c r="AD364" s="772">
        <v>10</v>
      </c>
      <c r="AE364" s="772">
        <v>10</v>
      </c>
      <c r="AF364" s="772">
        <v>10</v>
      </c>
      <c r="AG364" s="772">
        <v>10</v>
      </c>
      <c r="AH364" s="772">
        <v>14</v>
      </c>
    </row>
  </sheetData>
  <sheetProtection formatColumns="0" formatRows="0" autoFilter="0" sort="0" insertRows="0" insertColumns="1" deleteRows="0" deleteColumns="0"/>
  <mergeCells count="428">
    <mergeCell ref="G48:G49"/>
    <mergeCell ref="D127:D129"/>
    <mergeCell ref="E127:E129"/>
    <mergeCell ref="F127:F129"/>
    <mergeCell ref="G127:G128"/>
    <mergeCell ref="D204:D206"/>
    <mergeCell ref="E204:E206"/>
    <mergeCell ref="F204:F206"/>
    <mergeCell ref="G204:G205"/>
    <mergeCell ref="D69:D71"/>
    <mergeCell ref="E69:E71"/>
    <mergeCell ref="F69:F71"/>
    <mergeCell ref="D106:D108"/>
    <mergeCell ref="E106:E108"/>
    <mergeCell ref="D72:D74"/>
    <mergeCell ref="E72:E74"/>
    <mergeCell ref="F72:F74"/>
    <mergeCell ref="G189:G190"/>
    <mergeCell ref="G192:G193"/>
    <mergeCell ref="E48:E50"/>
    <mergeCell ref="F48:F50"/>
    <mergeCell ref="G112:G113"/>
    <mergeCell ref="G115:G11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3:M363"/>
    <mergeCell ref="F301:L301"/>
    <mergeCell ref="D302:D304"/>
    <mergeCell ref="E302:E304"/>
    <mergeCell ref="F302:F304"/>
    <mergeCell ref="D305:D307"/>
    <mergeCell ref="E305:E307"/>
    <mergeCell ref="F305: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5:G46"/>
    <mergeCell ref="G51:G52"/>
    <mergeCell ref="G54:G55"/>
    <mergeCell ref="G57:G58"/>
    <mergeCell ref="M241:M244"/>
    <mergeCell ref="M87:M106"/>
    <mergeCell ref="F163:L163"/>
    <mergeCell ref="M164:M183"/>
    <mergeCell ref="F240:L240"/>
    <mergeCell ref="F51:F53"/>
    <mergeCell ref="F54:F56"/>
    <mergeCell ref="F75:F77"/>
    <mergeCell ref="F78:F80"/>
    <mergeCell ref="F106:F108"/>
    <mergeCell ref="F109:F111"/>
    <mergeCell ref="M24:M83"/>
    <mergeCell ref="G42:G43"/>
    <mergeCell ref="G145:G146"/>
    <mergeCell ref="G148:G149"/>
    <mergeCell ref="G151:G152"/>
    <mergeCell ref="G154:G155"/>
    <mergeCell ref="G186:G187"/>
    <mergeCell ref="G106:G107"/>
    <mergeCell ref="G109:G11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9:D111"/>
    <mergeCell ref="E109:E111"/>
    <mergeCell ref="D124:D126"/>
    <mergeCell ref="E124:E126"/>
    <mergeCell ref="F124:F126"/>
    <mergeCell ref="F112:F114"/>
    <mergeCell ref="D115:D117"/>
    <mergeCell ref="E115:E117"/>
    <mergeCell ref="F115:F117"/>
    <mergeCell ref="D81:D83"/>
    <mergeCell ref="E81:E83"/>
    <mergeCell ref="F81:F83"/>
    <mergeCell ref="D87:D105"/>
    <mergeCell ref="E87:E105"/>
    <mergeCell ref="F87:F105"/>
    <mergeCell ref="D112:D114"/>
    <mergeCell ref="E112:E114"/>
    <mergeCell ref="F84:L84"/>
    <mergeCell ref="H85:I85"/>
    <mergeCell ref="F86:L86"/>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81"/>
    <mergeCell ref="G183:G184"/>
    <mergeCell ref="D192:D194"/>
    <mergeCell ref="E192:E194"/>
    <mergeCell ref="F192:F194"/>
    <mergeCell ref="D195:D197"/>
    <mergeCell ref="E195:E197"/>
    <mergeCell ref="F195:F197"/>
    <mergeCell ref="D186:D188"/>
    <mergeCell ref="D183:D185"/>
    <mergeCell ref="E183:E185"/>
    <mergeCell ref="F183:F185"/>
    <mergeCell ref="D157:D159"/>
    <mergeCell ref="E157:E159"/>
    <mergeCell ref="F157:F159"/>
    <mergeCell ref="D160:D162"/>
    <mergeCell ref="E160:E162"/>
    <mergeCell ref="F160:F162"/>
    <mergeCell ref="D164:D182"/>
    <mergeCell ref="E164:E182"/>
    <mergeCell ref="F164:F182"/>
    <mergeCell ref="E186:E188"/>
    <mergeCell ref="F186:F188"/>
    <mergeCell ref="D189:D191"/>
    <mergeCell ref="E189:E191"/>
    <mergeCell ref="F189:F191"/>
    <mergeCell ref="D198:D200"/>
    <mergeCell ref="E198:E200"/>
    <mergeCell ref="F198:F200"/>
    <mergeCell ref="D201:D203"/>
    <mergeCell ref="E201:E203"/>
    <mergeCell ref="F201:F203"/>
    <mergeCell ref="D222:D224"/>
    <mergeCell ref="E222:E224"/>
    <mergeCell ref="F222:F224"/>
    <mergeCell ref="D213:D215"/>
    <mergeCell ref="E213:E215"/>
    <mergeCell ref="F213:F215"/>
    <mergeCell ref="D216:D218"/>
    <mergeCell ref="E216:E218"/>
    <mergeCell ref="F216:F218"/>
    <mergeCell ref="D207:D209"/>
    <mergeCell ref="E207:E209"/>
    <mergeCell ref="F207:F209"/>
    <mergeCell ref="D210:D212"/>
    <mergeCell ref="E210:E212"/>
    <mergeCell ref="F210:F212"/>
    <mergeCell ref="G210:G211"/>
    <mergeCell ref="D219:D221"/>
    <mergeCell ref="E219:E221"/>
    <mergeCell ref="F219:F221"/>
    <mergeCell ref="D225:D227"/>
    <mergeCell ref="E225:E227"/>
    <mergeCell ref="F225:F227"/>
    <mergeCell ref="D228:D230"/>
    <mergeCell ref="E228:E230"/>
    <mergeCell ref="F228:F230"/>
    <mergeCell ref="G225:G226"/>
    <mergeCell ref="G228:G229"/>
    <mergeCell ref="D247:D249"/>
    <mergeCell ref="E247:E249"/>
    <mergeCell ref="F247:F249"/>
    <mergeCell ref="D237:D239"/>
    <mergeCell ref="E237:E239"/>
    <mergeCell ref="F237:F239"/>
    <mergeCell ref="D241:D243"/>
    <mergeCell ref="E241:E243"/>
    <mergeCell ref="F241:F243"/>
    <mergeCell ref="D231:D233"/>
    <mergeCell ref="E231:E233"/>
    <mergeCell ref="F231:F233"/>
    <mergeCell ref="D234:D236"/>
    <mergeCell ref="E234:E236"/>
    <mergeCell ref="F234:F236"/>
    <mergeCell ref="G234:G235"/>
    <mergeCell ref="D256:D258"/>
    <mergeCell ref="E256:E258"/>
    <mergeCell ref="F256:F258"/>
    <mergeCell ref="D259:D261"/>
    <mergeCell ref="E259:E261"/>
    <mergeCell ref="F259:F261"/>
    <mergeCell ref="G259:G260"/>
    <mergeCell ref="D244:D246"/>
    <mergeCell ref="E244:E246"/>
    <mergeCell ref="F244:F246"/>
    <mergeCell ref="D250:D252"/>
    <mergeCell ref="E250:E252"/>
    <mergeCell ref="F250:F252"/>
    <mergeCell ref="D253:D255"/>
    <mergeCell ref="E253:E255"/>
    <mergeCell ref="F253:F255"/>
    <mergeCell ref="D271:D273"/>
    <mergeCell ref="E271:E273"/>
    <mergeCell ref="F271:F273"/>
    <mergeCell ref="G265:G266"/>
    <mergeCell ref="D277:D279"/>
    <mergeCell ref="E277:E279"/>
    <mergeCell ref="F277:F279"/>
    <mergeCell ref="D274:D276"/>
    <mergeCell ref="E274:E276"/>
    <mergeCell ref="F274:F276"/>
    <mergeCell ref="D262:D264"/>
    <mergeCell ref="E262:E264"/>
    <mergeCell ref="F262:F264"/>
    <mergeCell ref="D268:D270"/>
    <mergeCell ref="E268:E270"/>
    <mergeCell ref="F268:F270"/>
    <mergeCell ref="D265:D267"/>
    <mergeCell ref="E265:E267"/>
    <mergeCell ref="F265:F267"/>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F295:F297"/>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302:M305"/>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5:G306"/>
    <mergeCell ref="G60:G61"/>
    <mergeCell ref="G63:G64"/>
    <mergeCell ref="G66:G67"/>
    <mergeCell ref="G69:G70"/>
    <mergeCell ref="G72:G73"/>
    <mergeCell ref="G75:G76"/>
    <mergeCell ref="G78:G79"/>
    <mergeCell ref="G81:G82"/>
    <mergeCell ref="G87:G104"/>
    <mergeCell ref="G347:G348"/>
    <mergeCell ref="G350:G351"/>
    <mergeCell ref="G353:G354"/>
    <mergeCell ref="G356:G357"/>
    <mergeCell ref="G338:G339"/>
    <mergeCell ref="G341:G342"/>
    <mergeCell ref="G344:G345"/>
    <mergeCell ref="G332:G333"/>
    <mergeCell ref="G289:G290"/>
    <mergeCell ref="G292:G293"/>
    <mergeCell ref="G295:G296"/>
    <mergeCell ref="G298:G299"/>
    <mergeCell ref="G302:G303"/>
    <mergeCell ref="G308:G309"/>
    <mergeCell ref="G311:G312"/>
    <mergeCell ref="G314:G315"/>
    <mergeCell ref="G317:G318"/>
    <mergeCell ref="G320:G321"/>
    <mergeCell ref="G323:G324"/>
    <mergeCell ref="G329:G330"/>
    <mergeCell ref="G326:G327"/>
    <mergeCell ref="G121:G122"/>
    <mergeCell ref="G124:G125"/>
    <mergeCell ref="G130:G131"/>
    <mergeCell ref="G133:G134"/>
    <mergeCell ref="G262:G263"/>
    <mergeCell ref="G268:G269"/>
    <mergeCell ref="G271:G272"/>
    <mergeCell ref="G274:G275"/>
    <mergeCell ref="G231:G232"/>
    <mergeCell ref="G237:G238"/>
    <mergeCell ref="G241:G242"/>
    <mergeCell ref="G244:G245"/>
    <mergeCell ref="G247:G248"/>
    <mergeCell ref="G198:G199"/>
    <mergeCell ref="G201:G202"/>
    <mergeCell ref="G207:G208"/>
    <mergeCell ref="G250:G251"/>
    <mergeCell ref="G253:G254"/>
    <mergeCell ref="G256:G257"/>
    <mergeCell ref="G213:G214"/>
    <mergeCell ref="G216:G217"/>
    <mergeCell ref="G219:G220"/>
    <mergeCell ref="G222:G223"/>
    <mergeCell ref="G195:G19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41:J241 I244:J244 I247:J247 I250:J250 I253:J253 I256:J256 I259:J259 I262:J262 I268:J268 I271:J271 I274:J274 I277:J277 I280:J280 I283:J283 I286:J286 I289:J289 I292:J292 I8:J8 I81:J81 I160:J160 I106:J106 I109:J109 I112:J112 I115:J115 I118:J118 I121:J121 I124:J124 I130:J130 I133:J133 I136:J136 I139:J139 I142:J142 I145:J145 I148:J148 I151:J151 I154:J154 I157:J157 I164:J180 I87:J103 I183:J183 I186:J186 I189:J189 I192:J192 I195:J195 I198:J198 I201:J201 I207:J207 I210:J210 I213:J213 I216:J216 I219:J219 I225:J225 I228:J228 I231:J231 I234:J234 I237:J237 I222:J222 I295:J295 I298:J298 I302:J302 I305:J305 I308:J308 I311:J311 I314:J314 I317:J317 I320:J320 I323:J323 I329:J329 I332:J332 I335:J335 I338:J338 I341:J341 I344:J344 I347:J347 I350:J350 I353:J353 I356:J356 I359:J359 I2:J2 I5:J5 I48:J48 I127:J127 I204:J204 I265:J265 I326:J3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64 M181 M241:M242 M23 M87 M104 M302:M303">
      <formula1>900</formula1>
    </dataValidation>
    <dataValidation type="decimal" allowBlank="1" showErrorMessage="1" errorTitle="Ошибка" error="Допускается ввод только действительных чисел!" sqref="K241 K244 K247 K250 K253 K256 K259 K262 K268 K271 K274 K277 K280 K283 K286 K289 K292 K295 K10 K87:K103 K157 K154 K151 K148 K145 K142 K139 K136 K133 K130 K124 K121 K118 K115 K112 K109 K106 K164:K180 K160 K183 K186 K189 K192 K195 K198 K201 K207 K210 K213 K216 K219 K225 K228 K231 K234 K237 K222 K298 K302 K305 K308 K311 K314 K317 K320 K323 K329 K332 K335 K338 K341 K344 K347 K350 K353 K356 K359 K5 K127 K204 K265 K326">
      <formula1>-9.99999999999999E+23</formula1>
      <formula2>9.99999999999999E+23</formula2>
    </dataValidation>
  </dataValidations>
  <hyperlinks>
    <hyperlink ref="L85" r:id="rId2" xr:uid="{83F9955E-CD78-5F7C-F156-D9E0118FB0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D6EF7-5726-5AA1-A678-D9F5E4CCE2A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6193" width="9.140625" hidden="1" customWidth="1"/>
    <col min="2" max="2" style="24434" width="9.140625" hidden="1" customWidth="1"/>
    <col min="3" max="3" style="26194" width="3.00390625" customWidth="1"/>
    <col min="4" max="4" style="24354" width="6.00390625" customWidth="1"/>
    <col min="5" max="5" style="24354" width="53.00390625" customWidth="1"/>
    <col min="6" max="7" style="24354" width="35.00390625" customWidth="1"/>
    <col min="8" max="8" style="24354" width="89.00390625" customWidth="1"/>
    <col min="9" max="9" style="24354" width="10.00390625" customWidth="1"/>
    <col min="10" max="11" style="24524" width="10.00390625" customWidth="1"/>
    <col min="12" max="17" style="24354" width="10.00390625" customWidth="1"/>
    <col min="18" max="18" style="24354" width="10.57421875" hidden="1"/>
  </cols>
  <sheetData>
    <row customHeight="1" ht="22.5" hidden="1">
      <c r="N1" s="653"/>
      <c r="O1" s="653"/>
      <c r="Q1" s="653"/>
      <c r="R1" s="772" t="s">
        <v>14</v>
      </c>
    </row>
    <row s="24354" customFormat="1" customHeight="1" ht="18.75" hidden="1">
      <c r="A2" s="500"/>
      <c r="B2" s="1558"/>
      <c r="C2" s="2128" t="s">
        <v>430</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4354" customFormat="1" customHeight="1" ht="18">
      <c r="A6" s="2067"/>
      <c r="B6" s="1558"/>
      <c r="C6" s="774"/>
      <c r="D6" s="2855" t="str">
        <f>IF(org=0,"Не определено",org)</f>
        <v>ООО "Новая Энергетика"</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305</v>
      </c>
      <c r="E8" s="2607"/>
      <c r="F8" s="2607"/>
      <c r="G8" s="2607"/>
      <c r="H8" s="2787" t="s">
        <v>306</v>
      </c>
      <c r="R8" s="772">
        <v>14</v>
      </c>
    </row>
    <row customHeight="1" ht="24">
      <c r="C9" s="774"/>
      <c r="D9" s="784" t="s">
        <v>89</v>
      </c>
      <c r="E9" s="506" t="s">
        <v>307</v>
      </c>
      <c r="F9" s="506" t="s">
        <v>308</v>
      </c>
      <c r="G9" s="506" t="s">
        <v>395</v>
      </c>
      <c r="H9" s="2787"/>
      <c r="R9" s="772">
        <v>23</v>
      </c>
    </row>
    <row customHeight="1" ht="14.699999999999998">
      <c r="A10" s="741"/>
      <c r="C10" s="774"/>
      <c r="D10" s="545" t="s">
        <v>110</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1161</v>
      </c>
      <c r="R10" s="772">
        <v>14</v>
      </c>
    </row>
    <row customHeight="1" ht="14.699999999999998">
      <c r="A11" s="741"/>
      <c r="C11" s="774"/>
      <c r="D11" s="545" t="s">
        <v>111</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91</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92</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327</v>
      </c>
      <c r="F14" s="747"/>
      <c r="G14" s="599"/>
      <c r="H14" s="2569"/>
      <c r="R14" s="772">
        <v>14</v>
      </c>
    </row>
    <row s="24354"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83</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46A94-40FC-E19D-81B6-81EB302E9CF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4318" width="9.140625" hidden="1" customWidth="1"/>
    <col min="2" max="2" style="24354" width="9.140625" hidden="1" customWidth="1"/>
    <col min="3" max="3" style="26871" width="4.00390625" customWidth="1"/>
    <col min="4" max="4" style="24354" width="6.00390625" customWidth="1"/>
    <col min="5" max="5" style="24354" width="47.00390625" customWidth="1"/>
    <col min="6" max="6" style="24354" width="9.00390625" customWidth="1"/>
    <col min="7" max="7" style="24354" width="25.7109375" hidden="1" customWidth="1"/>
    <col min="8" max="8" style="24354" width="34.00390625" hidden="1" customWidth="1"/>
    <col min="9" max="9" style="24354" width="25.7109375" customWidth="1"/>
    <col min="10" max="10" style="24354" width="33.00390625" customWidth="1"/>
    <col min="11" max="11" style="24434" width="50.00390625" customWidth="1"/>
    <col min="12" max="20" style="24354" width="10.00390625" customWidth="1"/>
    <col min="21" max="21" style="26872" width="10.00390625" customWidth="1"/>
    <col min="22" max="22" style="24354" width="10.57421875" hidden="1"/>
  </cols>
  <sheetData>
    <row s="24434" customFormat="1" customHeight="1" ht="22.5" hidden="1">
      <c r="C1" s="1070"/>
      <c r="G1" s="815">
        <v>4</v>
      </c>
      <c r="I1" s="815">
        <v>4</v>
      </c>
      <c r="U1" s="818"/>
      <c r="V1" s="815" t="s">
        <v>14</v>
      </c>
    </row>
    <row s="24354" customFormat="1" customHeight="1" ht="15" hidden="1">
      <c r="A2" s="760"/>
      <c r="C2" s="574"/>
      <c r="D2" s="744"/>
      <c r="E2" s="1071"/>
      <c r="F2" s="920"/>
      <c r="G2" s="1014"/>
      <c r="H2" s="1014"/>
      <c r="I2" s="1014"/>
      <c r="J2" s="1014"/>
      <c r="U2" s="1072"/>
      <c r="V2" s="907">
        <v>0</v>
      </c>
    </row>
    <row s="24434" customFormat="1" customHeight="1" ht="15" hidden="1">
      <c r="C3" s="1070"/>
      <c r="U3" s="818"/>
      <c r="V3" s="815">
        <v>0</v>
      </c>
    </row>
    <row customHeight="1" ht="15.75">
      <c r="C4" s="574"/>
      <c r="D4" s="907"/>
      <c r="E4" s="907"/>
      <c r="F4" s="907"/>
      <c r="G4" s="907"/>
      <c r="H4" s="907"/>
      <c r="I4" s="907"/>
      <c r="J4" s="907"/>
      <c r="V4" s="903">
        <v>15</v>
      </c>
    </row>
    <row customHeight="1" ht="66">
      <c r="C5" s="574"/>
      <c r="D5" s="2635" t="s">
        <v>1162</v>
      </c>
      <c r="E5" s="2635"/>
      <c r="F5" s="2635"/>
      <c r="G5" s="2635"/>
      <c r="H5" s="2635"/>
      <c r="I5" s="2635"/>
      <c r="J5" s="2635"/>
      <c r="V5" s="903">
        <v>63</v>
      </c>
    </row>
    <row customHeight="1" ht="15.75">
      <c r="C6" s="574"/>
      <c r="D6" s="2574" t="str">
        <f>IF(org=0,"Не определено",org)</f>
        <v>ООО "Новая Энергетика"</v>
      </c>
      <c r="E6" s="2574"/>
      <c r="F6" s="2574"/>
      <c r="G6" s="2574"/>
      <c r="H6" s="2574"/>
      <c r="I6" s="2574"/>
      <c r="J6" s="2574"/>
      <c r="K6" s="935"/>
      <c r="V6" s="903">
        <v>15</v>
      </c>
    </row>
    <row customHeight="1" ht="15.75">
      <c r="C7" s="574"/>
      <c r="D7" s="1150"/>
      <c r="E7" s="907"/>
      <c r="F7" s="907"/>
      <c r="G7" s="935">
        <v>22</v>
      </c>
      <c r="I7" s="935">
        <v>1</v>
      </c>
      <c r="J7" s="1150"/>
      <c r="V7" s="903">
        <v>15</v>
      </c>
    </row>
    <row s="24354" customFormat="1" customHeight="1" ht="1.05">
      <c r="A8" s="1157"/>
      <c r="C8" s="574"/>
      <c r="D8" s="907"/>
      <c r="E8" s="907"/>
      <c r="F8" s="907"/>
      <c r="G8" s="935"/>
      <c r="H8" s="1150"/>
      <c r="I8" s="935" t="s">
        <v>118</v>
      </c>
      <c r="J8" s="1150"/>
      <c r="K8" s="815"/>
      <c r="U8" s="1073"/>
      <c r="V8" s="1156">
        <v>1</v>
      </c>
    </row>
    <row customHeight="1" ht="15.75">
      <c r="C9" s="574"/>
      <c r="D9" s="1109"/>
      <c r="E9" s="2765" t="s">
        <v>106</v>
      </c>
      <c r="F9" s="2766"/>
      <c r="G9" s="2793" t="str">
        <f>IF(G8="","",INDEX(DIFFERENTIATION_UNMERGE_VD,MATCH(G8,DIFFERENTIATION_ID_DIFF,0)))</f>
        <v/>
      </c>
      <c r="H9" s="2794"/>
      <c r="I9" s="2793">
        <f>IF(I8="","",INDEX(DIFFERENTIATION_UNMERGE_VD,MATCH(I8,DIFFERENTIATION_ID_DIFF,0)))</f>
        <v>0</v>
      </c>
      <c r="J9" s="2794"/>
      <c r="K9" s="2573" t="s">
        <v>306</v>
      </c>
      <c r="V9" s="903">
        <v>15</v>
      </c>
    </row>
    <row s="24354" customFormat="1" customHeight="1" ht="15.75">
      <c r="A10" s="1157"/>
      <c r="C10" s="574"/>
      <c r="D10" s="1109"/>
      <c r="E10" s="2765" t="s">
        <v>570</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24354" customFormat="1" customHeight="1" ht="15.75">
      <c r="A11" s="1157"/>
      <c r="C11" s="574"/>
      <c r="D11" s="1109"/>
      <c r="E11" s="2765" t="s">
        <v>571</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24354" customFormat="1" customHeight="1" ht="15.75">
      <c r="A12" s="1157"/>
      <c r="C12" s="574"/>
      <c r="D12" s="2767" t="s">
        <v>305</v>
      </c>
      <c r="E12" s="2768"/>
      <c r="F12" s="2768"/>
      <c r="G12" s="1285"/>
      <c r="H12" s="1285"/>
      <c r="I12" s="1285"/>
      <c r="J12" s="1285"/>
      <c r="K12" s="2597"/>
      <c r="U12" s="1073"/>
      <c r="V12" s="1156">
        <v>15</v>
      </c>
    </row>
    <row customHeight="1" ht="35.699999999999996">
      <c r="C13" s="574"/>
      <c r="D13" s="1203" t="s">
        <v>89</v>
      </c>
      <c r="E13" s="1205" t="s">
        <v>307</v>
      </c>
      <c r="F13" s="1205" t="s">
        <v>572</v>
      </c>
      <c r="G13" s="1206" t="s">
        <v>308</v>
      </c>
      <c r="H13" s="1205" t="s">
        <v>395</v>
      </c>
      <c r="I13" s="1206" t="s">
        <v>308</v>
      </c>
      <c r="J13" s="1205" t="s">
        <v>395</v>
      </c>
      <c r="K13" s="2630"/>
      <c r="V13" s="903">
        <v>34</v>
      </c>
    </row>
    <row customHeight="1" ht="15" hidden="1">
      <c r="C14" s="574"/>
      <c r="D14" s="991" t="s">
        <v>110</v>
      </c>
      <c r="E14" s="991" t="s">
        <v>111</v>
      </c>
      <c r="F14" s="991" t="s">
        <v>91</v>
      </c>
      <c r="G14" s="1057" t="str">
        <f>G1&amp;".1"</f>
        <v>4.1</v>
      </c>
      <c r="H14" s="1057"/>
      <c r="I14" s="1057" t="str">
        <f>I1&amp;".1"</f>
        <v>4.1</v>
      </c>
      <c r="J14" s="1057"/>
      <c r="K14" s="687"/>
      <c r="V14" s="903">
        <v>0</v>
      </c>
    </row>
    <row customHeight="1" ht="22.5" hidden="1">
      <c r="A15" s="903"/>
      <c r="C15" s="924"/>
      <c r="D15" s="919">
        <v>1</v>
      </c>
      <c r="E15" s="1075" t="s">
        <v>814</v>
      </c>
      <c r="F15" s="919" t="s">
        <v>815</v>
      </c>
      <c r="G15" s="1076"/>
      <c r="H15" s="1076"/>
      <c r="I15" s="1076"/>
      <c r="J15" s="1076"/>
      <c r="K15" s="687" t="s">
        <v>816</v>
      </c>
      <c r="V15" s="903">
        <v>0</v>
      </c>
    </row>
    <row customHeight="1" ht="22.5" hidden="1">
      <c r="A16" s="903"/>
      <c r="C16" s="924"/>
      <c r="D16" s="919">
        <v>2</v>
      </c>
      <c r="E16" s="677" t="s">
        <v>817</v>
      </c>
      <c r="F16" s="919" t="s">
        <v>818</v>
      </c>
      <c r="G16" s="1076"/>
      <c r="H16" s="1076"/>
      <c r="I16" s="1076"/>
      <c r="J16" s="1076"/>
      <c r="K16" s="687" t="s">
        <v>819</v>
      </c>
      <c r="V16" s="903">
        <v>0</v>
      </c>
    </row>
    <row customHeight="1" ht="123.75" hidden="1">
      <c r="A17" s="903"/>
      <c r="C17" s="924"/>
      <c r="D17" s="919">
        <v>3</v>
      </c>
      <c r="E17" s="677" t="s">
        <v>1163</v>
      </c>
      <c r="F17" s="919" t="s">
        <v>311</v>
      </c>
      <c r="G17" s="1076"/>
      <c r="H17" s="1076"/>
      <c r="I17" s="1076"/>
      <c r="J17" s="1076"/>
      <c r="K17" s="687" t="s">
        <v>1164</v>
      </c>
      <c r="V17" s="903">
        <v>0</v>
      </c>
    </row>
    <row customHeight="1" ht="48.29999999999999">
      <c r="A18" s="903"/>
      <c r="C18" s="924"/>
      <c r="D18" s="919">
        <v>3</v>
      </c>
      <c r="E18" s="677" t="s">
        <v>820</v>
      </c>
      <c r="F18" s="919" t="s">
        <v>311</v>
      </c>
      <c r="G18" s="1207" t="s">
        <v>311</v>
      </c>
      <c r="H18" s="1208" t="s">
        <v>311</v>
      </c>
      <c r="I18" s="919" t="s">
        <v>311</v>
      </c>
      <c r="J18" s="976" t="s">
        <v>311</v>
      </c>
      <c r="K18" s="687" t="s">
        <v>1165</v>
      </c>
      <c r="V18" s="903">
        <v>46</v>
      </c>
    </row>
    <row customHeight="1" ht="35.699999999999996">
      <c r="A19" s="903"/>
      <c r="C19" s="924"/>
      <c r="D19" s="937" t="s">
        <v>329</v>
      </c>
      <c r="E19" s="957" t="s">
        <v>822</v>
      </c>
      <c r="F19" s="919" t="s">
        <v>823</v>
      </c>
      <c r="G19" s="1215"/>
      <c r="H19" s="504"/>
      <c r="I19" s="1215"/>
      <c r="J19" s="1216"/>
      <c r="K19" s="1077"/>
      <c r="V19" s="903">
        <v>34</v>
      </c>
    </row>
    <row customHeight="1" ht="35.699999999999996">
      <c r="A20" s="903"/>
      <c r="C20" s="924"/>
      <c r="D20" s="2288" t="s">
        <v>337</v>
      </c>
      <c r="E20" s="957" t="s">
        <v>824</v>
      </c>
      <c r="F20" s="919" t="s">
        <v>825</v>
      </c>
      <c r="G20" s="1215"/>
      <c r="H20" s="504"/>
      <c r="I20" s="1215"/>
      <c r="J20" s="504"/>
      <c r="K20" s="1077"/>
      <c r="V20" s="903">
        <v>34</v>
      </c>
    </row>
    <row customHeight="1" ht="48.29999999999999">
      <c r="A21" s="903"/>
      <c r="C21" s="924"/>
      <c r="D21" s="2288" t="s">
        <v>339</v>
      </c>
      <c r="E21" s="957" t="s">
        <v>826</v>
      </c>
      <c r="F21" s="919" t="s">
        <v>577</v>
      </c>
      <c r="G21" s="1078"/>
      <c r="H21" s="504"/>
      <c r="I21" s="1078"/>
      <c r="J21" s="504"/>
      <c r="K21" s="1077"/>
      <c r="V21" s="903">
        <v>46</v>
      </c>
    </row>
    <row customHeight="1" ht="67.5" hidden="1">
      <c r="A22" s="903"/>
      <c r="C22" s="924"/>
      <c r="D22" s="919">
        <v>5</v>
      </c>
      <c r="E22" s="677" t="s">
        <v>1166</v>
      </c>
      <c r="F22" s="919" t="s">
        <v>564</v>
      </c>
      <c r="G22" s="1079"/>
      <c r="H22" s="1080"/>
      <c r="I22" s="1079"/>
      <c r="J22" s="1080"/>
      <c r="K22" s="687" t="s">
        <v>1167</v>
      </c>
      <c r="V22" s="903">
        <v>0</v>
      </c>
    </row>
    <row customHeight="1" ht="33.75" hidden="1">
      <c r="C23" s="849"/>
      <c r="D23" s="919">
        <v>6</v>
      </c>
      <c r="E23" s="677" t="s">
        <v>1168</v>
      </c>
      <c r="F23" s="919" t="s">
        <v>1169</v>
      </c>
      <c r="G23" s="1079"/>
      <c r="H23" s="1079"/>
      <c r="I23" s="1079"/>
      <c r="J23" s="1079"/>
      <c r="K23" s="687" t="s">
        <v>1170</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83</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DDF803-2FE2-FDBD-36B4-82A5794CAD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7315" width="32.57421875" customWidth="1"/>
    <col min="2" max="2" style="24495" width="11.00390625" customWidth="1"/>
    <col min="3" max="3" style="24495" width="9.140625"/>
    <col min="4" max="4" style="24495" width="26.57421875" customWidth="1"/>
    <col min="5" max="5" style="27130" width="36.8515625" customWidth="1"/>
    <col min="6" max="6" style="27130" width="23.57421875" customWidth="1"/>
    <col min="7" max="7" style="27130" width="31.421875" customWidth="1"/>
    <col min="8" max="8" style="27130" width="40.8515625" customWidth="1"/>
    <col min="9" max="9" style="27130" width="14.57421875" customWidth="1"/>
    <col min="10" max="10" style="27130" width="26.8515625" customWidth="1"/>
    <col min="11" max="11" style="27130" width="50.00390625" customWidth="1"/>
    <col min="12" max="12" style="27130" width="52.421875" customWidth="1"/>
    <col min="13" max="13" style="27130" width="10.7109375" customWidth="1"/>
    <col min="14" max="14" style="27130" width="55.140625" customWidth="1"/>
    <col min="15" max="15" style="27130" width="31.8515625" customWidth="1"/>
    <col min="16" max="16" style="27130" width="23.8515625" customWidth="1"/>
    <col min="17" max="17" style="27130" width="46.57421875" customWidth="1"/>
    <col min="18" max="18" style="27130" width="24.00390625" customWidth="1"/>
    <col min="19" max="19" style="27130" width="20.57421875" customWidth="1"/>
    <col min="20" max="20" style="27130" width="22.00390625" customWidth="1"/>
    <col min="21" max="22" style="27130" width="26.421875" customWidth="1"/>
    <col min="23" max="23" style="27130" width="8.28125" hidden="1" customWidth="1"/>
    <col min="24" max="24" style="27130" width="59.7109375" customWidth="1"/>
    <col min="25" max="25" style="27130" width="49.140625" customWidth="1"/>
    <col min="26" max="26" style="27130" width="11.140625" customWidth="1"/>
    <col min="27" max="30" style="27130" width="29.00390625" customWidth="1"/>
    <col min="31" max="31" style="27130" width="9.140625"/>
    <col min="32" max="32" style="27130" width="34.7109375" customWidth="1"/>
    <col min="33" max="33" style="27130" width="9.140625"/>
    <col min="34" max="35" style="27130" width="34.421875" customWidth="1"/>
    <col min="36" max="36" style="27130" width="9.140625"/>
    <col min="37" max="37" style="27130" width="24.57421875" customWidth="1"/>
    <col min="38" max="38" style="27130" width="9.140625"/>
    <col min="39" max="39" style="27130" width="26.140625" customWidth="1"/>
    <col min="40" max="40" style="27130" width="1.7109375" customWidth="1"/>
    <col min="41" max="41" style="27130" width="9.140625"/>
    <col min="42" max="43" style="27130" width="47.8515625" customWidth="1"/>
    <col min="44" max="44" style="27130" width="1.7109375" customWidth="1"/>
    <col min="45" max="45" style="27130" width="21.421875" customWidth="1"/>
    <col min="46" max="46" style="27130" width="1.7109375" customWidth="1"/>
    <col min="47" max="47" style="27130" width="31.28125" customWidth="1"/>
    <col min="48" max="48" style="27130" width="1.7109375" customWidth="1"/>
    <col min="49" max="50" style="27130" width="9.140625"/>
    <col min="51" max="51" style="27130" width="3.7109375" customWidth="1"/>
    <col min="52" max="52" style="27130" width="60.8515625" customWidth="1"/>
    <col min="53" max="53" style="27130" width="49.28125" customWidth="1"/>
    <col min="54" max="54" style="27130" width="35.140625" customWidth="1"/>
    <col min="55" max="55" style="27130" width="9.140625"/>
    <col min="56" max="56" style="27130" width="1.7109375" customWidth="1"/>
    <col min="57" max="57" style="27316" width="12.57421875" customWidth="1"/>
    <col min="58" max="58" style="27316" width="14.28125" customWidth="1"/>
    <col min="59" max="59" style="27130" width="30.7109375" customWidth="1"/>
    <col min="60" max="60" style="27317" width="40.7109375" customWidth="1"/>
    <col min="61" max="61" style="27317" width="15.00390625" customWidth="1"/>
    <col min="62" max="62" style="27317" width="40.7109375" customWidth="1"/>
    <col min="63" max="63" style="27317" width="2.7109375" customWidth="1"/>
    <col min="64" max="64" style="27317" width="44.7109375" customWidth="1"/>
    <col min="65" max="65" style="27317" width="2.7109375" customWidth="1"/>
    <col min="66" max="66" style="27317" width="40.7109375" customWidth="1"/>
    <col min="67" max="68" style="27130" width="9.140625"/>
    <col min="69" max="69" style="27130" width="18.140625" customWidth="1"/>
    <col min="70" max="70" style="27130" width="57.8515625" customWidth="1"/>
    <col min="71" max="71" style="27130" width="1.7109375" customWidth="1"/>
    <col min="72" max="72" style="27130" width="22.57421875" customWidth="1"/>
    <col min="73" max="73" style="27130" width="57.8515625" customWidth="1"/>
    <col min="74" max="74" style="27130" width="1.7109375" customWidth="1"/>
    <col min="75" max="75" style="27130" width="22.57421875" customWidth="1"/>
    <col min="76" max="76" style="27130" width="57.8515625" customWidth="1"/>
    <col min="77" max="77" style="27130" width="1.7109375" customWidth="1"/>
    <col min="78" max="78" style="27130" width="22.57421875" customWidth="1"/>
    <col min="79" max="79" style="27130" width="57.8515625" customWidth="1"/>
    <col min="80" max="81" style="27130" width="9.140625"/>
    <col min="82" max="82" style="27130" width="49.57421875" customWidth="1"/>
  </cols>
  <sheetData>
    <row s="27218" customFormat="1" customHeight="1" ht="11.25">
      <c r="A1" s="1465" t="s">
        <v>1171</v>
      </c>
      <c r="B1" s="1465" t="s">
        <v>1172</v>
      </c>
      <c r="C1" s="1465" t="s">
        <v>1173</v>
      </c>
      <c r="D1" s="1465" t="s">
        <v>1174</v>
      </c>
      <c r="E1" s="1465" t="s">
        <v>1175</v>
      </c>
      <c r="F1" s="1465" t="s">
        <v>1176</v>
      </c>
      <c r="G1" s="1465" t="s">
        <v>1177</v>
      </c>
      <c r="H1" s="1465" t="s">
        <v>1178</v>
      </c>
      <c r="I1" s="1465" t="s">
        <v>1179</v>
      </c>
      <c r="J1" s="1465" t="s">
        <v>1180</v>
      </c>
      <c r="K1" s="1465" t="s">
        <v>1181</v>
      </c>
      <c r="L1" s="1465" t="s">
        <v>1182</v>
      </c>
      <c r="M1" s="1465"/>
      <c r="N1" s="1465" t="s">
        <v>1183</v>
      </c>
      <c r="O1" s="1465" t="s">
        <v>1184</v>
      </c>
      <c r="P1" s="1465" t="s">
        <v>1185</v>
      </c>
      <c r="Q1" s="1465" t="s">
        <v>1186</v>
      </c>
      <c r="R1" s="1465" t="s">
        <v>1187</v>
      </c>
      <c r="S1" s="1465" t="s">
        <v>1188</v>
      </c>
      <c r="T1" s="1465" t="s">
        <v>1189</v>
      </c>
      <c r="U1" s="1465" t="s">
        <v>1190</v>
      </c>
      <c r="V1" s="1465"/>
      <c r="W1" s="1195" t="s">
        <v>1191</v>
      </c>
      <c r="X1" s="1465" t="s">
        <v>1192</v>
      </c>
      <c r="Y1" s="1465" t="s">
        <v>1193</v>
      </c>
      <c r="Z1" s="1465"/>
      <c r="AA1" s="1465" t="s">
        <v>1194</v>
      </c>
      <c r="AB1" s="1465"/>
      <c r="AC1" s="1465" t="s">
        <v>1195</v>
      </c>
      <c r="AD1" s="1465"/>
      <c r="AF1" s="1465" t="s">
        <v>1196</v>
      </c>
      <c r="AH1" s="1465" t="s">
        <v>1197</v>
      </c>
      <c r="AI1" s="1465" t="s">
        <v>1198</v>
      </c>
      <c r="AK1" s="1465" t="s">
        <v>1199</v>
      </c>
      <c r="AM1" s="1465" t="s">
        <v>1200</v>
      </c>
      <c r="AP1" s="1465" t="s">
        <v>1201</v>
      </c>
      <c r="AQ1" s="1465" t="s">
        <v>1202</v>
      </c>
      <c r="AS1" s="1465" t="s">
        <v>1203</v>
      </c>
      <c r="AU1" s="1465" t="s">
        <v>1204</v>
      </c>
      <c r="AW1" s="1465" t="s">
        <v>1205</v>
      </c>
      <c r="AX1" s="1465" t="s">
        <v>1206</v>
      </c>
      <c r="AZ1" s="1550" t="s">
        <v>1207</v>
      </c>
      <c r="BB1" s="1465" t="s">
        <v>1208</v>
      </c>
      <c r="BC1" s="1465"/>
      <c r="BE1" s="1465" t="s">
        <v>1209</v>
      </c>
      <c r="BF1" s="1465" t="s">
        <v>1210</v>
      </c>
      <c r="BH1" s="1467" t="s">
        <v>813</v>
      </c>
      <c r="BI1" s="1468"/>
      <c r="BJ1" s="1469" t="s">
        <v>1211</v>
      </c>
      <c r="BK1" s="1468"/>
      <c r="BL1" s="1470" t="s">
        <v>912</v>
      </c>
      <c r="BM1" s="1468"/>
      <c r="BN1" s="1471" t="s">
        <v>1212</v>
      </c>
      <c r="BS1" s="1825"/>
    </row>
    <row customHeight="1" ht="11.25">
      <c r="A2" s="1472" t="s">
        <v>1213</v>
      </c>
      <c r="B2" s="1473">
        <v>2000</v>
      </c>
      <c r="C2" s="1473">
        <v>2022</v>
      </c>
      <c r="D2" s="1473" t="s">
        <v>67</v>
      </c>
      <c r="E2" s="1474" t="s">
        <v>1214</v>
      </c>
      <c r="F2" s="1474" t="s">
        <v>1215</v>
      </c>
      <c r="G2" s="1474" t="s">
        <v>1216</v>
      </c>
      <c r="H2" s="1475" t="s">
        <v>56</v>
      </c>
      <c r="I2" s="1474" t="s">
        <v>110</v>
      </c>
      <c r="J2" s="1474" t="s">
        <v>1217</v>
      </c>
      <c r="K2" s="1476" t="s">
        <v>1218</v>
      </c>
      <c r="L2" s="1477"/>
      <c r="M2" s="1476">
        <v>1</v>
      </c>
      <c r="N2" s="1560" t="s">
        <v>1219</v>
      </c>
      <c r="O2" s="1475" t="s">
        <v>453</v>
      </c>
      <c r="P2" s="1478" t="s">
        <v>1220</v>
      </c>
      <c r="Q2" s="1479" t="s">
        <v>452</v>
      </c>
      <c r="R2" s="541" t="s">
        <v>1221</v>
      </c>
      <c r="S2" s="541" t="s">
        <v>1222</v>
      </c>
      <c r="T2" s="1480" t="s">
        <v>1223</v>
      </c>
      <c r="U2" s="1477" t="s">
        <v>1224</v>
      </c>
      <c r="V2" s="1481">
        <v>1</v>
      </c>
      <c r="W2" s="1482"/>
      <c r="X2" s="1482" t="s">
        <v>1225</v>
      </c>
      <c r="Y2" s="1473" t="s">
        <v>1226</v>
      </c>
      <c r="Z2" s="1483"/>
      <c r="AA2" s="1473" t="s">
        <v>1227</v>
      </c>
      <c r="AB2" s="1484" t="s">
        <v>1227</v>
      </c>
      <c r="AC2" s="1473" t="s">
        <v>1228</v>
      </c>
      <c r="AD2" s="1484" t="s">
        <v>1228</v>
      </c>
      <c r="AF2" s="1475" t="s">
        <v>1224</v>
      </c>
      <c r="AH2" s="1474" t="s">
        <v>1229</v>
      </c>
      <c r="AI2" s="1474" t="s">
        <v>1229</v>
      </c>
      <c r="AK2" s="1474" t="s">
        <v>1230</v>
      </c>
      <c r="AM2" s="1474" t="s">
        <v>1231</v>
      </c>
      <c r="AP2" s="1485" t="s">
        <v>1225</v>
      </c>
      <c r="AQ2" s="1486" t="s">
        <v>1225</v>
      </c>
      <c r="AS2" s="1473" t="s">
        <v>1232</v>
      </c>
      <c r="AU2" s="1518" t="s">
        <v>1233</v>
      </c>
      <c r="AW2" s="1518" t="s">
        <v>1234</v>
      </c>
      <c r="AX2" s="1518" t="s">
        <v>1234</v>
      </c>
      <c r="AZ2" s="1518" t="s">
        <v>1235</v>
      </c>
      <c r="BB2" s="1518" t="s">
        <v>1236</v>
      </c>
      <c r="BC2" s="1518" t="s">
        <v>1237</v>
      </c>
      <c r="BE2" s="1518">
        <v>2000</v>
      </c>
      <c r="BF2" s="1518" t="s">
        <v>1238</v>
      </c>
    </row>
    <row customHeight="1" ht="11.25">
      <c r="A3" s="1472" t="s">
        <v>1239</v>
      </c>
      <c r="B3" s="1473">
        <v>2001</v>
      </c>
      <c r="C3" s="1473">
        <v>2023</v>
      </c>
      <c r="D3" s="1473" t="s">
        <v>19</v>
      </c>
      <c r="E3" s="1474" t="s">
        <v>1240</v>
      </c>
      <c r="F3" s="1474" t="s">
        <v>1241</v>
      </c>
      <c r="G3" s="1474" t="s">
        <v>1242</v>
      </c>
      <c r="H3" s="1475" t="s">
        <v>1243</v>
      </c>
      <c r="I3" s="1474" t="s">
        <v>111</v>
      </c>
      <c r="J3" s="1474" t="s">
        <v>562</v>
      </c>
      <c r="K3" s="1476" t="s">
        <v>1155</v>
      </c>
      <c r="L3" s="1477">
        <f>_xlfn.IFERROR(MATCH(K3,OFFER_METHOD,0),0)</f>
        <v>1</v>
      </c>
      <c r="M3" s="1476">
        <v>2</v>
      </c>
      <c r="N3" s="1560" t="s">
        <v>1244</v>
      </c>
      <c r="O3" s="1475" t="s">
        <v>1245</v>
      </c>
      <c r="P3" s="1478" t="s">
        <v>37</v>
      </c>
      <c r="Q3" s="1479" t="s">
        <v>1246</v>
      </c>
      <c r="R3" s="541" t="s">
        <v>1247</v>
      </c>
      <c r="S3" s="541" t="s">
        <v>1248</v>
      </c>
      <c r="T3" s="1480" t="s">
        <v>1249</v>
      </c>
      <c r="U3" s="1477" t="s">
        <v>1250</v>
      </c>
      <c r="V3" s="1481">
        <v>2</v>
      </c>
      <c r="W3" s="1482"/>
      <c r="X3" s="1482" t="s">
        <v>1251</v>
      </c>
      <c r="Y3" s="1473" t="s">
        <v>1226</v>
      </c>
      <c r="Z3" s="1483"/>
      <c r="AA3" s="1473" t="s">
        <v>1252</v>
      </c>
      <c r="AB3" s="1484" t="s">
        <v>1252</v>
      </c>
      <c r="AC3" s="1473" t="s">
        <v>1253</v>
      </c>
      <c r="AD3" s="1484" t="s">
        <v>1253</v>
      </c>
      <c r="AF3" s="1475" t="s">
        <v>1250</v>
      </c>
      <c r="AH3" s="1474" t="s">
        <v>1254</v>
      </c>
      <c r="AI3" s="1474" t="s">
        <v>1255</v>
      </c>
      <c r="AK3" s="1474" t="s">
        <v>1256</v>
      </c>
      <c r="AM3" s="1474" t="s">
        <v>1257</v>
      </c>
      <c r="AP3" s="1485" t="s">
        <v>1258</v>
      </c>
      <c r="AQ3" s="1486" t="s">
        <v>1258</v>
      </c>
      <c r="AS3" s="1473" t="s">
        <v>1259</v>
      </c>
      <c r="AU3" s="1518" t="s">
        <v>1260</v>
      </c>
      <c r="AW3" s="1518" t="s">
        <v>1261</v>
      </c>
      <c r="AX3" s="1518" t="s">
        <v>1261</v>
      </c>
      <c r="AZ3" s="1518" t="s">
        <v>54</v>
      </c>
      <c r="BB3" s="1518" t="s">
        <v>1262</v>
      </c>
      <c r="BC3" s="1518" t="s">
        <v>1237</v>
      </c>
      <c r="BE3" s="1518">
        <v>2001</v>
      </c>
      <c r="BF3" s="1518" t="s">
        <v>1263</v>
      </c>
      <c r="BH3" s="1465" t="s">
        <v>1264</v>
      </c>
      <c r="BJ3" s="1465" t="s">
        <v>1265</v>
      </c>
      <c r="BL3" s="1465" t="s">
        <v>1266</v>
      </c>
      <c r="BN3" s="1465" t="s">
        <v>1267</v>
      </c>
      <c r="BR3" s="1465" t="s">
        <v>1268</v>
      </c>
      <c r="BS3" s="1826"/>
      <c r="BT3" s="1468"/>
      <c r="BU3" s="1465" t="s">
        <v>1269</v>
      </c>
      <c r="BV3" s="1468"/>
      <c r="BW3" s="2088"/>
      <c r="BX3" s="2090" t="s">
        <v>1270</v>
      </c>
      <c r="CA3" s="1465" t="s">
        <v>1271</v>
      </c>
    </row>
    <row customHeight="1" ht="11.25">
      <c r="A4" s="1472" t="s">
        <v>1272</v>
      </c>
      <c r="B4" s="1473">
        <v>2002</v>
      </c>
      <c r="C4" s="1473">
        <v>2024</v>
      </c>
      <c r="E4" s="1474" t="s">
        <v>1273</v>
      </c>
      <c r="F4" s="1474" t="s">
        <v>1274</v>
      </c>
      <c r="H4" s="1475" t="s">
        <v>1275</v>
      </c>
      <c r="I4" s="1474" t="s">
        <v>91</v>
      </c>
      <c r="J4" s="1474" t="s">
        <v>1276</v>
      </c>
      <c r="K4" s="1476" t="s">
        <v>1277</v>
      </c>
      <c r="L4" s="1477">
        <f>_xlfn.IFERROR(MATCH(K4,OFFER_METHOD,0),0)</f>
        <v>0</v>
      </c>
      <c r="M4" s="1476">
        <v>3</v>
      </c>
      <c r="N4" s="1560" t="s">
        <v>1278</v>
      </c>
      <c r="O4" s="1474" t="s">
        <v>1279</v>
      </c>
      <c r="Q4" s="1479" t="s">
        <v>451</v>
      </c>
      <c r="R4" s="541" t="s">
        <v>1280</v>
      </c>
      <c r="S4" s="541" t="s">
        <v>1281</v>
      </c>
      <c r="T4" s="1480" t="s">
        <v>1282</v>
      </c>
      <c r="U4" s="1477" t="s">
        <v>1283</v>
      </c>
      <c r="V4" s="1481">
        <v>3</v>
      </c>
      <c r="W4" s="1482"/>
      <c r="X4" s="1482" t="s">
        <v>1284</v>
      </c>
      <c r="Y4" s="1473" t="s">
        <v>1226</v>
      </c>
      <c r="Z4" s="1489"/>
      <c r="AC4" s="1473" t="s">
        <v>1285</v>
      </c>
      <c r="AD4" s="1484" t="s">
        <v>1285</v>
      </c>
      <c r="AF4" s="1475" t="s">
        <v>1283</v>
      </c>
      <c r="AH4" s="1475" t="s">
        <v>1286</v>
      </c>
      <c r="AK4" s="1474" t="s">
        <v>1287</v>
      </c>
      <c r="AM4" s="1474" t="s">
        <v>1288</v>
      </c>
      <c r="AP4" s="1485" t="s">
        <v>1251</v>
      </c>
      <c r="AQ4" s="1486" t="s">
        <v>1251</v>
      </c>
      <c r="AS4" s="1473" t="s">
        <v>1289</v>
      </c>
      <c r="AU4" s="1518" t="s">
        <v>1290</v>
      </c>
      <c r="AW4" s="1518" t="s">
        <v>1291</v>
      </c>
      <c r="AX4" s="1518" t="s">
        <v>1291</v>
      </c>
      <c r="AZ4" s="1518" t="s">
        <v>1292</v>
      </c>
      <c r="BB4" s="1518" t="s">
        <v>1293</v>
      </c>
      <c r="BC4" s="1518" t="s">
        <v>1294</v>
      </c>
      <c r="BE4" s="1518">
        <v>2002</v>
      </c>
      <c r="BF4" s="1518" t="s">
        <v>1295</v>
      </c>
      <c r="BH4" s="1466" t="s">
        <v>1296</v>
      </c>
      <c r="BJ4" s="1466" t="s">
        <v>1296</v>
      </c>
      <c r="BL4" s="1466" t="s">
        <v>1296</v>
      </c>
      <c r="BN4" s="1466" t="s">
        <v>1296</v>
      </c>
      <c r="BQ4" s="1830" t="s">
        <v>1297</v>
      </c>
      <c r="BR4" s="1557" t="s">
        <v>1298</v>
      </c>
      <c r="BS4" s="672"/>
      <c r="BT4" s="1830" t="s">
        <v>1299</v>
      </c>
      <c r="BU4" s="1557" t="s">
        <v>1300</v>
      </c>
      <c r="BV4" s="1468"/>
      <c r="BW4" s="2095" t="s">
        <v>1301</v>
      </c>
      <c r="BX4" s="2089" t="s">
        <v>1302</v>
      </c>
      <c r="BZ4" s="1830" t="s">
        <v>1303</v>
      </c>
      <c r="CA4" s="1557" t="s">
        <v>1304</v>
      </c>
    </row>
    <row customHeight="1" ht="11.25">
      <c r="A5" s="1472" t="s">
        <v>1305</v>
      </c>
      <c r="B5" s="1473">
        <v>2003</v>
      </c>
      <c r="C5" s="1473">
        <v>2025</v>
      </c>
      <c r="E5" s="1474" t="s">
        <v>1306</v>
      </c>
      <c r="F5" s="1474" t="s">
        <v>1307</v>
      </c>
      <c r="H5" s="1475" t="s">
        <v>1308</v>
      </c>
      <c r="I5" s="1474" t="s">
        <v>92</v>
      </c>
      <c r="K5" s="1476" t="s">
        <v>1309</v>
      </c>
      <c r="L5" s="1477">
        <f>_xlfn.IFERROR(MATCH(K5,OFFER_METHOD,0),0)</f>
        <v>0</v>
      </c>
      <c r="M5" s="1476">
        <v>4</v>
      </c>
      <c r="N5" s="1490" t="s">
        <v>1310</v>
      </c>
      <c r="O5" s="1474" t="s">
        <v>1311</v>
      </c>
      <c r="Q5" s="1479" t="s">
        <v>1312</v>
      </c>
      <c r="R5" s="541" t="s">
        <v>1313</v>
      </c>
      <c r="T5" s="1475" t="s">
        <v>1314</v>
      </c>
      <c r="U5" s="1477" t="s">
        <v>1315</v>
      </c>
      <c r="V5" s="1481">
        <v>4</v>
      </c>
      <c r="W5" s="1482"/>
      <c r="X5" s="1482" t="s">
        <v>173</v>
      </c>
      <c r="Y5" s="1473" t="s">
        <v>1316</v>
      </c>
      <c r="Z5" s="1489">
        <v>1</v>
      </c>
      <c r="AF5" s="1475" t="s">
        <v>1317</v>
      </c>
      <c r="AH5" s="1474" t="s">
        <v>1318</v>
      </c>
      <c r="AK5" s="1474" t="s">
        <v>1319</v>
      </c>
      <c r="AM5" s="1474" t="s">
        <v>1320</v>
      </c>
      <c r="AP5" s="1485" t="s">
        <v>173</v>
      </c>
      <c r="AQ5" s="1486" t="s">
        <v>173</v>
      </c>
      <c r="AU5" s="1518" t="s">
        <v>1321</v>
      </c>
      <c r="AW5" s="1518" t="s">
        <v>1322</v>
      </c>
      <c r="AX5" s="1518" t="s">
        <v>1322</v>
      </c>
      <c r="AZ5" s="1518" t="s">
        <v>1323</v>
      </c>
      <c r="BB5" s="1518" t="s">
        <v>1324</v>
      </c>
      <c r="BC5" s="1518" t="s">
        <v>1325</v>
      </c>
      <c r="BE5" s="1518">
        <v>2003</v>
      </c>
      <c r="BF5" s="1518" t="s">
        <v>1326</v>
      </c>
      <c r="BH5" s="1466" t="s">
        <v>1327</v>
      </c>
      <c r="BJ5" s="1466" t="s">
        <v>1327</v>
      </c>
      <c r="BL5" s="1466" t="s">
        <v>1327</v>
      </c>
      <c r="BN5" s="1466" t="s">
        <v>1328</v>
      </c>
      <c r="BQ5" s="1679">
        <v>4213775</v>
      </c>
      <c r="BR5" s="1466" t="s">
        <v>1225</v>
      </c>
      <c r="BS5" s="1827"/>
      <c r="BT5" s="1679">
        <v>64236871</v>
      </c>
      <c r="BU5" s="1466" t="s">
        <v>234</v>
      </c>
      <c r="BV5" s="1468"/>
      <c r="BW5" s="2093">
        <v>4213767</v>
      </c>
      <c r="BX5" s="2091" t="s">
        <v>1329</v>
      </c>
      <c r="BZ5" s="1679">
        <v>64237509</v>
      </c>
      <c r="CA5" s="1693" t="s">
        <v>1330</v>
      </c>
    </row>
    <row customHeight="1" ht="11.25">
      <c r="A6" s="1472" t="s">
        <v>1331</v>
      </c>
      <c r="B6" s="1473">
        <v>2004</v>
      </c>
      <c r="C6" s="1473">
        <v>2026</v>
      </c>
      <c r="E6" s="1474" t="s">
        <v>1332</v>
      </c>
      <c r="F6" s="1491"/>
      <c r="H6" s="1475" t="s">
        <v>1333</v>
      </c>
      <c r="I6" s="1474" t="s">
        <v>112</v>
      </c>
      <c r="J6" s="1465" t="s">
        <v>1334</v>
      </c>
      <c r="L6" s="1477">
        <f>SUM(kind_of_control_method_filter)</f>
        <v>1</v>
      </c>
      <c r="N6" s="1490" t="s">
        <v>1335</v>
      </c>
      <c r="O6" s="1474" t="s">
        <v>1336</v>
      </c>
      <c r="R6" s="541" t="s">
        <v>452</v>
      </c>
      <c r="T6" s="1475" t="s">
        <v>1337</v>
      </c>
      <c r="U6" s="1477" t="s">
        <v>1317</v>
      </c>
      <c r="V6" s="1481">
        <v>5</v>
      </c>
      <c r="W6" s="1482"/>
      <c r="X6" s="1473" t="s">
        <v>179</v>
      </c>
      <c r="Y6" s="1473" t="s">
        <v>1338</v>
      </c>
      <c r="Z6" s="1489"/>
      <c r="AA6" s="1492"/>
      <c r="AH6" s="1474" t="s">
        <v>1339</v>
      </c>
      <c r="AK6" s="1474" t="s">
        <v>1340</v>
      </c>
      <c r="AM6" s="1474" t="s">
        <v>1341</v>
      </c>
      <c r="AP6" s="1485" t="s">
        <v>179</v>
      </c>
      <c r="AQ6" s="1486" t="s">
        <v>179</v>
      </c>
      <c r="AU6" s="1518" t="s">
        <v>1342</v>
      </c>
      <c r="AW6" s="1518" t="s">
        <v>1343</v>
      </c>
      <c r="AX6" s="1518" t="s">
        <v>1343</v>
      </c>
      <c r="BB6" s="1518" t="s">
        <v>1344</v>
      </c>
      <c r="BC6" s="1518" t="s">
        <v>1325</v>
      </c>
      <c r="BE6" s="1518">
        <v>2004</v>
      </c>
      <c r="BF6" s="1518" t="s">
        <v>1345</v>
      </c>
      <c r="BH6" s="1466" t="s">
        <v>1346</v>
      </c>
      <c r="BJ6" s="1466" t="s">
        <v>1347</v>
      </c>
      <c r="BL6" s="1466" t="s">
        <v>1347</v>
      </c>
      <c r="BN6" s="1466" t="s">
        <v>1348</v>
      </c>
      <c r="BQ6" s="1679">
        <v>4213784</v>
      </c>
      <c r="BR6" s="1693" t="s">
        <v>1258</v>
      </c>
      <c r="BS6" s="1828"/>
      <c r="BT6" s="1679">
        <v>64236872</v>
      </c>
      <c r="BU6" s="1466" t="s">
        <v>239</v>
      </c>
      <c r="BV6" s="1468"/>
      <c r="BW6" s="2093">
        <v>4213768</v>
      </c>
      <c r="BX6" s="2091" t="s">
        <v>259</v>
      </c>
      <c r="BZ6" s="1679">
        <v>64237510</v>
      </c>
      <c r="CA6" s="1466" t="s">
        <v>1349</v>
      </c>
    </row>
    <row customHeight="1" ht="11.25">
      <c r="A7" s="1472" t="s">
        <v>1350</v>
      </c>
      <c r="B7" s="1473">
        <v>2005</v>
      </c>
      <c r="E7" s="1474" t="s">
        <v>1351</v>
      </c>
      <c r="F7" s="1491"/>
      <c r="H7" s="1475" t="s">
        <v>1352</v>
      </c>
      <c r="I7" s="1474" t="s">
        <v>93</v>
      </c>
      <c r="J7" s="1474" t="s">
        <v>1353</v>
      </c>
      <c r="N7" s="1494" t="s">
        <v>1354</v>
      </c>
      <c r="O7" s="1474" t="s">
        <v>1355</v>
      </c>
      <c r="U7" s="1477" t="s">
        <v>19</v>
      </c>
      <c r="V7" s="768" t="s">
        <v>93</v>
      </c>
      <c r="W7" s="1482"/>
      <c r="X7" s="1473" t="s">
        <v>185</v>
      </c>
      <c r="Y7" s="1473" t="s">
        <v>1316</v>
      </c>
      <c r="Z7" s="1489"/>
      <c r="AA7" s="1492"/>
      <c r="AH7" s="1474" t="s">
        <v>1356</v>
      </c>
      <c r="AK7" s="1474" t="s">
        <v>1357</v>
      </c>
      <c r="AM7" s="1474" t="s">
        <v>1358</v>
      </c>
      <c r="AP7" s="1485" t="s">
        <v>185</v>
      </c>
      <c r="AQ7" s="1486" t="s">
        <v>185</v>
      </c>
      <c r="AU7" s="1518" t="s">
        <v>1359</v>
      </c>
      <c r="AW7" s="1518" t="s">
        <v>1360</v>
      </c>
      <c r="AX7" s="1518" t="s">
        <v>1360</v>
      </c>
      <c r="AZ7" s="1465" t="s">
        <v>1361</v>
      </c>
      <c r="BB7" s="1518" t="s">
        <v>1362</v>
      </c>
      <c r="BC7" s="1518" t="s">
        <v>1325</v>
      </c>
      <c r="BE7" s="1518">
        <v>2005</v>
      </c>
      <c r="BF7" s="1518" t="s">
        <v>1363</v>
      </c>
      <c r="BH7" s="1466" t="s">
        <v>1364</v>
      </c>
      <c r="BJ7" s="1466" t="s">
        <v>1346</v>
      </c>
      <c r="BL7" s="1466" t="s">
        <v>1346</v>
      </c>
      <c r="BN7" s="1466" t="s">
        <v>1365</v>
      </c>
      <c r="BQ7" s="1679">
        <v>4213781</v>
      </c>
      <c r="BR7" s="1466" t="s">
        <v>1251</v>
      </c>
      <c r="BS7" s="1827"/>
      <c r="BT7" s="1679">
        <v>64236873</v>
      </c>
      <c r="BU7" s="1466" t="s">
        <v>244</v>
      </c>
      <c r="BV7" s="1468"/>
      <c r="BW7" s="2093">
        <v>4213769</v>
      </c>
      <c r="BX7" s="2091" t="s">
        <v>1366</v>
      </c>
      <c r="BZ7" s="1679">
        <v>64237511</v>
      </c>
      <c r="CA7" s="1466" t="s">
        <v>274</v>
      </c>
    </row>
    <row customHeight="1" ht="11.25">
      <c r="A8" s="1472" t="s">
        <v>1367</v>
      </c>
      <c r="B8" s="1473">
        <v>2006</v>
      </c>
      <c r="E8" s="1474" t="s">
        <v>1368</v>
      </c>
      <c r="F8" s="1491"/>
      <c r="H8" s="1475" t="s">
        <v>1369</v>
      </c>
      <c r="I8" s="1474" t="s">
        <v>94</v>
      </c>
      <c r="J8" s="1474" t="s">
        <v>1370</v>
      </c>
      <c r="N8" s="1561" t="s">
        <v>1371</v>
      </c>
      <c r="O8" s="1474" t="s">
        <v>1372</v>
      </c>
      <c r="V8" s="768" t="s">
        <v>94</v>
      </c>
      <c r="W8" s="1482"/>
      <c r="X8" s="1473" t="s">
        <v>191</v>
      </c>
      <c r="Y8" s="1473" t="s">
        <v>1316</v>
      </c>
      <c r="Z8" s="1489"/>
      <c r="AA8" s="1492"/>
      <c r="AK8" s="1474" t="s">
        <v>1373</v>
      </c>
      <c r="AP8" s="1485" t="s">
        <v>191</v>
      </c>
      <c r="AQ8" s="1486" t="s">
        <v>191</v>
      </c>
      <c r="AU8" s="1518" t="s">
        <v>1374</v>
      </c>
      <c r="AW8" s="1518" t="s">
        <v>1375</v>
      </c>
      <c r="AX8" s="1518" t="s">
        <v>1375</v>
      </c>
      <c r="AZ8" s="1518" t="s">
        <v>1376</v>
      </c>
      <c r="BB8" s="1518" t="s">
        <v>1377</v>
      </c>
      <c r="BC8" s="1518" t="s">
        <v>1325</v>
      </c>
      <c r="BE8" s="1518">
        <v>2006</v>
      </c>
      <c r="BF8" s="1518" t="s">
        <v>1378</v>
      </c>
      <c r="BH8" s="1466" t="s">
        <v>1379</v>
      </c>
      <c r="BJ8" s="1466" t="s">
        <v>1380</v>
      </c>
      <c r="BL8" s="1466" t="s">
        <v>1380</v>
      </c>
      <c r="BN8" s="1466" t="s">
        <v>1381</v>
      </c>
      <c r="BQ8" s="1679">
        <v>4213776</v>
      </c>
      <c r="BR8" s="1466" t="s">
        <v>173</v>
      </c>
      <c r="BS8" s="1827"/>
      <c r="BT8" s="1679">
        <v>64236874</v>
      </c>
      <c r="BU8" s="1693" t="s">
        <v>1382</v>
      </c>
      <c r="BV8" s="1468"/>
      <c r="BW8" s="2093">
        <v>4213770</v>
      </c>
      <c r="BX8" s="2094" t="s">
        <v>1383</v>
      </c>
      <c r="BZ8" s="1679">
        <v>64237512</v>
      </c>
      <c r="CA8" s="1466" t="s">
        <v>269</v>
      </c>
    </row>
    <row customHeight="1" ht="11.25">
      <c r="A9" s="1472" t="s">
        <v>1384</v>
      </c>
      <c r="B9" s="1473">
        <v>2007</v>
      </c>
      <c r="E9" s="1474" t="s">
        <v>1385</v>
      </c>
      <c r="F9" s="1491"/>
      <c r="G9" s="1465" t="s">
        <v>1386</v>
      </c>
      <c r="H9" s="1465" t="s">
        <v>1387</v>
      </c>
      <c r="I9" s="1474" t="s">
        <v>113</v>
      </c>
      <c r="O9" s="1474" t="s">
        <v>1388</v>
      </c>
      <c r="V9" s="768" t="s">
        <v>113</v>
      </c>
      <c r="W9" s="1482"/>
      <c r="X9" s="1473" t="s">
        <v>197</v>
      </c>
      <c r="Y9" s="1473" t="s">
        <v>1226</v>
      </c>
      <c r="Z9" s="1489">
        <v>1</v>
      </c>
      <c r="AA9" s="1492"/>
      <c r="AK9" s="1474" t="s">
        <v>1389</v>
      </c>
      <c r="AP9" s="1485" t="s">
        <v>1390</v>
      </c>
      <c r="AQ9" s="1486" t="s">
        <v>1390</v>
      </c>
      <c r="AW9" s="1518" t="s">
        <v>1391</v>
      </c>
      <c r="AX9" s="1518" t="s">
        <v>1391</v>
      </c>
      <c r="AZ9" s="1518" t="s">
        <v>1392</v>
      </c>
      <c r="BB9" s="1518" t="s">
        <v>1393</v>
      </c>
      <c r="BC9" s="1518" t="s">
        <v>1325</v>
      </c>
      <c r="BE9" s="1518">
        <v>2007</v>
      </c>
      <c r="BF9" s="1518" t="s">
        <v>1394</v>
      </c>
      <c r="BH9" s="1466" t="s">
        <v>1395</v>
      </c>
      <c r="BJ9" s="1466" t="s">
        <v>1396</v>
      </c>
      <c r="BL9" s="1466" t="s">
        <v>1396</v>
      </c>
      <c r="BN9" s="1466" t="s">
        <v>1397</v>
      </c>
      <c r="BQ9" s="1679">
        <v>4213777</v>
      </c>
      <c r="BR9" s="1466" t="s">
        <v>179</v>
      </c>
      <c r="BS9" s="1827"/>
      <c r="BT9" s="1679">
        <v>64236875</v>
      </c>
      <c r="BU9" s="1466" t="s">
        <v>249</v>
      </c>
      <c r="BV9" s="1468"/>
      <c r="BW9" s="2088"/>
      <c r="BX9" s="2088"/>
    </row>
    <row customHeight="1" ht="11.25">
      <c r="A10" s="1472" t="s">
        <v>1398</v>
      </c>
      <c r="B10" s="1473">
        <v>2008</v>
      </c>
      <c r="E10" s="1474" t="s">
        <v>1399</v>
      </c>
      <c r="F10" s="1491"/>
      <c r="G10" s="1474" t="s">
        <v>1400</v>
      </c>
      <c r="H10" s="1474" t="s">
        <v>1401</v>
      </c>
      <c r="I10" s="1474" t="s">
        <v>149</v>
      </c>
      <c r="J10" s="1465" t="s">
        <v>1402</v>
      </c>
      <c r="K10" s="1465" t="s">
        <v>1403</v>
      </c>
      <c r="O10" s="1474" t="s">
        <v>1404</v>
      </c>
      <c r="V10" s="769" t="s">
        <v>149</v>
      </c>
      <c r="W10" s="1495"/>
      <c r="X10" s="1495" t="s">
        <v>1405</v>
      </c>
      <c r="Y10" s="1496" t="s">
        <v>1406</v>
      </c>
      <c r="Z10" s="1489"/>
      <c r="AP10" s="1485" t="s">
        <v>1405</v>
      </c>
      <c r="AQ10" s="1486" t="s">
        <v>1405</v>
      </c>
      <c r="AW10" s="1518" t="s">
        <v>1407</v>
      </c>
      <c r="AX10" s="1518" t="s">
        <v>1407</v>
      </c>
      <c r="AZ10" s="1518" t="s">
        <v>1408</v>
      </c>
      <c r="BB10" s="1518" t="s">
        <v>1409</v>
      </c>
      <c r="BC10" s="1518" t="s">
        <v>1325</v>
      </c>
      <c r="BE10" s="1518">
        <v>2008</v>
      </c>
      <c r="BF10" s="1518" t="s">
        <v>1410</v>
      </c>
      <c r="BH10" s="1466" t="s">
        <v>1411</v>
      </c>
      <c r="BJ10" s="1466" t="s">
        <v>1412</v>
      </c>
      <c r="BL10" s="1466" t="s">
        <v>1412</v>
      </c>
      <c r="BN10" s="1466" t="s">
        <v>1413</v>
      </c>
      <c r="BQ10" s="1679">
        <v>4213778</v>
      </c>
      <c r="BR10" s="1466" t="s">
        <v>185</v>
      </c>
      <c r="BS10" s="1827"/>
      <c r="BT10" s="1679">
        <v>64236876</v>
      </c>
      <c r="BU10" s="1466" t="s">
        <v>229</v>
      </c>
      <c r="BV10" s="1468"/>
      <c r="BW10" s="2088"/>
      <c r="BX10" s="2088"/>
    </row>
    <row customHeight="1" ht="11.25">
      <c r="A11" s="1472" t="s">
        <v>1414</v>
      </c>
      <c r="B11" s="1473">
        <v>2009</v>
      </c>
      <c r="E11" s="1474" t="s">
        <v>1415</v>
      </c>
      <c r="F11" s="1491"/>
      <c r="G11" s="1474" t="s">
        <v>1416</v>
      </c>
      <c r="H11" s="1474" t="s">
        <v>1417</v>
      </c>
      <c r="I11" s="1474" t="s">
        <v>150</v>
      </c>
      <c r="J11" s="1475" t="s">
        <v>1418</v>
      </c>
      <c r="K11" s="1497" t="s">
        <v>1419</v>
      </c>
      <c r="O11" s="1475" t="s">
        <v>1420</v>
      </c>
      <c r="V11" s="768" t="s">
        <v>150</v>
      </c>
      <c r="W11" s="673"/>
      <c r="X11" s="1482" t="s">
        <v>1390</v>
      </c>
      <c r="Y11" s="1473" t="s">
        <v>1421</v>
      </c>
      <c r="Z11" s="1489"/>
      <c r="AP11" s="1485" t="s">
        <v>197</v>
      </c>
      <c r="AQ11" s="1487" t="s">
        <v>197</v>
      </c>
      <c r="AW11" s="1518" t="s">
        <v>1422</v>
      </c>
      <c r="AX11" s="1518" t="s">
        <v>1422</v>
      </c>
      <c r="AZ11" s="1518" t="s">
        <v>1423</v>
      </c>
      <c r="BB11" s="1518" t="s">
        <v>1424</v>
      </c>
      <c r="BC11" s="1518" t="s">
        <v>1325</v>
      </c>
      <c r="BE11" s="1518">
        <v>2009</v>
      </c>
      <c r="BF11" s="1518" t="s">
        <v>1425</v>
      </c>
      <c r="BH11" s="1466" t="s">
        <v>1426</v>
      </c>
      <c r="BJ11" s="1466" t="s">
        <v>1395</v>
      </c>
      <c r="BL11" s="1466" t="s">
        <v>1395</v>
      </c>
      <c r="BN11" s="1466" t="s">
        <v>1427</v>
      </c>
      <c r="BQ11" s="1679">
        <v>4213780</v>
      </c>
      <c r="BR11" s="1466" t="s">
        <v>191</v>
      </c>
      <c r="BS11" s="1827"/>
      <c r="BW11" s="2088"/>
      <c r="BX11" s="2088"/>
    </row>
    <row customHeight="1" ht="11.25">
      <c r="A12" s="1472" t="s">
        <v>1428</v>
      </c>
      <c r="B12" s="1473">
        <v>2010</v>
      </c>
      <c r="E12" s="1474" t="s">
        <v>1429</v>
      </c>
      <c r="F12" s="1491"/>
      <c r="G12" s="1474" t="s">
        <v>1417</v>
      </c>
      <c r="I12" s="1474" t="s">
        <v>151</v>
      </c>
      <c r="J12" s="1475" t="s">
        <v>1430</v>
      </c>
      <c r="K12" s="1497" t="s">
        <v>1431</v>
      </c>
      <c r="O12" s="1475" t="s">
        <v>452</v>
      </c>
      <c r="V12" s="768" t="s">
        <v>151</v>
      </c>
      <c r="W12" s="1487"/>
      <c r="X12" s="1482" t="s">
        <v>1432</v>
      </c>
      <c r="Y12" s="1473" t="s">
        <v>1226</v>
      </c>
      <c r="AP12" s="1485"/>
      <c r="AW12" s="1518" t="s">
        <v>150</v>
      </c>
      <c r="AX12" s="1518" t="s">
        <v>150</v>
      </c>
      <c r="AZ12" s="1518" t="s">
        <v>1433</v>
      </c>
      <c r="BB12" s="1518" t="s">
        <v>1434</v>
      </c>
      <c r="BC12" s="1518" t="s">
        <v>1325</v>
      </c>
      <c r="BE12" s="1518">
        <v>2010</v>
      </c>
      <c r="BF12" s="1518" t="s">
        <v>1435</v>
      </c>
      <c r="BH12" s="1466" t="s">
        <v>1436</v>
      </c>
      <c r="BJ12" s="1466" t="s">
        <v>1437</v>
      </c>
      <c r="BL12" s="1466" t="s">
        <v>1437</v>
      </c>
      <c r="BN12" s="1466" t="s">
        <v>1438</v>
      </c>
      <c r="BQ12" s="1679">
        <v>4213779</v>
      </c>
      <c r="BR12" s="1466" t="s">
        <v>1390</v>
      </c>
      <c r="BS12" s="1827"/>
      <c r="BT12" s="1468"/>
      <c r="BU12" s="1468"/>
      <c r="BV12" s="1468"/>
      <c r="BW12" s="2088"/>
      <c r="BX12" s="2088"/>
    </row>
    <row customHeight="1" ht="11.25">
      <c r="A13" s="1472" t="s">
        <v>1439</v>
      </c>
      <c r="B13" s="1473">
        <v>2011</v>
      </c>
      <c r="E13" s="1474" t="s">
        <v>1440</v>
      </c>
      <c r="F13" s="1491"/>
      <c r="I13" s="1474" t="s">
        <v>152</v>
      </c>
      <c r="K13" s="1497" t="s">
        <v>1389</v>
      </c>
      <c r="V13" s="768" t="s">
        <v>152</v>
      </c>
      <c r="W13" s="1487"/>
      <c r="X13" s="1487"/>
      <c r="Y13" s="1487"/>
      <c r="AW13" s="1518" t="s">
        <v>151</v>
      </c>
      <c r="AX13" s="1518" t="s">
        <v>151</v>
      </c>
      <c r="BB13" s="1518" t="s">
        <v>1441</v>
      </c>
      <c r="BC13" s="1518" t="s">
        <v>1442</v>
      </c>
      <c r="BE13" s="1518">
        <v>2011</v>
      </c>
      <c r="BF13" s="1518" t="s">
        <v>1443</v>
      </c>
      <c r="BH13" s="1466" t="s">
        <v>1444</v>
      </c>
      <c r="BJ13" s="1466" t="s">
        <v>1426</v>
      </c>
      <c r="BL13" s="1466" t="s">
        <v>1426</v>
      </c>
      <c r="BN13" s="1466" t="s">
        <v>1445</v>
      </c>
      <c r="BQ13" s="1679">
        <v>4213783</v>
      </c>
      <c r="BR13" s="1466" t="s">
        <v>1405</v>
      </c>
      <c r="BS13" s="1827"/>
      <c r="BT13" s="1468"/>
      <c r="BU13" s="1468"/>
      <c r="BV13" s="1468"/>
      <c r="BW13" s="2092"/>
      <c r="BX13" s="2088"/>
    </row>
    <row customHeight="1" ht="11.25">
      <c r="A14" s="1472" t="s">
        <v>1446</v>
      </c>
      <c r="B14" s="1473">
        <v>2012</v>
      </c>
      <c r="I14" s="1474" t="s">
        <v>153</v>
      </c>
      <c r="J14" s="1465" t="s">
        <v>1447</v>
      </c>
      <c r="N14" s="1465" t="s">
        <v>1448</v>
      </c>
      <c r="V14" s="1481">
        <v>13</v>
      </c>
      <c r="W14" s="1482"/>
      <c r="X14" s="1482" t="s">
        <v>1258</v>
      </c>
      <c r="Y14" s="1473" t="s">
        <v>1226</v>
      </c>
      <c r="AW14" s="1518" t="s">
        <v>152</v>
      </c>
      <c r="AX14" s="1518" t="s">
        <v>152</v>
      </c>
      <c r="AZ14" s="1465" t="s">
        <v>1449</v>
      </c>
      <c r="BB14" s="1518" t="s">
        <v>1450</v>
      </c>
      <c r="BC14" s="1518" t="s">
        <v>1442</v>
      </c>
      <c r="BE14" s="1518">
        <v>2012</v>
      </c>
      <c r="BH14" s="1466" t="s">
        <v>1365</v>
      </c>
      <c r="BJ14" s="1615" t="s">
        <v>1451</v>
      </c>
      <c r="BL14" s="1615" t="s">
        <v>1451</v>
      </c>
      <c r="BN14" s="1466" t="s">
        <v>1452</v>
      </c>
      <c r="BQ14" s="1679">
        <v>4213782</v>
      </c>
      <c r="BR14" s="1466" t="s">
        <v>197</v>
      </c>
      <c r="BS14" s="1827"/>
      <c r="BT14" s="1468"/>
      <c r="BU14" s="1468"/>
      <c r="BV14" s="1468"/>
      <c r="BW14" s="2092"/>
      <c r="BX14" s="2088"/>
    </row>
    <row customHeight="1" ht="19.5">
      <c r="A15" s="1472" t="s">
        <v>1453</v>
      </c>
      <c r="B15" s="1473">
        <v>2013</v>
      </c>
      <c r="E15" s="2096" t="s">
        <v>1454</v>
      </c>
      <c r="G15" s="1465" t="s">
        <v>1455</v>
      </c>
      <c r="H15" s="1465" t="s">
        <v>1456</v>
      </c>
      <c r="I15" s="1476" t="s">
        <v>154</v>
      </c>
      <c r="J15" s="1487" t="s">
        <v>589</v>
      </c>
      <c r="N15" s="1556" t="s">
        <v>1457</v>
      </c>
      <c r="X15" s="1485"/>
      <c r="AW15" s="1518" t="s">
        <v>153</v>
      </c>
      <c r="AX15" s="1518" t="s">
        <v>153</v>
      </c>
      <c r="AZ15" s="1518" t="s">
        <v>1376</v>
      </c>
      <c r="BB15" s="1518" t="s">
        <v>1458</v>
      </c>
      <c r="BC15" s="1518" t="s">
        <v>1442</v>
      </c>
      <c r="BE15" s="1518">
        <v>2013</v>
      </c>
      <c r="BH15" s="1466" t="s">
        <v>1381</v>
      </c>
      <c r="BJ15" s="1615" t="s">
        <v>1459</v>
      </c>
      <c r="BL15" s="1615" t="s">
        <v>1459</v>
      </c>
      <c r="BN15" s="1466" t="s">
        <v>1460</v>
      </c>
      <c r="BR15" s="1468"/>
      <c r="BS15" s="1829"/>
      <c r="BT15" s="1468"/>
      <c r="BU15" s="1468"/>
      <c r="BV15" s="1468"/>
      <c r="BW15" s="2092"/>
      <c r="BX15" s="2088"/>
    </row>
    <row customHeight="1" ht="21">
      <c r="A16" s="2268" t="s">
        <v>1461</v>
      </c>
      <c r="B16" s="1473">
        <v>2014</v>
      </c>
      <c r="E16" s="2097" t="s">
        <v>1462</v>
      </c>
      <c r="G16" s="1474" t="s">
        <v>1463</v>
      </c>
      <c r="H16" s="1474" t="s">
        <v>1464</v>
      </c>
      <c r="I16" s="1476" t="s">
        <v>1465</v>
      </c>
      <c r="J16" s="1487" t="s">
        <v>562</v>
      </c>
      <c r="N16" s="1556" t="s">
        <v>1466</v>
      </c>
      <c r="AW16" s="1518" t="s">
        <v>154</v>
      </c>
      <c r="AX16" s="1518" t="s">
        <v>154</v>
      </c>
      <c r="AZ16" s="1518" t="s">
        <v>1392</v>
      </c>
      <c r="BB16" s="1518" t="s">
        <v>1467</v>
      </c>
      <c r="BC16" s="1518" t="s">
        <v>1442</v>
      </c>
      <c r="BE16" s="1518">
        <v>2014</v>
      </c>
      <c r="BH16" s="1466" t="s">
        <v>1397</v>
      </c>
      <c r="BJ16" s="1615" t="s">
        <v>1468</v>
      </c>
      <c r="BL16" s="1615" t="s">
        <v>1468</v>
      </c>
      <c r="BN16" s="1466" t="s">
        <v>1469</v>
      </c>
      <c r="BR16" s="1468"/>
      <c r="BS16" s="1829"/>
      <c r="BT16" s="1468"/>
      <c r="BU16" s="1468"/>
      <c r="BV16" s="1468"/>
      <c r="BW16" s="2092"/>
      <c r="BX16" s="2088"/>
    </row>
    <row customHeight="1" ht="21">
      <c r="A17" s="1472" t="s">
        <v>1470</v>
      </c>
      <c r="B17" s="1473">
        <v>2015</v>
      </c>
      <c r="G17" s="1474" t="s">
        <v>1417</v>
      </c>
      <c r="H17" s="1474" t="s">
        <v>1417</v>
      </c>
      <c r="I17" s="1474" t="s">
        <v>1471</v>
      </c>
      <c r="N17" s="1556" t="s">
        <v>1472</v>
      </c>
      <c r="X17" s="1485"/>
      <c r="AW17" s="1518" t="s">
        <v>1465</v>
      </c>
      <c r="AX17" s="1518" t="s">
        <v>1465</v>
      </c>
      <c r="AZ17" s="1518" t="s">
        <v>1473</v>
      </c>
      <c r="BB17" s="1518" t="s">
        <v>1474</v>
      </c>
      <c r="BC17" s="1518" t="s">
        <v>1325</v>
      </c>
      <c r="BE17" s="1518">
        <v>2015</v>
      </c>
      <c r="BH17" s="1466" t="s">
        <v>1413</v>
      </c>
      <c r="BJ17" s="1615" t="s">
        <v>1475</v>
      </c>
      <c r="BL17" s="1615" t="s">
        <v>1475</v>
      </c>
      <c r="BN17" s="1466" t="s">
        <v>1476</v>
      </c>
      <c r="BR17" s="1465" t="s">
        <v>1268</v>
      </c>
      <c r="BS17" s="1826"/>
      <c r="BU17" s="1465" t="s">
        <v>1477</v>
      </c>
      <c r="BV17" s="1468"/>
      <c r="BW17" s="2088"/>
      <c r="BX17" s="2090" t="s">
        <v>1478</v>
      </c>
      <c r="CA17" s="1465" t="s">
        <v>1479</v>
      </c>
      <c r="CD17" s="1465" t="s">
        <v>1480</v>
      </c>
    </row>
    <row customHeight="1" ht="21">
      <c r="A18" s="1472" t="s">
        <v>1481</v>
      </c>
      <c r="B18" s="1473">
        <v>2016</v>
      </c>
      <c r="E18" s="2403" t="s">
        <v>1482</v>
      </c>
      <c r="I18" s="1474" t="s">
        <v>1483</v>
      </c>
      <c r="N18" s="1556" t="s">
        <v>1484</v>
      </c>
      <c r="X18" s="1485"/>
      <c r="AW18" s="1518" t="s">
        <v>1471</v>
      </c>
      <c r="AX18" s="1518" t="s">
        <v>1471</v>
      </c>
      <c r="BB18" s="1518" t="s">
        <v>1485</v>
      </c>
      <c r="BC18" s="1518" t="s">
        <v>1325</v>
      </c>
      <c r="BE18" s="1518">
        <v>2016</v>
      </c>
      <c r="BH18" s="1466" t="s">
        <v>1427</v>
      </c>
      <c r="BJ18" s="1615" t="s">
        <v>1486</v>
      </c>
      <c r="BL18" s="1615" t="s">
        <v>1486</v>
      </c>
      <c r="BN18" s="1466" t="s">
        <v>1487</v>
      </c>
      <c r="BQ18" s="1830" t="s">
        <v>1297</v>
      </c>
      <c r="BR18" s="1557" t="s">
        <v>1298</v>
      </c>
      <c r="BS18" s="672"/>
      <c r="BT18" s="1830" t="s">
        <v>1488</v>
      </c>
      <c r="BU18" s="1557" t="s">
        <v>1489</v>
      </c>
      <c r="BV18" s="1468"/>
      <c r="BW18" s="2095" t="s">
        <v>1490</v>
      </c>
      <c r="BX18" s="2089" t="s">
        <v>1491</v>
      </c>
      <c r="BZ18" s="1830" t="s">
        <v>1492</v>
      </c>
      <c r="CA18" s="1557" t="s">
        <v>1493</v>
      </c>
      <c r="CC18" s="1830" t="s">
        <v>1494</v>
      </c>
      <c r="CD18" s="1557" t="s">
        <v>1495</v>
      </c>
    </row>
    <row customHeight="1" ht="21">
      <c r="A19" s="2268" t="s">
        <v>1496</v>
      </c>
      <c r="B19" s="1473">
        <v>2017</v>
      </c>
      <c r="E19" s="1472" t="s">
        <v>167</v>
      </c>
      <c r="I19" s="1474" t="s">
        <v>1497</v>
      </c>
      <c r="N19" s="1556" t="s">
        <v>1498</v>
      </c>
      <c r="X19" s="1485"/>
      <c r="AW19" s="1518" t="s">
        <v>1483</v>
      </c>
      <c r="AX19" s="1518" t="s">
        <v>1483</v>
      </c>
      <c r="AZ19" s="1465" t="s">
        <v>1499</v>
      </c>
      <c r="BB19" s="1518" t="s">
        <v>1500</v>
      </c>
      <c r="BC19" s="1518" t="s">
        <v>1325</v>
      </c>
      <c r="BE19" s="1518">
        <v>2017</v>
      </c>
      <c r="BH19" s="1466" t="s">
        <v>1501</v>
      </c>
      <c r="BJ19" s="1615" t="s">
        <v>1502</v>
      </c>
      <c r="BL19" s="1615" t="s">
        <v>1502</v>
      </c>
      <c r="BQ19" s="1679">
        <v>4190064</v>
      </c>
      <c r="BR19" s="1466" t="s">
        <v>1503</v>
      </c>
      <c r="BS19" s="1827"/>
      <c r="BT19" s="1679">
        <v>4189671</v>
      </c>
      <c r="BU19" s="1466" t="s">
        <v>1504</v>
      </c>
      <c r="BV19" s="1468"/>
      <c r="BW19" s="2093">
        <v>4189706</v>
      </c>
      <c r="BX19" s="2091" t="s">
        <v>1505</v>
      </c>
      <c r="BZ19" s="1679">
        <v>4189714</v>
      </c>
      <c r="CA19" s="1466" t="s">
        <v>1506</v>
      </c>
      <c r="CC19" s="1679">
        <v>4189708</v>
      </c>
      <c r="CD19" s="1466" t="s">
        <v>1507</v>
      </c>
    </row>
    <row customHeight="1" ht="21">
      <c r="A20" s="1472" t="s">
        <v>1508</v>
      </c>
      <c r="B20" s="1473">
        <v>2018</v>
      </c>
      <c r="E20" s="1472" t="s">
        <v>1258</v>
      </c>
      <c r="I20" s="1474" t="s">
        <v>1509</v>
      </c>
      <c r="N20" s="1556" t="s">
        <v>1510</v>
      </c>
      <c r="AW20" s="1518" t="s">
        <v>1497</v>
      </c>
      <c r="AX20" s="1518" t="s">
        <v>1497</v>
      </c>
      <c r="AZ20" s="1518" t="s">
        <v>1511</v>
      </c>
      <c r="BB20" s="1518" t="s">
        <v>1512</v>
      </c>
      <c r="BC20" s="1518" t="s">
        <v>1442</v>
      </c>
      <c r="BE20" s="1518">
        <v>2018</v>
      </c>
      <c r="BH20" s="1466" t="s">
        <v>1438</v>
      </c>
      <c r="BJ20" s="1466" t="s">
        <v>1365</v>
      </c>
      <c r="BL20" s="1466" t="s">
        <v>1365</v>
      </c>
      <c r="BQ20" s="1679">
        <v>4190065</v>
      </c>
      <c r="BR20" s="1466" t="s">
        <v>1513</v>
      </c>
      <c r="BS20" s="1827"/>
      <c r="BT20" s="1679">
        <v>4189672</v>
      </c>
      <c r="BU20" s="1466" t="s">
        <v>1514</v>
      </c>
      <c r="BV20" s="1468"/>
      <c r="BW20" s="2093">
        <v>4189705</v>
      </c>
      <c r="BX20" s="2091" t="s">
        <v>1515</v>
      </c>
      <c r="BZ20" s="1679">
        <v>4189713</v>
      </c>
      <c r="CA20" s="1466" t="s">
        <v>1515</v>
      </c>
      <c r="CC20" s="1679">
        <v>4189709</v>
      </c>
      <c r="CD20" s="1466" t="s">
        <v>1516</v>
      </c>
    </row>
    <row customHeight="1" ht="21">
      <c r="A21" s="1472" t="s">
        <v>1517</v>
      </c>
      <c r="B21" s="1473">
        <v>2019</v>
      </c>
      <c r="I21" s="1474" t="s">
        <v>1518</v>
      </c>
      <c r="N21" s="1556" t="s">
        <v>1519</v>
      </c>
      <c r="AW21" s="1518" t="s">
        <v>1509</v>
      </c>
      <c r="AX21" s="1518" t="s">
        <v>1509</v>
      </c>
      <c r="AZ21" s="1518" t="s">
        <v>1520</v>
      </c>
      <c r="BB21" s="1518" t="s">
        <v>1521</v>
      </c>
      <c r="BC21" s="1518" t="s">
        <v>1325</v>
      </c>
      <c r="BE21" s="1518">
        <v>2019</v>
      </c>
      <c r="BH21" s="1466" t="s">
        <v>1445</v>
      </c>
      <c r="BJ21" s="1466" t="s">
        <v>1381</v>
      </c>
      <c r="BL21" s="1466" t="s">
        <v>1381</v>
      </c>
      <c r="BQ21" s="1679">
        <v>4190066</v>
      </c>
      <c r="BR21" s="1466" t="s">
        <v>1522</v>
      </c>
      <c r="BS21" s="1827"/>
      <c r="BT21" s="1679">
        <v>4189673</v>
      </c>
      <c r="BU21" s="1466" t="s">
        <v>1523</v>
      </c>
      <c r="BV21" s="1468"/>
      <c r="BW21" s="2093">
        <v>4189707</v>
      </c>
      <c r="BX21" s="2091" t="s">
        <v>1524</v>
      </c>
      <c r="BZ21" s="1679">
        <v>4189712</v>
      </c>
      <c r="CA21" s="1466" t="s">
        <v>1525</v>
      </c>
      <c r="CC21" s="1679">
        <v>4189710</v>
      </c>
      <c r="CD21" s="1466" t="s">
        <v>1526</v>
      </c>
    </row>
    <row customHeight="1" ht="21">
      <c r="A22" s="1472" t="s">
        <v>1527</v>
      </c>
      <c r="B22" s="1473">
        <v>2020</v>
      </c>
      <c r="N22" s="1556" t="s">
        <v>1528</v>
      </c>
      <c r="AW22" s="1518" t="s">
        <v>1518</v>
      </c>
      <c r="AX22" s="1518" t="s">
        <v>1518</v>
      </c>
      <c r="AZ22" s="1518" t="s">
        <v>1529</v>
      </c>
      <c r="BB22" s="1518" t="s">
        <v>1530</v>
      </c>
      <c r="BC22" s="1518" t="s">
        <v>1325</v>
      </c>
      <c r="BE22" s="1518">
        <v>2020</v>
      </c>
      <c r="BH22" s="1466" t="s">
        <v>1452</v>
      </c>
      <c r="BJ22" s="1466" t="s">
        <v>1397</v>
      </c>
      <c r="BL22" s="1466" t="s">
        <v>1397</v>
      </c>
      <c r="BQ22" s="1679">
        <v>4190067</v>
      </c>
      <c r="BR22" s="1466" t="s">
        <v>1531</v>
      </c>
      <c r="BS22" s="1827"/>
      <c r="BT22" s="1679">
        <v>4189674</v>
      </c>
      <c r="BU22" s="1466" t="s">
        <v>1532</v>
      </c>
      <c r="BV22" s="1468"/>
      <c r="BW22" s="1468"/>
      <c r="CC22" s="1679">
        <v>4189711</v>
      </c>
      <c r="CD22" s="1466" t="s">
        <v>298</v>
      </c>
    </row>
    <row customHeight="1" ht="21">
      <c r="A23" s="1472" t="s">
        <v>1533</v>
      </c>
      <c r="B23" s="1473">
        <v>2021</v>
      </c>
      <c r="AW23" s="1518" t="s">
        <v>1534</v>
      </c>
      <c r="AX23" s="1518" t="s">
        <v>1534</v>
      </c>
      <c r="AZ23" s="1518" t="s">
        <v>1535</v>
      </c>
      <c r="BB23" s="1518" t="s">
        <v>1536</v>
      </c>
      <c r="BC23" s="1518" t="s">
        <v>1237</v>
      </c>
      <c r="BE23" s="1518">
        <v>2021</v>
      </c>
      <c r="BH23" s="1466" t="s">
        <v>1460</v>
      </c>
      <c r="BJ23" s="1466" t="s">
        <v>1413</v>
      </c>
      <c r="BL23" s="1466" t="s">
        <v>1413</v>
      </c>
      <c r="BQ23" s="1679">
        <v>4190068</v>
      </c>
      <c r="BR23" s="1466" t="s">
        <v>1537</v>
      </c>
      <c r="BS23" s="1827"/>
      <c r="BT23" s="1679">
        <v>4189675</v>
      </c>
      <c r="BU23" s="1466" t="s">
        <v>1538</v>
      </c>
      <c r="BV23" s="1468"/>
      <c r="BW23" s="1468"/>
      <c r="CC23" s="1679">
        <v>5110778</v>
      </c>
      <c r="CD23" s="1466" t="s">
        <v>1539</v>
      </c>
    </row>
    <row customHeight="1" ht="21">
      <c r="A24" s="1472" t="s">
        <v>1540</v>
      </c>
      <c r="B24" s="1473">
        <v>2022</v>
      </c>
      <c r="AW24" s="1518" t="s">
        <v>1541</v>
      </c>
      <c r="AX24" s="1518" t="s">
        <v>1541</v>
      </c>
      <c r="AZ24" s="1518" t="s">
        <v>1542</v>
      </c>
      <c r="BB24" s="1518" t="s">
        <v>1543</v>
      </c>
      <c r="BC24" s="1518" t="s">
        <v>1544</v>
      </c>
      <c r="BE24" s="1518">
        <v>2022</v>
      </c>
      <c r="BH24" s="1466" t="s">
        <v>1469</v>
      </c>
      <c r="BJ24" s="1466" t="s">
        <v>1427</v>
      </c>
      <c r="BL24" s="1466" t="s">
        <v>1427</v>
      </c>
      <c r="BQ24" s="1679">
        <v>4190069</v>
      </c>
      <c r="BR24" s="1466" t="s">
        <v>1545</v>
      </c>
      <c r="BS24" s="1827"/>
      <c r="BT24" s="1679">
        <v>4189676</v>
      </c>
      <c r="BU24" s="1466" t="s">
        <v>1546</v>
      </c>
      <c r="BV24" s="1468"/>
      <c r="BW24" s="1468"/>
      <c r="CC24" s="1679">
        <v>25575374</v>
      </c>
      <c r="CD24" s="1466" t="s">
        <v>1547</v>
      </c>
    </row>
    <row customHeight="1" ht="11.25">
      <c r="A25" s="1472" t="s">
        <v>1548</v>
      </c>
      <c r="B25" s="1473">
        <v>2023</v>
      </c>
      <c r="AW25" s="1518" t="s">
        <v>1549</v>
      </c>
      <c r="AX25" s="1518" t="s">
        <v>1549</v>
      </c>
      <c r="AZ25" s="1518" t="s">
        <v>1550</v>
      </c>
      <c r="BB25" s="1518" t="s">
        <v>1551</v>
      </c>
      <c r="BC25" s="1518" t="s">
        <v>1544</v>
      </c>
      <c r="BE25" s="1518">
        <v>2023</v>
      </c>
      <c r="BH25" s="1466" t="s">
        <v>1476</v>
      </c>
      <c r="BJ25" s="1466" t="s">
        <v>1501</v>
      </c>
      <c r="BL25" s="1466" t="s">
        <v>1501</v>
      </c>
      <c r="BQ25" s="1679">
        <v>4190070</v>
      </c>
      <c r="BR25" s="1466" t="s">
        <v>1552</v>
      </c>
      <c r="BS25" s="1827"/>
      <c r="BT25" s="1679">
        <v>4189677</v>
      </c>
      <c r="BU25" s="1466" t="s">
        <v>1553</v>
      </c>
      <c r="BV25" s="1468"/>
      <c r="BW25" s="1468"/>
    </row>
    <row customHeight="1" ht="11.25">
      <c r="A26" s="1472" t="s">
        <v>1554</v>
      </c>
      <c r="B26" s="1473">
        <v>2024</v>
      </c>
      <c r="J26" s="2129" t="s">
        <v>1555</v>
      </c>
      <c r="AX26" s="1518" t="s">
        <v>1556</v>
      </c>
      <c r="AZ26" s="1518" t="s">
        <v>1420</v>
      </c>
      <c r="BB26" s="1518" t="s">
        <v>1557</v>
      </c>
      <c r="BC26" s="1518" t="s">
        <v>1544</v>
      </c>
      <c r="BE26" s="1518">
        <v>2024</v>
      </c>
      <c r="BH26" s="1466" t="s">
        <v>1487</v>
      </c>
      <c r="BJ26" s="1466" t="s">
        <v>1438</v>
      </c>
      <c r="BL26" s="1466" t="s">
        <v>1438</v>
      </c>
      <c r="BQ26" s="1679">
        <v>4190071</v>
      </c>
      <c r="BR26" s="1466" t="s">
        <v>1558</v>
      </c>
      <c r="BS26" s="1827"/>
      <c r="BV26" s="1468"/>
      <c r="BW26" s="1468"/>
    </row>
    <row customHeight="1" ht="11.25">
      <c r="A27" s="1472" t="s">
        <v>1559</v>
      </c>
      <c r="B27" s="1473">
        <v>2025</v>
      </c>
      <c r="J27" s="574" t="s">
        <v>430</v>
      </c>
      <c r="AX27" s="1518" t="s">
        <v>1560</v>
      </c>
      <c r="BB27" s="1518" t="s">
        <v>1561</v>
      </c>
      <c r="BC27" s="1518" t="s">
        <v>1544</v>
      </c>
      <c r="BE27" s="1518">
        <v>2025</v>
      </c>
      <c r="BH27" s="1468" t="s">
        <v>28</v>
      </c>
      <c r="BJ27" s="1466" t="s">
        <v>1445</v>
      </c>
      <c r="BL27" s="1466" t="s">
        <v>1445</v>
      </c>
      <c r="BN27" s="1468" t="s">
        <v>28</v>
      </c>
      <c r="BQ27" s="1679">
        <v>4190072</v>
      </c>
      <c r="BR27" s="1466" t="s">
        <v>1562</v>
      </c>
      <c r="BS27" s="1827"/>
      <c r="BV27" s="1468"/>
      <c r="BW27" s="1468"/>
    </row>
    <row customHeight="1" ht="11.25">
      <c r="A28" s="1472" t="s">
        <v>1563</v>
      </c>
      <c r="D28" s="1499"/>
      <c r="E28" s="1500"/>
      <c r="F28" s="1500"/>
      <c r="H28" s="1501" t="s">
        <v>1564</v>
      </c>
      <c r="AX28" s="1518" t="s">
        <v>1565</v>
      </c>
      <c r="AZ28" s="1465" t="s">
        <v>1566</v>
      </c>
      <c r="BB28" s="1518" t="s">
        <v>1567</v>
      </c>
      <c r="BC28" s="1518" t="s">
        <v>1568</v>
      </c>
      <c r="BE28" s="1518">
        <v>2026</v>
      </c>
      <c r="BH28" s="1468" t="s">
        <v>28</v>
      </c>
      <c r="BJ28" s="1466" t="s">
        <v>1452</v>
      </c>
      <c r="BL28" s="1466" t="s">
        <v>1452</v>
      </c>
      <c r="BN28" s="1468" t="s">
        <v>28</v>
      </c>
      <c r="BQ28" s="1679">
        <v>4190073</v>
      </c>
      <c r="BR28" s="1466" t="s">
        <v>1569</v>
      </c>
      <c r="BS28" s="1827"/>
      <c r="BV28" s="1468"/>
      <c r="BW28" s="1468"/>
    </row>
    <row customHeight="1" ht="11.25">
      <c r="A29" s="1472" t="s">
        <v>1570</v>
      </c>
      <c r="D29" s="1502" t="s">
        <v>1571</v>
      </c>
      <c r="E29" s="1503" t="str">
        <f>IF(TEMPLATE_GROUP="","",INDEX(StartDateList,MATCH(TEMPLATE_GROUP,CodeTemplateList,0),1))</f>
        <v>01.01.2025</v>
      </c>
      <c r="F29" s="1503" t="str">
        <f>IF(TEMPLATE_GROUP="","",INDEX(EndDateList,MATCH(TEMPLATE_GROUP,CodeTemplateList,0),1))</f>
        <v>31.12.2040</v>
      </c>
      <c r="H29" s="1504" t="s">
        <v>1572</v>
      </c>
      <c r="AX29" s="1518" t="s">
        <v>1573</v>
      </c>
      <c r="AZ29" s="1518" t="s">
        <v>1221</v>
      </c>
      <c r="BB29" s="1518" t="s">
        <v>1420</v>
      </c>
      <c r="BC29" s="1489"/>
      <c r="BE29" s="1518">
        <v>2027</v>
      </c>
      <c r="BJ29" s="1466" t="s">
        <v>1460</v>
      </c>
      <c r="BL29" s="1466" t="s">
        <v>1460</v>
      </c>
    </row>
    <row customHeight="1" ht="11.25">
      <c r="A30" s="1472" t="s">
        <v>1574</v>
      </c>
      <c r="D30" s="1505"/>
      <c r="E30" s="1506"/>
      <c r="F30" s="1506"/>
      <c r="AX30" s="1518" t="s">
        <v>1575</v>
      </c>
      <c r="AZ30" s="1518" t="s">
        <v>1247</v>
      </c>
      <c r="BE30" s="1518">
        <v>2028</v>
      </c>
      <c r="BJ30" s="1466" t="s">
        <v>1576</v>
      </c>
      <c r="BL30" s="1466" t="s">
        <v>1576</v>
      </c>
    </row>
    <row customHeight="1" ht="12.75">
      <c r="A31" s="1472" t="s">
        <v>1577</v>
      </c>
      <c r="D31" s="1499"/>
      <c r="E31" s="1500"/>
      <c r="F31" s="1500"/>
      <c r="H31" s="1507"/>
      <c r="AX31" s="1518" t="s">
        <v>1578</v>
      </c>
      <c r="AZ31" s="1518" t="s">
        <v>454</v>
      </c>
      <c r="BE31" s="1518">
        <v>2029</v>
      </c>
      <c r="BJ31" s="1466" t="s">
        <v>1579</v>
      </c>
      <c r="BL31" s="1466" t="s">
        <v>1579</v>
      </c>
    </row>
    <row customHeight="1" ht="11.25">
      <c r="A32" s="1472" t="s">
        <v>1580</v>
      </c>
      <c r="D32" s="1502" t="s">
        <v>1581</v>
      </c>
      <c r="E32" s="1503" t="str">
        <f>IF(TEMPLATE_GROUP="","",INDEX(StartDateList,MATCH(TEMPLATE_GROUP,CodeTemplateList,0),1))</f>
        <v>01.01.2025</v>
      </c>
      <c r="F32" s="1503" t="str">
        <f>IF(TEMPLATE_GROUP="","",INDEX(EndDateList,MATCH(TEMPLATE_GROUP,CodeTemplateList,0),1))</f>
        <v>31.12.2040</v>
      </c>
      <c r="H32" s="1508" t="s">
        <v>1582</v>
      </c>
      <c r="O32" s="1472" t="s">
        <v>453</v>
      </c>
      <c r="AX32" s="1518" t="s">
        <v>1583</v>
      </c>
      <c r="AZ32" s="1518" t="s">
        <v>1313</v>
      </c>
      <c r="BE32" s="1518">
        <v>2030</v>
      </c>
      <c r="BJ32" s="1466" t="s">
        <v>1469</v>
      </c>
      <c r="BL32" s="1466" t="s">
        <v>1469</v>
      </c>
    </row>
    <row customHeight="1" ht="11.25">
      <c r="A33" s="1472" t="s">
        <v>1584</v>
      </c>
      <c r="O33" s="1472" t="s">
        <v>1245</v>
      </c>
      <c r="AX33" s="1518" t="s">
        <v>1585</v>
      </c>
      <c r="AZ33" s="1518" t="s">
        <v>452</v>
      </c>
      <c r="BE33" s="1518">
        <v>2031</v>
      </c>
      <c r="BJ33" s="1466" t="s">
        <v>1476</v>
      </c>
      <c r="BL33" s="1466" t="s">
        <v>1476</v>
      </c>
    </row>
    <row customHeight="1" ht="11.25">
      <c r="A34" s="1472" t="s">
        <v>1586</v>
      </c>
      <c r="O34" s="1472" t="s">
        <v>1279</v>
      </c>
      <c r="AX34" s="1518" t="s">
        <v>1587</v>
      </c>
      <c r="BE34" s="1518">
        <v>2032</v>
      </c>
      <c r="BJ34" s="1466" t="s">
        <v>1487</v>
      </c>
      <c r="BL34" s="1466" t="s">
        <v>1487</v>
      </c>
    </row>
    <row customHeight="1" ht="11.25">
      <c r="A35" s="1472" t="s">
        <v>1588</v>
      </c>
      <c r="O35" s="1472" t="s">
        <v>1311</v>
      </c>
      <c r="AX35" s="1518" t="s">
        <v>1589</v>
      </c>
      <c r="AZ35" s="1465" t="s">
        <v>1590</v>
      </c>
      <c r="BE35" s="1518">
        <v>2033</v>
      </c>
      <c r="BL35" s="1466" t="s">
        <v>1591</v>
      </c>
    </row>
    <row customHeight="1" ht="11.25">
      <c r="A36" s="2268" t="s">
        <v>1592</v>
      </c>
      <c r="D36" s="1509" t="s">
        <v>1593</v>
      </c>
      <c r="E36" s="1510" t="s">
        <v>813</v>
      </c>
      <c r="F36" s="1511" t="str">
        <f>INDEX(E37:E41,MATCH(TEMPLATE_SPHERE,F37:F41,0))</f>
        <v>теплоснабжения</v>
      </c>
      <c r="G36" s="1511" t="str">
        <f>INDEX(G37:G41,MATCH(TEMPLATE_SPHERE,F37:F41,0))</f>
        <v>теплоснабжение</v>
      </c>
      <c r="O36" s="1472" t="s">
        <v>1336</v>
      </c>
      <c r="AX36" s="1518" t="s">
        <v>1594</v>
      </c>
      <c r="AZ36" s="1518" t="s">
        <v>452</v>
      </c>
      <c r="BE36" s="1518">
        <v>2034</v>
      </c>
      <c r="BL36" s="1466" t="s">
        <v>1595</v>
      </c>
    </row>
    <row customHeight="1" ht="11.25">
      <c r="A37" s="1472" t="s">
        <v>1596</v>
      </c>
      <c r="E37" s="805" t="s">
        <v>1597</v>
      </c>
      <c r="F37" s="1512" t="s">
        <v>813</v>
      </c>
      <c r="G37" s="805" t="s">
        <v>1598</v>
      </c>
      <c r="O37" s="1472" t="s">
        <v>1355</v>
      </c>
      <c r="AX37" s="1518" t="s">
        <v>1599</v>
      </c>
      <c r="AZ37" s="1518" t="s">
        <v>1246</v>
      </c>
      <c r="BE37" s="1518">
        <v>2035</v>
      </c>
    </row>
    <row customHeight="1" ht="11.25">
      <c r="A38" s="1472" t="s">
        <v>1600</v>
      </c>
      <c r="E38" s="805" t="s">
        <v>1601</v>
      </c>
      <c r="F38" s="1513" t="s">
        <v>859</v>
      </c>
      <c r="G38" s="805" t="s">
        <v>1602</v>
      </c>
      <c r="O38" s="1472" t="s">
        <v>1372</v>
      </c>
      <c r="AX38" s="1518" t="s">
        <v>1603</v>
      </c>
      <c r="AZ38" s="1518" t="s">
        <v>451</v>
      </c>
      <c r="BE38" s="1518">
        <v>2036</v>
      </c>
      <c r="BH38" s="1465" t="s">
        <v>1604</v>
      </c>
      <c r="BJ38" s="1465" t="s">
        <v>1605</v>
      </c>
      <c r="BL38" s="1465" t="s">
        <v>1606</v>
      </c>
      <c r="BN38" s="1465" t="s">
        <v>1607</v>
      </c>
    </row>
    <row customHeight="1" ht="11.25">
      <c r="A39" s="1472" t="s">
        <v>1608</v>
      </c>
      <c r="E39" s="805" t="s">
        <v>1609</v>
      </c>
      <c r="F39" s="1513" t="s">
        <v>912</v>
      </c>
      <c r="G39" s="805" t="s">
        <v>1610</v>
      </c>
      <c r="O39" s="1472" t="s">
        <v>1388</v>
      </c>
      <c r="AX39" s="1518" t="s">
        <v>1611</v>
      </c>
      <c r="AZ39" s="1518" t="s">
        <v>1312</v>
      </c>
      <c r="BE39" s="1518">
        <v>2037</v>
      </c>
      <c r="BH39" s="1466" t="s">
        <v>1612</v>
      </c>
      <c r="BJ39" s="1615" t="s">
        <v>1612</v>
      </c>
      <c r="BL39" s="1615" t="s">
        <v>1612</v>
      </c>
      <c r="BN39" s="1466" t="s">
        <v>1613</v>
      </c>
    </row>
    <row customHeight="1" ht="11.25">
      <c r="A40" s="1472" t="s">
        <v>1614</v>
      </c>
      <c r="E40" s="805" t="s">
        <v>1615</v>
      </c>
      <c r="F40" s="1513" t="s">
        <v>899</v>
      </c>
      <c r="G40" s="805" t="s">
        <v>1616</v>
      </c>
      <c r="O40" s="1472" t="s">
        <v>1404</v>
      </c>
      <c r="AX40" s="1518" t="s">
        <v>1617</v>
      </c>
      <c r="BE40" s="1518">
        <v>2038</v>
      </c>
      <c r="BH40" s="1466" t="s">
        <v>1618</v>
      </c>
      <c r="BJ40" s="1615" t="s">
        <v>1032</v>
      </c>
      <c r="BL40" s="1615" t="s">
        <v>1032</v>
      </c>
      <c r="BN40" s="1466" t="s">
        <v>1066</v>
      </c>
    </row>
    <row customHeight="1" ht="11.25">
      <c r="A41" s="1472" t="s">
        <v>1619</v>
      </c>
      <c r="E41" s="805" t="s">
        <v>1620</v>
      </c>
      <c r="F41" s="1513" t="s">
        <v>1621</v>
      </c>
      <c r="G41" s="805" t="s">
        <v>1620</v>
      </c>
      <c r="O41" s="1472" t="s">
        <v>1420</v>
      </c>
      <c r="AX41" s="1518" t="s">
        <v>1622</v>
      </c>
      <c r="AZ41" s="1465" t="s">
        <v>1623</v>
      </c>
      <c r="BE41" s="1518">
        <v>2039</v>
      </c>
      <c r="BH41" s="1466" t="s">
        <v>1624</v>
      </c>
      <c r="BJ41" s="1615" t="s">
        <v>1028</v>
      </c>
      <c r="BL41" s="1615" t="s">
        <v>1028</v>
      </c>
      <c r="BN41" s="1466" t="s">
        <v>1053</v>
      </c>
    </row>
    <row customHeight="1" ht="11.25">
      <c r="A42" s="1472" t="s">
        <v>1625</v>
      </c>
      <c r="AX42" s="1518" t="s">
        <v>1626</v>
      </c>
      <c r="AZ42" s="1518" t="s">
        <v>453</v>
      </c>
      <c r="BE42" s="1518">
        <v>2040</v>
      </c>
      <c r="BH42" s="1466" t="s">
        <v>1050</v>
      </c>
      <c r="BJ42" s="1615" t="s">
        <v>1030</v>
      </c>
      <c r="BL42" s="1615" t="s">
        <v>1030</v>
      </c>
      <c r="BN42" s="1466" t="s">
        <v>1627</v>
      </c>
    </row>
    <row customHeight="1" ht="11.25">
      <c r="A43" s="1472" t="s">
        <v>1628</v>
      </c>
      <c r="AX43" s="1518" t="s">
        <v>1629</v>
      </c>
      <c r="AZ43" s="1518" t="s">
        <v>1245</v>
      </c>
      <c r="BE43" s="1518">
        <v>2041</v>
      </c>
      <c r="BH43" s="1466" t="s">
        <v>1630</v>
      </c>
      <c r="BJ43" s="1615" t="s">
        <v>1624</v>
      </c>
      <c r="BL43" s="1615" t="s">
        <v>1624</v>
      </c>
      <c r="BN43" s="1466" t="s">
        <v>1631</v>
      </c>
    </row>
    <row customHeight="1" ht="11.25">
      <c r="A44" s="1472" t="s">
        <v>1632</v>
      </c>
      <c r="G44" s="1492">
        <f>YEAR(TODAY())</f>
        <v>2024</v>
      </c>
      <c r="I44" s="1197" t="s">
        <v>1633</v>
      </c>
      <c r="J44" s="1487" t="s">
        <v>1634</v>
      </c>
      <c r="K44" s="1487" t="s">
        <v>1635</v>
      </c>
      <c r="AX44" s="1518" t="s">
        <v>1636</v>
      </c>
      <c r="AZ44" s="1518" t="s">
        <v>1279</v>
      </c>
      <c r="BE44" s="1518">
        <v>2042</v>
      </c>
      <c r="BH44" s="1466" t="s">
        <v>1637</v>
      </c>
      <c r="BJ44" s="1615" t="s">
        <v>1050</v>
      </c>
      <c r="BL44" s="1615" t="s">
        <v>1050</v>
      </c>
      <c r="BN44" s="1466" t="s">
        <v>1638</v>
      </c>
    </row>
    <row customHeight="1" ht="11.25">
      <c r="A45" s="1472" t="s">
        <v>1639</v>
      </c>
      <c r="D45" s="1509" t="s">
        <v>1640</v>
      </c>
      <c r="E45" s="1510" t="s">
        <v>1641</v>
      </c>
      <c r="F45" s="1195" t="s">
        <v>1642</v>
      </c>
      <c r="G45" s="1194" t="s">
        <v>1643</v>
      </c>
      <c r="H45" s="1197" t="s">
        <v>1644</v>
      </c>
      <c r="I45" s="2139">
        <f>INDEX(PeriodIsEmptyList,MATCH(TEMPLATE_GROUP,CodeTemplateList,0),1)</f>
        <v>0</v>
      </c>
      <c r="J45" s="214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1645</v>
      </c>
      <c r="AZ45" s="1518" t="s">
        <v>1311</v>
      </c>
      <c r="BE45" s="1518">
        <v>2043</v>
      </c>
      <c r="BH45" s="1466" t="s">
        <v>1646</v>
      </c>
      <c r="BJ45" s="1615" t="s">
        <v>1044</v>
      </c>
      <c r="BL45" s="1615" t="s">
        <v>1044</v>
      </c>
      <c r="BN45" s="1466" t="s">
        <v>1647</v>
      </c>
    </row>
    <row customHeight="1" ht="11.25">
      <c r="A46" s="1472" t="s">
        <v>1648</v>
      </c>
      <c r="E46" s="805" t="s">
        <v>26</v>
      </c>
      <c r="F46" s="1512" t="s">
        <v>1649</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1650</v>
      </c>
      <c r="AZ46" s="1518" t="s">
        <v>1336</v>
      </c>
      <c r="BE46" s="1518">
        <v>2044</v>
      </c>
      <c r="BH46" s="1466" t="s">
        <v>1053</v>
      </c>
      <c r="BJ46" s="1615" t="s">
        <v>1034</v>
      </c>
      <c r="BL46" s="1615" t="s">
        <v>1034</v>
      </c>
      <c r="BN46" s="1466" t="s">
        <v>1651</v>
      </c>
    </row>
    <row customHeight="1" ht="11.25">
      <c r="A47" s="1472" t="s">
        <v>1652</v>
      </c>
      <c r="E47" s="805" t="s">
        <v>33</v>
      </c>
      <c r="F47" s="1513" t="s">
        <v>1653</v>
      </c>
      <c r="G47" s="1514" t="str">
        <f>_xlfn.IFERROR(IF(f_year="","01.01."&amp;CURRENT_YEAR,IF(LEN(f_quart)=0,"01.01."&amp;f_year,IF(f_quart="I квартал","01.01."&amp;f_year,IF(f_quart="II квартал","01.04."&amp;f_year,(IF(f_quart="III квартал","01.07."&amp;f_year,"01.10."&amp;f_year)))))),"01.01."&amp;CURRENT_YEAR)</f>
        <v>01.01.2024</v>
      </c>
      <c r="H47" s="1514" t="str">
        <f>_xlfn.IFERROR(IF(f_year="","31.12."&amp;CURRENT_YEAR,IF(LEN(f_quart)=0,"31.12."&amp;f_year,IF(f_quart="I квартал","31.03."&amp;f_year,IF(f_quart="II квартал","30.06."&amp;f_year,(IF(f_quart="III квартал","30.09."&amp;f_year,"31.12."&amp;f_year)))))),"31.12."&amp;CURRENT_YEAR)</f>
        <v>31.12.2024</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1654</v>
      </c>
      <c r="AZ47" s="1518" t="s">
        <v>1355</v>
      </c>
      <c r="BE47" s="1518">
        <v>2045</v>
      </c>
      <c r="BH47" s="1466" t="s">
        <v>1627</v>
      </c>
      <c r="BJ47" s="1615" t="s">
        <v>1036</v>
      </c>
      <c r="BL47" s="1615" t="s">
        <v>1036</v>
      </c>
      <c r="BN47" s="1466" t="s">
        <v>1655</v>
      </c>
    </row>
    <row customHeight="1" ht="11.25">
      <c r="A48" s="1472" t="s">
        <v>1656</v>
      </c>
      <c r="E48" s="805" t="s">
        <v>1657</v>
      </c>
      <c r="F48" s="1513" t="s">
        <v>1658</v>
      </c>
      <c r="G48" s="1514" t="str">
        <f>_xlfn.IFERROR(IF(f_year="","01.01."&amp;CURRENT_YEAR,"01.01."&amp;f_year),"01.01."&amp;CURRENT_YEAR)</f>
        <v>01.01.2024</v>
      </c>
      <c r="H48" s="1514" t="str">
        <f>_xlfn.IFERROR(IF(f_year="","31.12."&amp;CURRENT_YEAR,"31.12."&amp;f_year),"31.12."&amp;CURRENT_YEAR)</f>
        <v>31.12.2024</v>
      </c>
      <c r="I48" s="2140">
        <f>IF(f_year="",TRUE,FALSE)</f>
        <v>1</v>
      </c>
      <c r="J48" s="2143" t="s">
        <v>1659</v>
      </c>
      <c r="K48" s="2144"/>
      <c r="AX48" s="1518" t="s">
        <v>1660</v>
      </c>
      <c r="AZ48" s="1518" t="s">
        <v>1372</v>
      </c>
      <c r="BE48" s="1518">
        <v>2046</v>
      </c>
      <c r="BH48" s="1466" t="s">
        <v>1631</v>
      </c>
      <c r="BJ48" s="1615" t="s">
        <v>1038</v>
      </c>
      <c r="BL48" s="1615" t="s">
        <v>1038</v>
      </c>
      <c r="BN48" s="1466" t="s">
        <v>1661</v>
      </c>
    </row>
    <row customHeight="1" ht="11.25">
      <c r="A49" s="1472" t="s">
        <v>16</v>
      </c>
      <c r="E49" s="805" t="s">
        <v>1662</v>
      </c>
      <c r="F49" s="1513" t="s">
        <v>1663</v>
      </c>
      <c r="G49" s="1514" t="str">
        <f>_xlfn.IFERROR(IF(f_year="","01.01."&amp;CURRENT_YEAR,"01.01."&amp;f_year),"01.01."&amp;CURRENT_YEAR)</f>
        <v>01.01.2024</v>
      </c>
      <c r="H49" s="1514" t="str">
        <f>_xlfn.IFERROR(IF(f_year="","31.12."&amp;CURRENT_YEAR,"31.12."&amp;f_year),"31.12."&amp;CURRENT_YEAR)</f>
        <v>31.12.2024</v>
      </c>
      <c r="I49" s="2140">
        <f>IF(f_year="",TRUE,FALSE)</f>
        <v>1</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1664</v>
      </c>
      <c r="AZ49" s="1518" t="s">
        <v>1388</v>
      </c>
      <c r="BE49" s="1518">
        <v>2047</v>
      </c>
      <c r="BH49" s="1466" t="s">
        <v>1054</v>
      </c>
      <c r="BJ49" s="1615" t="s">
        <v>1040</v>
      </c>
      <c r="BL49" s="1615" t="s">
        <v>1040</v>
      </c>
    </row>
    <row customHeight="1" ht="11.25">
      <c r="A50" s="1472" t="s">
        <v>1665</v>
      </c>
      <c r="E50" s="805" t="s">
        <v>1666</v>
      </c>
      <c r="F50" s="1513" t="s">
        <v>1024</v>
      </c>
      <c r="G50" s="1514" t="str">
        <f>_xlfn.IFERROR(IF(f_year="","01.01."&amp;CURRENT_YEAR,"01.01."&amp;f_year),"01.01."&amp;CURRENT_YEAR)</f>
        <v>01.01.2024</v>
      </c>
      <c r="H50" s="1514" t="str">
        <f>_xlfn.IFERROR(IF(f_year="","31.12."&amp;CURRENT_YEAR,"31.12."&amp;f_year),"31.12."&amp;CURRENT_YEAR)</f>
        <v>31.12.2024</v>
      </c>
      <c r="I50" s="2140">
        <f>IF(f_year="",TRUE,FALSE)</f>
        <v>1</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1667</v>
      </c>
      <c r="AZ50" s="1518" t="s">
        <v>1404</v>
      </c>
      <c r="BE50" s="1518">
        <v>2048</v>
      </c>
      <c r="BH50" s="1466" t="s">
        <v>1638</v>
      </c>
      <c r="BJ50" s="1615" t="s">
        <v>1042</v>
      </c>
      <c r="BL50" s="1615" t="s">
        <v>1042</v>
      </c>
    </row>
    <row customHeight="1" ht="11.25">
      <c r="A51" s="1472" t="s">
        <v>1668</v>
      </c>
      <c r="E51" s="805" t="s">
        <v>1669</v>
      </c>
      <c r="F51" s="1513" t="s">
        <v>1641</v>
      </c>
      <c r="G51" s="1514" t="str">
        <f>_xlfn.IFERROR(IF(TITLE_PERIOD_START="","01.01."&amp;CURRENT_YEAR,"01.01."&amp;YEAR(TITLE_PERIOD_START)),"01.01."&amp;CURRENT_YEAR)</f>
        <v>01.01.2025</v>
      </c>
      <c r="H51" s="1514" t="str">
        <f>_xlfn.IFERROR(IF(TITLE_PERIOD_END="","31.12."&amp;CURRENT_YEAR,"31.12."&amp;YEAR(TITLE_PERIOD_END)),"31.12."&amp;CURRENT_YEAR)</f>
        <v>31.12.2040</v>
      </c>
      <c r="I51" s="2141">
        <f>IF(OR(TITLE_PERIOD_START="",TITLE_PERIOD_END=""),TRUE,FALSE)</f>
        <v>0</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1670</v>
      </c>
      <c r="AZ51" s="1518" t="s">
        <v>1420</v>
      </c>
      <c r="BE51" s="1518">
        <v>2049</v>
      </c>
      <c r="BH51" s="1466" t="s">
        <v>1647</v>
      </c>
      <c r="BJ51" s="1615" t="s">
        <v>1671</v>
      </c>
      <c r="BL51" s="1615" t="s">
        <v>1671</v>
      </c>
    </row>
    <row customHeight="1" ht="11.25">
      <c r="A52" s="1472" t="s">
        <v>1672</v>
      </c>
      <c r="E52" s="805" t="s">
        <v>1673</v>
      </c>
      <c r="F52" s="1513" t="s">
        <v>1674</v>
      </c>
      <c r="G52" s="1514" t="str">
        <f>_xlfn.IFERROR(IF(TITLE_PERIOD_START="","01.01."&amp;CURRENT_YEAR,"01.01."&amp;YEAR(TITLE_PERIOD_START)),"01.01."&amp;CURRENT_YEAR)</f>
        <v>01.01.2025</v>
      </c>
      <c r="H52" s="1514" t="str">
        <f>_xlfn.IFERROR(IF(TITLE_PERIOD_END="","31.12."&amp;CURRENT_YEAR,"31.12."&amp;YEAR(TITLE_PERIOD_END)),"31.12."&amp;CURRENT_YEAR)</f>
        <v>31.12.2040</v>
      </c>
      <c r="I52" s="2141">
        <f>IF(OR(TITLE_PERIOD_START="",TITLE_PERIOD_END=""),TRUE,FALSE)</f>
        <v>0</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1675</v>
      </c>
      <c r="AZ52" s="1518" t="s">
        <v>452</v>
      </c>
      <c r="BE52" s="1518">
        <v>2050</v>
      </c>
      <c r="BH52" s="1466" t="s">
        <v>1651</v>
      </c>
      <c r="BJ52" s="1615" t="s">
        <v>1053</v>
      </c>
      <c r="BL52" s="1615" t="s">
        <v>1053</v>
      </c>
    </row>
    <row customHeight="1" ht="11.25">
      <c r="A53" s="1472" t="s">
        <v>1676</v>
      </c>
      <c r="E53" s="805" t="s">
        <v>1677</v>
      </c>
      <c r="F53" s="1513" t="s">
        <v>1677</v>
      </c>
      <c r="G53" s="1514" t="str">
        <f>_xlfn.IFERROR(IF(f_year="","01.01."&amp;CURRENT_YEAR,"01.01."&amp;f_year),"01.01."&amp;CURRENT_YEAR)</f>
        <v>01.01.2024</v>
      </c>
      <c r="H53" s="1514" t="str">
        <f>_xlfn.IFERROR(IF(f_year="","31.12."&amp;CURRENT_YEAR,"31.12."&amp;f_year),"31.12."&amp;CURRENT_YEAR)</f>
        <v>31.12.2024</v>
      </c>
      <c r="I53" s="2140">
        <f>IF(AND(f_year="",TITLE_DATE_FIL=""),TRUE,FALSE)</f>
        <v>1</v>
      </c>
      <c r="J53" s="2143" t="s">
        <v>1678</v>
      </c>
      <c r="K53" s="2144"/>
      <c r="AX53" s="1518" t="s">
        <v>1679</v>
      </c>
      <c r="BE53" s="1518">
        <v>2051</v>
      </c>
      <c r="BH53" s="1466" t="s">
        <v>1655</v>
      </c>
      <c r="BJ53" s="1615" t="s">
        <v>1627</v>
      </c>
      <c r="BL53" s="1615" t="s">
        <v>1627</v>
      </c>
    </row>
    <row customHeight="1" ht="11.25">
      <c r="A54" s="1472" t="s">
        <v>1680</v>
      </c>
      <c r="AX54" s="1518" t="s">
        <v>1681</v>
      </c>
      <c r="AZ54" s="1465" t="s">
        <v>1682</v>
      </c>
      <c r="BE54" s="1518">
        <v>2052</v>
      </c>
      <c r="BH54" s="1466" t="s">
        <v>1661</v>
      </c>
      <c r="BJ54" s="1615" t="s">
        <v>1631</v>
      </c>
      <c r="BL54" s="1615" t="s">
        <v>1631</v>
      </c>
    </row>
    <row customHeight="1" ht="11.25">
      <c r="A55" s="1472" t="s">
        <v>1683</v>
      </c>
      <c r="AX55" s="1518" t="s">
        <v>1684</v>
      </c>
      <c r="AZ55" s="1518" t="s">
        <v>1222</v>
      </c>
      <c r="BE55" s="1518">
        <v>2053</v>
      </c>
      <c r="BH55" s="1468" t="s">
        <v>28</v>
      </c>
      <c r="BJ55" s="1615" t="s">
        <v>1054</v>
      </c>
      <c r="BL55" s="1615" t="s">
        <v>1054</v>
      </c>
    </row>
    <row customHeight="1" ht="11.25">
      <c r="A56" s="1472" t="s">
        <v>1685</v>
      </c>
      <c r="D56" s="1516" t="s">
        <v>1686</v>
      </c>
      <c r="E56" s="1493" t="s">
        <v>112</v>
      </c>
      <c r="F56" s="1472" t="s">
        <v>1687</v>
      </c>
      <c r="AX56" s="1518" t="s">
        <v>1688</v>
      </c>
      <c r="AZ56" s="1518" t="s">
        <v>1248</v>
      </c>
      <c r="BE56" s="1518">
        <v>2054</v>
      </c>
      <c r="BH56" s="1468" t="s">
        <v>28</v>
      </c>
      <c r="BJ56" s="1615" t="s">
        <v>1638</v>
      </c>
      <c r="BL56" s="1615" t="s">
        <v>1638</v>
      </c>
    </row>
    <row customHeight="1" ht="11.25">
      <c r="A57" s="1472" t="s">
        <v>1689</v>
      </c>
      <c r="D57" s="1516" t="s">
        <v>1690</v>
      </c>
      <c r="E57" s="1493" t="s">
        <v>112</v>
      </c>
      <c r="F57" s="1472" t="s">
        <v>1687</v>
      </c>
      <c r="AX57" s="1518" t="s">
        <v>1691</v>
      </c>
      <c r="AZ57" s="1518" t="s">
        <v>1281</v>
      </c>
      <c r="BE57" s="1518">
        <v>2055</v>
      </c>
      <c r="BJ57" s="1615" t="s">
        <v>1647</v>
      </c>
      <c r="BL57" s="1615" t="s">
        <v>1647</v>
      </c>
    </row>
    <row customHeight="1" ht="11.25">
      <c r="A58" s="1472" t="s">
        <v>1692</v>
      </c>
      <c r="D58" s="1516" t="s">
        <v>1693</v>
      </c>
      <c r="E58" s="1493" t="s">
        <v>112</v>
      </c>
      <c r="F58" s="1472" t="s">
        <v>1687</v>
      </c>
      <c r="AX58" s="1518" t="s">
        <v>1694</v>
      </c>
      <c r="BE58" s="1518">
        <v>2056</v>
      </c>
      <c r="BJ58" s="1615" t="s">
        <v>1651</v>
      </c>
      <c r="BL58" s="1615" t="s">
        <v>1651</v>
      </c>
    </row>
    <row customHeight="1" ht="11.25">
      <c r="A59" s="1472" t="s">
        <v>1695</v>
      </c>
      <c r="D59" s="1516" t="s">
        <v>132</v>
      </c>
      <c r="E59" s="1493" t="s">
        <v>1583</v>
      </c>
      <c r="F59" s="1472" t="s">
        <v>1696</v>
      </c>
      <c r="AX59" s="1518" t="s">
        <v>1697</v>
      </c>
      <c r="AZ59" s="1465" t="s">
        <v>1698</v>
      </c>
      <c r="BE59" s="1518">
        <v>2057</v>
      </c>
      <c r="BJ59" s="1615" t="s">
        <v>1655</v>
      </c>
      <c r="BL59" s="1615" t="s">
        <v>1655</v>
      </c>
    </row>
    <row customHeight="1" ht="11.25">
      <c r="A60" s="1472" t="s">
        <v>1699</v>
      </c>
      <c r="D60" s="1516" t="s">
        <v>1700</v>
      </c>
      <c r="E60" s="1493" t="s">
        <v>1583</v>
      </c>
      <c r="F60" s="1472" t="s">
        <v>1696</v>
      </c>
      <c r="AX60" s="1518" t="s">
        <v>1701</v>
      </c>
      <c r="AZ60" s="1518" t="s">
        <v>1223</v>
      </c>
      <c r="BE60" s="1518">
        <v>2058</v>
      </c>
      <c r="BJ60" s="1615" t="s">
        <v>1661</v>
      </c>
      <c r="BL60" s="1615" t="s">
        <v>1661</v>
      </c>
    </row>
    <row customHeight="1" ht="11.25">
      <c r="A61" s="1472" t="s">
        <v>1702</v>
      </c>
      <c r="D61" s="1516" t="s">
        <v>1703</v>
      </c>
      <c r="E61" s="1493" t="s">
        <v>1583</v>
      </c>
      <c r="F61" s="1472" t="s">
        <v>1696</v>
      </c>
      <c r="AX61" s="1518" t="s">
        <v>1704</v>
      </c>
      <c r="AZ61" s="1518" t="s">
        <v>1249</v>
      </c>
      <c r="BE61" s="1518">
        <v>2059</v>
      </c>
      <c r="BL61" s="1615" t="s">
        <v>1046</v>
      </c>
    </row>
    <row customHeight="1" ht="11.25">
      <c r="A62" s="1472" t="s">
        <v>1705</v>
      </c>
      <c r="D62" s="1516" t="s">
        <v>131</v>
      </c>
      <c r="E62" s="1493">
        <v>30</v>
      </c>
      <c r="F62" s="1472" t="s">
        <v>1696</v>
      </c>
      <c r="AZ62" s="1518" t="s">
        <v>1282</v>
      </c>
      <c r="BE62" s="1518">
        <v>2060</v>
      </c>
      <c r="BL62" s="1615" t="s">
        <v>1048</v>
      </c>
    </row>
    <row customHeight="1" ht="11.25">
      <c r="A63" s="1472" t="s">
        <v>1706</v>
      </c>
      <c r="D63" s="1516" t="s">
        <v>1707</v>
      </c>
      <c r="E63" s="1493">
        <v>30</v>
      </c>
      <c r="F63" s="1472" t="s">
        <v>1696</v>
      </c>
      <c r="AZ63" s="1518" t="s">
        <v>1314</v>
      </c>
      <c r="BE63" s="1518">
        <v>2061</v>
      </c>
    </row>
    <row customHeight="1" ht="11.25">
      <c r="A64" s="1472" t="s">
        <v>1708</v>
      </c>
      <c r="D64" s="1516" t="s">
        <v>1709</v>
      </c>
      <c r="E64" s="1493">
        <v>30</v>
      </c>
      <c r="F64" s="1472" t="s">
        <v>1696</v>
      </c>
      <c r="AZ64" s="1518" t="s">
        <v>1337</v>
      </c>
      <c r="BE64" s="1518">
        <v>2062</v>
      </c>
    </row>
    <row customHeight="1" ht="11.25">
      <c r="A65" s="1472" t="s">
        <v>1710</v>
      </c>
      <c r="D65" s="1472"/>
      <c r="BE65" s="1518">
        <v>2063</v>
      </c>
    </row>
    <row customHeight="1" ht="11.25">
      <c r="A66" s="1472" t="s">
        <v>1711</v>
      </c>
      <c r="AZ66" s="1465" t="s">
        <v>1712</v>
      </c>
      <c r="BE66" s="1518">
        <v>2064</v>
      </c>
    </row>
    <row customHeight="1" ht="11.25">
      <c r="A67" s="1472" t="s">
        <v>1713</v>
      </c>
      <c r="AZ67" s="1518" t="s">
        <v>1224</v>
      </c>
      <c r="BE67" s="1518">
        <v>2065</v>
      </c>
    </row>
    <row customHeight="1" ht="11.25">
      <c r="A68" s="1472" t="s">
        <v>1714</v>
      </c>
      <c r="AZ68" s="1518" t="s">
        <v>1250</v>
      </c>
      <c r="BE68" s="1518">
        <v>2066</v>
      </c>
      <c r="BH68" s="1465" t="s">
        <v>1715</v>
      </c>
      <c r="BJ68" s="1465" t="s">
        <v>1716</v>
      </c>
      <c r="BL68" s="1465" t="s">
        <v>1717</v>
      </c>
      <c r="BN68" s="1465" t="s">
        <v>1718</v>
      </c>
    </row>
    <row customHeight="1" ht="11.25">
      <c r="A69" s="1472" t="s">
        <v>1719</v>
      </c>
      <c r="AZ69" s="1518" t="s">
        <v>1283</v>
      </c>
      <c r="BE69" s="1518">
        <v>2067</v>
      </c>
      <c r="BH69" s="1466" t="s">
        <v>1720</v>
      </c>
      <c r="BI69" s="1515" t="s">
        <v>110</v>
      </c>
      <c r="BJ69" s="1466" t="s">
        <v>1721</v>
      </c>
      <c r="BK69" s="1515" t="s">
        <v>110</v>
      </c>
      <c r="BL69" s="1466" t="s">
        <v>1722</v>
      </c>
      <c r="BM69" s="1468" t="s">
        <v>110</v>
      </c>
      <c r="BN69" s="1466" t="s">
        <v>1723</v>
      </c>
    </row>
    <row customHeight="1" ht="11.25">
      <c r="A70" s="1472" t="s">
        <v>1724</v>
      </c>
      <c r="AZ70" s="1518" t="s">
        <v>1315</v>
      </c>
      <c r="BE70" s="1518">
        <v>2068</v>
      </c>
      <c r="BH70" s="1466" t="s">
        <v>1725</v>
      </c>
      <c r="BJ70" s="1466" t="s">
        <v>1726</v>
      </c>
      <c r="BL70" s="1466" t="s">
        <v>1727</v>
      </c>
      <c r="BN70" s="1466" t="s">
        <v>1728</v>
      </c>
    </row>
    <row customHeight="1" ht="11.25">
      <c r="A71" s="1472" t="s">
        <v>1729</v>
      </c>
      <c r="AZ71" s="1518" t="s">
        <v>1317</v>
      </c>
      <c r="BE71" s="1518">
        <v>2069</v>
      </c>
      <c r="BH71" s="1466" t="s">
        <v>1730</v>
      </c>
      <c r="BI71" s="1515" t="s">
        <v>91</v>
      </c>
      <c r="BJ71" s="1466" t="s">
        <v>1731</v>
      </c>
      <c r="BK71" s="1515" t="s">
        <v>91</v>
      </c>
      <c r="BL71" s="1466" t="s">
        <v>1732</v>
      </c>
      <c r="BM71" s="1468" t="s">
        <v>91</v>
      </c>
      <c r="BN71" s="1466" t="s">
        <v>1733</v>
      </c>
    </row>
    <row customHeight="1" ht="11.25">
      <c r="A72" s="1472" t="s">
        <v>1734</v>
      </c>
      <c r="AZ72" s="1518" t="s">
        <v>19</v>
      </c>
      <c r="BE72" s="1518">
        <v>2070</v>
      </c>
      <c r="BH72" s="1466" t="s">
        <v>1735</v>
      </c>
      <c r="BJ72" s="1466" t="s">
        <v>1735</v>
      </c>
      <c r="BL72" s="1466" t="s">
        <v>1735</v>
      </c>
      <c r="BN72" s="1466" t="s">
        <v>1736</v>
      </c>
    </row>
    <row customHeight="1" ht="11.25">
      <c r="A73" s="1472" t="s">
        <v>1737</v>
      </c>
      <c r="BH73" s="1466" t="s">
        <v>1738</v>
      </c>
      <c r="BI73" s="1515" t="s">
        <v>112</v>
      </c>
      <c r="BJ73" s="1466" t="s">
        <v>1739</v>
      </c>
      <c r="BK73" s="1515" t="s">
        <v>112</v>
      </c>
      <c r="BL73" s="1466" t="s">
        <v>1740</v>
      </c>
      <c r="BM73" s="1468" t="s">
        <v>112</v>
      </c>
      <c r="BN73" s="1466" t="s">
        <v>1741</v>
      </c>
    </row>
    <row customHeight="1" ht="11.25">
      <c r="A74" s="1472" t="s">
        <v>1742</v>
      </c>
      <c r="BH74" s="1466" t="s">
        <v>1743</v>
      </c>
      <c r="BJ74" s="1466" t="s">
        <v>1744</v>
      </c>
      <c r="BL74" s="1466" t="s">
        <v>1745</v>
      </c>
      <c r="BN74" s="1466" t="s">
        <v>1746</v>
      </c>
    </row>
    <row customHeight="1" ht="11.25">
      <c r="A75" s="1472" t="s">
        <v>1747</v>
      </c>
      <c r="AZ75" s="1465" t="s">
        <v>1748</v>
      </c>
      <c r="BH75" s="1466" t="s">
        <v>1749</v>
      </c>
      <c r="BJ75" s="1466" t="s">
        <v>1749</v>
      </c>
      <c r="BL75" s="1466" t="s">
        <v>1749</v>
      </c>
    </row>
    <row customHeight="1" ht="11.25">
      <c r="A76" s="1472" t="s">
        <v>1750</v>
      </c>
      <c r="AZ76" s="1518" t="s">
        <v>1233</v>
      </c>
      <c r="BH76" s="1466" t="s">
        <v>1751</v>
      </c>
      <c r="BJ76" s="1466" t="s">
        <v>1752</v>
      </c>
      <c r="BL76" s="1466" t="s">
        <v>1753</v>
      </c>
    </row>
    <row customHeight="1" ht="11.25">
      <c r="A77" s="1472" t="s">
        <v>1754</v>
      </c>
      <c r="AZ77" s="1518" t="s">
        <v>1260</v>
      </c>
    </row>
    <row customHeight="1" ht="11.25">
      <c r="A78" s="1472" t="s">
        <v>1755</v>
      </c>
      <c r="AZ78" s="1518" t="s">
        <v>1290</v>
      </c>
    </row>
    <row customHeight="1" ht="11.25">
      <c r="A79" s="1472" t="s">
        <v>1756</v>
      </c>
      <c r="AZ79" s="1518" t="s">
        <v>1321</v>
      </c>
      <c r="BH79" s="1465" t="s">
        <v>1757</v>
      </c>
      <c r="BJ79" s="1465" t="s">
        <v>1758</v>
      </c>
      <c r="BL79" s="1465" t="s">
        <v>1759</v>
      </c>
    </row>
    <row customHeight="1" ht="11.25">
      <c r="A80" s="1472" t="s">
        <v>1760</v>
      </c>
      <c r="AZ80" s="1518" t="s">
        <v>1342</v>
      </c>
      <c r="BH80" s="1466" t="s">
        <v>1761</v>
      </c>
      <c r="BJ80" s="1466" t="s">
        <v>1762</v>
      </c>
      <c r="BL80" s="1466" t="s">
        <v>1763</v>
      </c>
    </row>
    <row customHeight="1" ht="11.25">
      <c r="A81" s="1472" t="s">
        <v>1764</v>
      </c>
      <c r="AZ81" s="1518" t="s">
        <v>1359</v>
      </c>
      <c r="BH81" s="1466" t="s">
        <v>1765</v>
      </c>
      <c r="BJ81" s="1466" t="s">
        <v>1766</v>
      </c>
      <c r="BL81" s="1466" t="s">
        <v>1767</v>
      </c>
    </row>
    <row customHeight="1" ht="11.25">
      <c r="A82" s="1472" t="s">
        <v>1768</v>
      </c>
      <c r="AZ82" s="1518" t="s">
        <v>1374</v>
      </c>
      <c r="BH82" s="1466" t="s">
        <v>1769</v>
      </c>
      <c r="BJ82" s="1466" t="s">
        <v>1770</v>
      </c>
      <c r="BL82" s="1466" t="s">
        <v>1771</v>
      </c>
    </row>
    <row customHeight="1" ht="11.25">
      <c r="A83" s="1472" t="s">
        <v>1772</v>
      </c>
      <c r="BH83" s="1466" t="s">
        <v>1773</v>
      </c>
      <c r="BJ83" s="1466" t="s">
        <v>1774</v>
      </c>
      <c r="BL83" s="1466" t="s">
        <v>1775</v>
      </c>
    </row>
    <row customHeight="1" ht="11.25">
      <c r="A84" s="1472" t="s">
        <v>1776</v>
      </c>
      <c r="AZ84" s="1465" t="s">
        <v>1777</v>
      </c>
    </row>
    <row customHeight="1" ht="11.25">
      <c r="A85" s="2268" t="s">
        <v>1778</v>
      </c>
      <c r="AZ85" s="1518" t="s">
        <v>1779</v>
      </c>
    </row>
    <row customHeight="1" ht="11.25">
      <c r="A86" s="1472" t="s">
        <v>1780</v>
      </c>
      <c r="AZ86" s="1518" t="s">
        <v>1781</v>
      </c>
      <c r="BH86" s="1465" t="s">
        <v>1782</v>
      </c>
      <c r="BJ86" s="1465" t="s">
        <v>1783</v>
      </c>
      <c r="BL86" s="1465" t="s">
        <v>1784</v>
      </c>
    </row>
    <row customHeight="1" ht="11.25">
      <c r="A87" s="1472" t="s">
        <v>1785</v>
      </c>
      <c r="AZ87" s="1518" t="s">
        <v>1786</v>
      </c>
      <c r="BH87" s="1466" t="s">
        <v>1787</v>
      </c>
      <c r="BJ87" s="1466" t="s">
        <v>1788</v>
      </c>
      <c r="BL87" s="1466" t="s">
        <v>1789</v>
      </c>
    </row>
    <row customHeight="1" ht="11.25">
      <c r="A88" s="1472" t="s">
        <v>1790</v>
      </c>
      <c r="AZ88" s="2004"/>
      <c r="BH88" s="1466" t="s">
        <v>1791</v>
      </c>
      <c r="BJ88" s="1466" t="s">
        <v>1792</v>
      </c>
      <c r="BL88" s="1466" t="s">
        <v>1793</v>
      </c>
    </row>
    <row customHeight="1" ht="11.25">
      <c r="A89" s="1472" t="s">
        <v>1794</v>
      </c>
      <c r="AZ89" s="1465" t="s">
        <v>1795</v>
      </c>
    </row>
    <row customHeight="1" ht="11.25">
      <c r="A90" s="1472" t="s">
        <v>1796</v>
      </c>
      <c r="AZ90" s="1518" t="s">
        <v>1024</v>
      </c>
    </row>
    <row customHeight="1" ht="11.25">
      <c r="A91" s="1472" t="s">
        <v>1797</v>
      </c>
      <c r="AZ91" s="1518" t="s">
        <v>1060</v>
      </c>
      <c r="BH91" s="1465" t="s">
        <v>1798</v>
      </c>
      <c r="BJ91" s="1465" t="s">
        <v>1799</v>
      </c>
      <c r="BL91" s="1465" t="s">
        <v>1800</v>
      </c>
    </row>
    <row customHeight="1" ht="11.25">
      <c r="AZ92" s="1518" t="s">
        <v>1801</v>
      </c>
      <c r="BH92" s="1466" t="s">
        <v>1802</v>
      </c>
      <c r="BJ92" s="1466" t="s">
        <v>1803</v>
      </c>
      <c r="BL92" s="1466" t="s">
        <v>1804</v>
      </c>
    </row>
    <row customHeight="1" ht="11.25">
      <c r="AZ93" s="1518" t="s">
        <v>1805</v>
      </c>
      <c r="BH93" s="1466" t="s">
        <v>1806</v>
      </c>
      <c r="BJ93" s="1466" t="s">
        <v>1807</v>
      </c>
      <c r="BL93" s="1466" t="s">
        <v>1808</v>
      </c>
    </row>
    <row customHeight="1" ht="11.25">
      <c r="AZ94" s="1518" t="s">
        <v>1809</v>
      </c>
    </row>
    <row r="96" customHeight="1" ht="11.25">
      <c r="AZ96" s="1465" t="s">
        <v>1810</v>
      </c>
      <c r="BH96" s="1465" t="s">
        <v>1811</v>
      </c>
      <c r="BJ96" s="1465" t="s">
        <v>1812</v>
      </c>
      <c r="BL96" s="1465" t="s">
        <v>1813</v>
      </c>
      <c r="BN96" s="1465" t="s">
        <v>1814</v>
      </c>
    </row>
    <row customHeight="1" ht="11.25">
      <c r="AZ97" s="2299" t="s">
        <v>1815</v>
      </c>
      <c r="BA97" s="2300" t="s">
        <v>1816</v>
      </c>
      <c r="BH97" s="1466" t="s">
        <v>1817</v>
      </c>
      <c r="BJ97" s="1466" t="s">
        <v>1818</v>
      </c>
      <c r="BL97" s="1466" t="s">
        <v>1819</v>
      </c>
      <c r="BN97" s="1466" t="s">
        <v>1820</v>
      </c>
    </row>
    <row customHeight="1" ht="11.25">
      <c r="AZ98" s="2299" t="s">
        <v>1821</v>
      </c>
      <c r="BA98" s="2300" t="s">
        <v>1822</v>
      </c>
      <c r="BH98" s="1466" t="s">
        <v>1823</v>
      </c>
      <c r="BJ98" s="1466" t="s">
        <v>1824</v>
      </c>
      <c r="BL98" s="1466" t="s">
        <v>1825</v>
      </c>
      <c r="BN98" s="1466" t="s">
        <v>1826</v>
      </c>
    </row>
    <row customHeight="1" ht="22.5">
      <c r="AZ99" s="2299" t="s">
        <v>1827</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1828</v>
      </c>
      <c r="BJ99" s="1466" t="s">
        <v>1829</v>
      </c>
      <c r="BL99" s="1466" t="s">
        <v>1830</v>
      </c>
      <c r="BN99" s="1466" t="s">
        <v>1831</v>
      </c>
    </row>
    <row customHeight="1" ht="22.5">
      <c r="AZ100" s="2299" t="s">
        <v>1832</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1420</v>
      </c>
      <c r="BL100" s="1466" t="s">
        <v>1420</v>
      </c>
      <c r="BN100" s="1466" t="s">
        <v>1833</v>
      </c>
    </row>
    <row customHeight="1" ht="22.5">
      <c r="AZ101" s="2299" t="s">
        <v>1834</v>
      </c>
      <c r="BA101" s="2300" t="s">
        <v>1835</v>
      </c>
      <c r="BN101" s="1466" t="s">
        <v>1836</v>
      </c>
    </row>
    <row customHeight="1" ht="22.5">
      <c r="AZ102" s="2299" t="s">
        <v>1837</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1838</v>
      </c>
    </row>
    <row customHeight="1" ht="11.25">
      <c r="AZ103" s="2299" t="s">
        <v>1839</v>
      </c>
      <c r="BA103" s="2300" t="s">
        <v>1840</v>
      </c>
      <c r="BN103" s="1466" t="s">
        <v>1841</v>
      </c>
    </row>
    <row customHeight="1" ht="11.25">
      <c r="BN104" s="1466" t="s">
        <v>1842</v>
      </c>
    </row>
    <row customHeight="1" ht="11.25">
      <c r="AZ105" s="2090" t="s">
        <v>1843</v>
      </c>
    </row>
    <row customHeight="1" ht="11.25">
      <c r="AZ106" s="1518" t="s">
        <v>1844</v>
      </c>
    </row>
    <row customHeight="1" ht="11.25">
      <c r="AZ107" s="1518" t="s">
        <v>1845</v>
      </c>
      <c r="BH107" s="1465" t="s">
        <v>1846</v>
      </c>
      <c r="BJ107" s="1465" t="s">
        <v>1847</v>
      </c>
      <c r="BL107" s="1465" t="s">
        <v>1848</v>
      </c>
      <c r="BN107" s="1465" t="s">
        <v>1849</v>
      </c>
    </row>
    <row customHeight="1" ht="11.25">
      <c r="AZ108" s="1518" t="s">
        <v>577</v>
      </c>
      <c r="BH108" s="1466" t="s">
        <v>1850</v>
      </c>
      <c r="BJ108" s="1466" t="s">
        <v>1851</v>
      </c>
      <c r="BL108" s="1466" t="s">
        <v>1506</v>
      </c>
      <c r="BN108" s="1466" t="s">
        <v>1852</v>
      </c>
    </row>
    <row customHeight="1" ht="11.25">
      <c r="BH109" s="1466" t="s">
        <v>1853</v>
      </c>
    </row>
    <row customHeight="1" ht="11.25">
      <c r="AZ110" s="2090" t="s">
        <v>1854</v>
      </c>
      <c r="BH110" s="1466" t="s">
        <v>1853</v>
      </c>
    </row>
    <row customHeight="1" ht="11.25">
      <c r="AZ111" s="2299" t="s">
        <v>1815</v>
      </c>
      <c r="BA111" s="2300" t="s">
        <v>1816</v>
      </c>
    </row>
    <row customHeight="1" ht="11.25">
      <c r="AZ112" s="2299" t="s">
        <v>1821</v>
      </c>
      <c r="BA112" s="2300" t="s">
        <v>1822</v>
      </c>
    </row>
    <row customHeight="1" ht="22.5">
      <c r="AZ113" s="2299" t="s">
        <v>1827</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1832</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1855</v>
      </c>
    </row>
    <row customHeight="1" ht="22.5">
      <c r="AZ115" s="2299" t="s">
        <v>1837</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452</v>
      </c>
    </row>
    <row customHeight="1" ht="11.25">
      <c r="AZ116" s="2299" t="s">
        <v>1839</v>
      </c>
      <c r="BA116" s="2300" t="s">
        <v>1840</v>
      </c>
      <c r="BH116" s="1466" t="s">
        <v>1246</v>
      </c>
    </row>
    <row customHeight="1" ht="11.25">
      <c r="BH117" s="1466" t="s">
        <v>451</v>
      </c>
    </row>
    <row customHeight="1" ht="11.25">
      <c r="BH118" s="1466"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FC8C1-794B-437A-AA01-49B038D9B982}" mc:Ignorable="x14ac xr xr2 xr3">
  <dimension ref="A1:J25"/>
  <sheetViews>
    <sheetView topLeftCell="A1" showGridLines="0" zoomScale="90" workbookViewId="0">
      <selection activeCell="A1" sqref="A1"/>
    </sheetView>
  </sheetViews>
  <sheetFormatPr defaultColWidth="9.140625" customHeight="1" defaultRowHeight="11.25"/>
  <cols>
    <col min="1" max="2" style="24916" width="15.00390625" hidden="1" customWidth="1"/>
    <col min="3" max="3" style="24961" width="3.00390625" customWidth="1"/>
    <col min="4" max="4" style="24962" width="6.00390625" customWidth="1"/>
    <col min="5" max="5" style="24961" width="52.00390625" customWidth="1"/>
    <col min="6" max="6" style="24961" width="48.00390625" customWidth="1"/>
    <col min="7" max="7" style="24961" width="93.00390625" customWidth="1"/>
    <col min="8" max="8" style="24961" width="8.00390625" customWidth="1"/>
    <col min="9" max="9" style="24961" width="64.00390625" customWidth="1"/>
    <col min="10" max="10" style="24961" width="9.140625" hidden="1"/>
  </cols>
  <sheetData>
    <row customHeight="1" ht="11.25" hidden="1">
      <c r="A1" s="899" t="s">
        <v>304</v>
      </c>
      <c r="J1" s="853" t="s">
        <v>14</v>
      </c>
    </row>
    <row customHeight="1" ht="22.5" hidden="1">
      <c r="A2" s="900"/>
      <c r="B2" s="900"/>
      <c r="C2" s="2128" t="s">
        <v>430</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Приморский край</v>
      </c>
      <c r="E6" s="2574"/>
      <c r="F6" s="2574"/>
      <c r="I6" s="1113"/>
      <c r="J6" s="853">
        <v>17</v>
      </c>
    </row>
    <row s="24875"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305</v>
      </c>
      <c r="E9" s="2603"/>
      <c r="F9" s="2603"/>
      <c r="G9" s="2606" t="s">
        <v>306</v>
      </c>
      <c r="J9" s="853">
        <v>11</v>
      </c>
    </row>
    <row customHeight="1" ht="11.549999999999999">
      <c r="A10" s="900"/>
      <c r="B10" s="900"/>
      <c r="C10" s="855"/>
      <c r="D10" s="1872" t="s">
        <v>89</v>
      </c>
      <c r="E10" s="1874" t="s">
        <v>307</v>
      </c>
      <c r="F10" s="1874" t="s">
        <v>308</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ООО "Новая Энергетика"</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1856</v>
      </c>
      <c r="F13" s="1919" t="s">
        <v>311</v>
      </c>
      <c r="G13" s="872"/>
      <c r="H13" s="1931"/>
      <c r="J13" s="853">
        <v>19</v>
      </c>
    </row>
    <row customHeight="1" ht="19.95">
      <c r="A14" s="900"/>
      <c r="B14" s="900"/>
      <c r="C14" s="855"/>
      <c r="D14" s="1921" t="s">
        <v>714</v>
      </c>
      <c r="E14" s="1922" t="s">
        <v>1857</v>
      </c>
      <c r="F14" s="1924"/>
      <c r="G14" s="1923" t="s">
        <v>1858</v>
      </c>
      <c r="H14" s="1931"/>
      <c r="J14" s="853">
        <v>19</v>
      </c>
    </row>
    <row customHeight="1" ht="19.95">
      <c r="A15" s="900"/>
      <c r="B15" s="900"/>
      <c r="C15" s="855"/>
      <c r="D15" s="1921" t="s">
        <v>312</v>
      </c>
      <c r="E15" s="1922" t="s">
        <v>1859</v>
      </c>
      <c r="F15" s="1924"/>
      <c r="G15" s="1923" t="s">
        <v>1860</v>
      </c>
      <c r="H15" s="1931"/>
      <c r="J15" s="853">
        <v>19</v>
      </c>
    </row>
    <row customHeight="1" ht="24">
      <c r="A16" s="900"/>
      <c r="B16" s="900"/>
      <c r="C16" s="855"/>
      <c r="D16" s="1921" t="s">
        <v>315</v>
      </c>
      <c r="E16" s="1920" t="s">
        <v>1861</v>
      </c>
      <c r="F16" s="1929"/>
      <c r="G16" s="872" t="s">
        <v>1862</v>
      </c>
      <c r="H16" s="1931"/>
      <c r="J16" s="853">
        <v>23</v>
      </c>
    </row>
    <row customHeight="1" ht="48.29999999999999">
      <c r="A17" s="900"/>
      <c r="B17" s="900"/>
      <c r="C17" s="855"/>
      <c r="D17" s="1918">
        <v>3</v>
      </c>
      <c r="E17" s="1925" t="s">
        <v>1863</v>
      </c>
      <c r="F17" s="1924"/>
      <c r="G17" s="872" t="s">
        <v>1864</v>
      </c>
      <c r="H17" s="1931"/>
      <c r="J17" s="853">
        <v>46</v>
      </c>
    </row>
    <row customHeight="1" ht="48.29999999999999">
      <c r="A18" s="1873">
        <v>1</v>
      </c>
      <c r="B18" s="900"/>
      <c r="C18" s="1875"/>
      <c r="D18" s="1918" t="s">
        <v>92</v>
      </c>
      <c r="E18" s="1925" t="s">
        <v>1865</v>
      </c>
      <c r="F18" s="1924"/>
      <c r="G18" s="872" t="s">
        <v>1864</v>
      </c>
      <c r="H18" s="1931"/>
      <c r="I18" s="1250"/>
      <c r="J18" s="853">
        <v>46</v>
      </c>
    </row>
    <row customHeight="1" ht="23.25">
      <c r="A19" s="900"/>
      <c r="B19" s="900"/>
      <c r="C19" s="855"/>
      <c r="D19" s="1918" t="s">
        <v>112</v>
      </c>
      <c r="E19" s="1925" t="s">
        <v>1866</v>
      </c>
      <c r="F19" s="1919" t="s">
        <v>311</v>
      </c>
      <c r="G19" s="2869" t="s">
        <v>1867</v>
      </c>
      <c r="H19" s="873"/>
      <c r="J19" s="853">
        <v>22</v>
      </c>
    </row>
    <row s="27333" customFormat="1" customHeight="1" ht="5.25" hidden="1">
      <c r="A20" s="900"/>
      <c r="B20" s="900"/>
      <c r="C20" s="1927"/>
      <c r="D20" s="1926" t="s">
        <v>1121</v>
      </c>
      <c r="E20" s="1412"/>
      <c r="F20" s="1411"/>
      <c r="G20" s="2870"/>
      <c r="J20" s="1928">
        <v>0</v>
      </c>
    </row>
    <row customHeight="1" ht="15.75">
      <c r="A21" s="900"/>
      <c r="B21" s="900"/>
      <c r="C21" s="855"/>
      <c r="D21" s="865"/>
      <c r="E21" s="813" t="s">
        <v>344</v>
      </c>
      <c r="F21" s="867"/>
      <c r="G21" s="2871"/>
      <c r="H21" s="1931"/>
      <c r="J21" s="853">
        <v>15</v>
      </c>
    </row>
    <row s="24916" customFormat="1" customHeight="1" ht="26.25">
      <c r="A22" s="900"/>
      <c r="B22" s="900"/>
      <c r="C22" s="900"/>
      <c r="D22" s="1918" t="s">
        <v>93</v>
      </c>
      <c r="E22" s="872" t="s">
        <v>1868</v>
      </c>
      <c r="F22" s="1924"/>
      <c r="G22" s="872" t="s">
        <v>1869</v>
      </c>
      <c r="H22" s="1930"/>
      <c r="J22" s="899">
        <v>25</v>
      </c>
    </row>
    <row s="24916" customFormat="1" customHeight="1" ht="19.95">
      <c r="A23" s="900"/>
      <c r="B23" s="900"/>
      <c r="C23" s="900"/>
      <c r="D23" s="1918" t="s">
        <v>94</v>
      </c>
      <c r="E23" s="1925" t="s">
        <v>1870</v>
      </c>
      <c r="F23" s="1929"/>
      <c r="G23" s="872" t="s">
        <v>1871</v>
      </c>
      <c r="H23" s="1930"/>
      <c r="J23" s="899">
        <v>19</v>
      </c>
    </row>
    <row s="24916" customFormat="1" customHeight="1" ht="144" hidden="1">
      <c r="A24" s="900"/>
      <c r="B24" s="900"/>
      <c r="C24" s="900"/>
      <c r="D24" s="1918" t="s">
        <v>113</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83</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56E9E-158F-071E-A0D3-BDC95319EBD1}" mc:Ignorable="x14ac xr xr2 xr3">
  <dimension ref="A1:IU24"/>
  <sheetViews>
    <sheetView topLeftCell="A1" showGridLines="0" zoomScale="90" workbookViewId="0">
      <selection activeCell="A1" sqref="A1"/>
    </sheetView>
  </sheetViews>
  <sheetFormatPr defaultColWidth="9.140625" customHeight="1" defaultRowHeight="14.25"/>
  <cols>
    <col min="1" max="1" style="24354" width="9.140625" hidden="1"/>
    <col min="2" max="2" style="24434" width="9.140625" hidden="1"/>
    <col min="3" max="3" style="24354" width="3.7109375" hidden="1" customWidth="1"/>
    <col min="4" max="4" style="24523" width="3.00390625" customWidth="1"/>
    <col min="5" max="5" style="24354" width="6.00390625" customWidth="1"/>
    <col min="6" max="6" style="24354" width="46.00390625" customWidth="1"/>
    <col min="7" max="8" style="24354" width="16.00390625" customWidth="1"/>
    <col min="9" max="9" style="24354" width="35.00390625" customWidth="1"/>
    <col min="10" max="10" style="24354" width="89.00390625" customWidth="1"/>
    <col min="11" max="11" style="24524" width="3.00390625" customWidth="1"/>
    <col min="12" max="14" style="24524" width="8.00390625" customWidth="1"/>
    <col min="15" max="15" style="24524" width="25.00390625" customWidth="1"/>
    <col min="16" max="16" style="24524" width="14.00390625" customWidth="1"/>
    <col min="17" max="20" style="24525" width="8.00390625" customWidth="1"/>
    <col min="21" max="254" style="24354" width="8.00390625" customWidth="1"/>
    <col min="255" max="255" style="24354" width="9.140625" hidden="1"/>
  </cols>
  <sheetData>
    <row customHeight="1" ht="22.5" hidden="1">
      <c r="F1" s="2029" t="s">
        <v>1872</v>
      </c>
      <c r="G1" s="2029" t="s">
        <v>49</v>
      </c>
      <c r="H1" s="2029" t="s">
        <v>51</v>
      </c>
      <c r="IU1" s="1553" t="s">
        <v>14</v>
      </c>
    </row>
    <row s="24495" customFormat="1" customHeight="1" ht="22.5" hidden="1">
      <c r="A2" s="1229"/>
      <c r="B2" s="1558">
        <v>1</v>
      </c>
      <c r="C2" s="1558"/>
      <c r="D2" s="2326" t="s">
        <v>430</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4435" customFormat="1" customHeight="1" ht="4.2">
      <c r="A3" s="894"/>
      <c r="D3" s="892"/>
      <c r="F3" s="645" t="s">
        <v>84</v>
      </c>
      <c r="G3" s="892" t="s">
        <v>85</v>
      </c>
      <c r="H3" s="892"/>
      <c r="I3" s="892"/>
      <c r="J3" s="625" t="s">
        <v>86</v>
      </c>
      <c r="K3" s="645" t="s">
        <v>84</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4450"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4450"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4450"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4450" customFormat="1" customHeight="1" ht="14.699999999999998">
      <c r="A7" s="1553"/>
      <c r="B7" s="1558"/>
      <c r="C7" s="1553"/>
      <c r="D7" s="1893"/>
      <c r="E7" s="2499" t="s">
        <v>305</v>
      </c>
      <c r="F7" s="2500"/>
      <c r="G7" s="2500"/>
      <c r="H7" s="2500"/>
      <c r="I7" s="2500"/>
      <c r="J7" s="2872" t="s">
        <v>306</v>
      </c>
      <c r="K7" s="898"/>
      <c r="L7" s="898"/>
      <c r="M7" s="898"/>
      <c r="N7" s="898"/>
      <c r="O7" s="624"/>
      <c r="P7" s="898"/>
      <c r="Q7" s="623"/>
      <c r="R7" s="623"/>
      <c r="S7" s="623"/>
      <c r="T7" s="623"/>
      <c r="IU7" s="905">
        <v>14</v>
      </c>
    </row>
    <row s="24450" customFormat="1" customHeight="1" ht="21">
      <c r="A8" s="1553"/>
      <c r="B8" s="1558"/>
      <c r="C8" s="1553"/>
      <c r="D8" s="1893"/>
      <c r="E8" s="1946" t="s">
        <v>89</v>
      </c>
      <c r="F8" s="1938" t="s">
        <v>1872</v>
      </c>
      <c r="G8" s="1938" t="s">
        <v>49</v>
      </c>
      <c r="H8" s="1938" t="s">
        <v>51</v>
      </c>
      <c r="I8" s="1938" t="s">
        <v>1873</v>
      </c>
      <c r="J8" s="2873"/>
      <c r="K8" s="898"/>
      <c r="L8" s="898"/>
      <c r="M8" s="898"/>
      <c r="N8" s="898"/>
      <c r="O8" s="624"/>
      <c r="P8" s="898"/>
      <c r="Q8" s="623"/>
      <c r="R8" s="623"/>
      <c r="S8" s="623"/>
      <c r="T8" s="623"/>
      <c r="IU8" s="905">
        <v>20</v>
      </c>
    </row>
    <row s="24495"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4495" customFormat="1" customHeight="1" ht="15.75">
      <c r="A10" s="2029"/>
      <c r="B10" s="1558"/>
      <c r="C10" s="810"/>
      <c r="D10" s="1199"/>
      <c r="E10" s="1939"/>
      <c r="F10" s="1898" t="s">
        <v>1874</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4450"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4450"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4450"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4518" customFormat="1" customHeight="1" ht="10.5">
      <c r="B14" s="1232"/>
      <c r="D14" s="580"/>
      <c r="K14" s="898"/>
      <c r="L14" s="898"/>
      <c r="M14" s="898"/>
      <c r="N14" s="898"/>
      <c r="O14" s="624"/>
      <c r="P14" s="898"/>
      <c r="Q14" s="623"/>
      <c r="R14" s="623"/>
      <c r="S14" s="623"/>
      <c r="T14" s="623"/>
      <c r="IU14" s="579">
        <v>10</v>
      </c>
    </row>
    <row s="24518"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83</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D8FB-9C71-B093-F9EE-3FF73B612492}" mc:Ignorable="x14ac xr xr2 xr3">
  <dimension ref="A1:IW15"/>
  <sheetViews>
    <sheetView topLeftCell="A1" showGridLines="0" zoomScale="90" workbookViewId="0">
      <selection activeCell="A1" sqref="A1"/>
    </sheetView>
  </sheetViews>
  <sheetFormatPr defaultColWidth="9.140625" customHeight="1" defaultRowHeight="14.25"/>
  <cols>
    <col min="1" max="1" style="24354" width="9.140625" hidden="1"/>
    <col min="2" max="2" style="24434" width="9.140625" hidden="1"/>
    <col min="3" max="3" style="24354" width="3.7109375" hidden="1" customWidth="1"/>
    <col min="4" max="4" style="24523" width="3.00390625" customWidth="1"/>
    <col min="5" max="5" style="24354" width="6.00390625" customWidth="1"/>
    <col min="6" max="6" style="24354" width="27.00390625" customWidth="1"/>
    <col min="7" max="7" style="24354" width="16.00390625" customWidth="1"/>
    <col min="8" max="8" style="24354" width="12.00390625" customWidth="1"/>
    <col min="9" max="9" style="24354" width="32.00390625" customWidth="1"/>
    <col min="10" max="11" style="24354" width="41.00390625" customWidth="1"/>
    <col min="12" max="12" style="24354" width="89.00390625" customWidth="1"/>
    <col min="13" max="13" style="24524" width="3.00390625" customWidth="1"/>
    <col min="14" max="16" style="24524" width="8.00390625" customWidth="1"/>
    <col min="17" max="17" style="24524" width="25.00390625" customWidth="1"/>
    <col min="18" max="18" style="24524" width="14.00390625" customWidth="1"/>
    <col min="19" max="22" style="24525" width="8.00390625" customWidth="1"/>
    <col min="23" max="256" style="24354" width="8.00390625" customWidth="1"/>
    <col min="257" max="257" style="24354" width="9.140625" hidden="1"/>
  </cols>
  <sheetData>
    <row customHeight="1" ht="22.5" hidden="1">
      <c r="IW1" s="1553" t="s">
        <v>14</v>
      </c>
    </row>
    <row s="24495" customFormat="1" customHeight="1" ht="22.5" hidden="1">
      <c r="A2" s="1229"/>
      <c r="B2" s="1558">
        <v>1</v>
      </c>
      <c r="C2" s="1558"/>
      <c r="D2" s="2326" t="s">
        <v>430</v>
      </c>
      <c r="E2" s="2287"/>
      <c r="F2" s="2290" t="str">
        <f>IF(ROIV_INFO_NAME="","",ROIV_INFO_NAME)</f>
        <v>ООО "Новая Энергетика"</v>
      </c>
      <c r="G2" s="2315" t="s">
        <v>28</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4435" customFormat="1" customHeight="1" ht="5.25" hidden="1">
      <c r="A3" s="894"/>
      <c r="D3" s="892"/>
      <c r="F3" s="645" t="s">
        <v>84</v>
      </c>
      <c r="G3" s="2133" t="s">
        <v>85</v>
      </c>
      <c r="H3" s="892"/>
      <c r="I3" s="892"/>
      <c r="J3" s="892"/>
      <c r="K3" s="892"/>
      <c r="L3" s="625" t="s">
        <v>86</v>
      </c>
      <c r="M3" s="645" t="s">
        <v>84</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4450"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4450"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4450"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4450" customFormat="1" customHeight="1" ht="14.699999999999998">
      <c r="A7" s="1553"/>
      <c r="B7" s="1558"/>
      <c r="C7" s="1553"/>
      <c r="D7" s="1893"/>
      <c r="E7" s="2499" t="s">
        <v>305</v>
      </c>
      <c r="F7" s="2500"/>
      <c r="G7" s="2500"/>
      <c r="H7" s="2500"/>
      <c r="I7" s="2500"/>
      <c r="J7" s="2500"/>
      <c r="K7" s="2500"/>
      <c r="L7" s="2872" t="s">
        <v>306</v>
      </c>
      <c r="M7" s="898"/>
      <c r="N7" s="898"/>
      <c r="O7" s="898"/>
      <c r="P7" s="898"/>
      <c r="Q7" s="624"/>
      <c r="R7" s="898"/>
      <c r="S7" s="623"/>
      <c r="T7" s="623"/>
      <c r="U7" s="623"/>
      <c r="V7" s="623"/>
      <c r="IW7" s="905">
        <v>14</v>
      </c>
    </row>
    <row s="24450" customFormat="1" customHeight="1" ht="67.2">
      <c r="A8" s="1553"/>
      <c r="B8" s="1558"/>
      <c r="C8" s="1553"/>
      <c r="D8" s="1893"/>
      <c r="E8" s="2876" t="s">
        <v>89</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4450" customFormat="1" customHeight="1" ht="29.25">
      <c r="A9" s="1553"/>
      <c r="B9" s="1558"/>
      <c r="C9" s="1553"/>
      <c r="D9" s="1893"/>
      <c r="E9" s="2877"/>
      <c r="F9" s="2877"/>
      <c r="G9" s="1935" t="s">
        <v>1875</v>
      </c>
      <c r="H9" s="1935" t="s">
        <v>1876</v>
      </c>
      <c r="I9" s="1935" t="s">
        <v>1877</v>
      </c>
      <c r="J9" s="2877"/>
      <c r="K9" s="2877"/>
      <c r="L9" s="2873"/>
      <c r="M9" s="898"/>
      <c r="N9" s="898"/>
      <c r="O9" s="898"/>
      <c r="P9" s="898"/>
      <c r="Q9" s="624"/>
      <c r="R9" s="898"/>
      <c r="S9" s="623"/>
      <c r="T9" s="623"/>
      <c r="U9" s="623"/>
      <c r="V9" s="623"/>
      <c r="IW9" s="905">
        <v>28</v>
      </c>
    </row>
    <row s="24495" customFormat="1" customHeight="1" ht="23.25">
      <c r="A10" s="2497"/>
      <c r="B10" s="1558">
        <v>1</v>
      </c>
      <c r="C10" s="1558"/>
      <c r="D10" s="1198"/>
      <c r="E10" s="1196">
        <v>1</v>
      </c>
      <c r="F10" s="1937" t="str">
        <f>IF(ROIV_INFO_NAME="","",ROIV_INFO_NAME)</f>
        <v>ООО "Новая Энергетика"</v>
      </c>
      <c r="G10" s="2130" t="s">
        <v>28</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4495" customFormat="1" customHeight="1" ht="15.75">
      <c r="A11" s="2497"/>
      <c r="B11" s="1558"/>
      <c r="C11" s="810"/>
      <c r="D11" s="1199"/>
      <c r="E11" s="819"/>
      <c r="F11" s="814" t="s">
        <v>1878</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4450"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4450"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4450"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83</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797A4-76E8-A2D7-05FB-53F2D438D418}" mc:Ignorable="x14ac xr xr2 xr3">
  <dimension ref="A1:IW15"/>
  <sheetViews>
    <sheetView topLeftCell="A1" showGridLines="0" zoomScale="90" workbookViewId="0">
      <selection activeCell="A1" sqref="A1"/>
    </sheetView>
  </sheetViews>
  <sheetFormatPr defaultColWidth="9.140625" customHeight="1" defaultRowHeight="14.25"/>
  <cols>
    <col min="1" max="1" style="24354" width="9.140625" hidden="1"/>
    <col min="2" max="2" style="24434" width="9.140625" hidden="1"/>
    <col min="3" max="3" style="24354" width="3.7109375" hidden="1" customWidth="1"/>
    <col min="4" max="4" style="24523" width="3.00390625" customWidth="1"/>
    <col min="5" max="5" style="24354" width="6.00390625" customWidth="1"/>
    <col min="6" max="6" style="24354" width="27.00390625" customWidth="1"/>
    <col min="7" max="7" style="24354" width="16.00390625" customWidth="1"/>
    <col min="8" max="8" style="24354" width="12.00390625" customWidth="1"/>
    <col min="9" max="9" style="24354" width="32.00390625" customWidth="1"/>
    <col min="10" max="11" style="24354" width="41.00390625" customWidth="1"/>
    <col min="12" max="12" style="24354" width="89.00390625" customWidth="1"/>
    <col min="13" max="13" style="24524" width="3.00390625" customWidth="1"/>
    <col min="14" max="16" style="24524" width="8.00390625" customWidth="1"/>
    <col min="17" max="17" style="24524" width="25.00390625" customWidth="1"/>
    <col min="18" max="18" style="24524" width="14.00390625" customWidth="1"/>
    <col min="19" max="22" style="24525" width="8.00390625" customWidth="1"/>
    <col min="23" max="256" style="24354" width="8.00390625" customWidth="1"/>
    <col min="257" max="257" style="24354" width="9.140625" hidden="1"/>
  </cols>
  <sheetData>
    <row customHeight="1" ht="22.5" hidden="1">
      <c r="IW1" s="2029" t="s">
        <v>14</v>
      </c>
    </row>
    <row s="24495" customFormat="1" customHeight="1" ht="22.5" hidden="1">
      <c r="A2" s="1229"/>
      <c r="B2" s="1764">
        <v>1</v>
      </c>
      <c r="C2" s="1764"/>
      <c r="D2" s="2326" t="s">
        <v>430</v>
      </c>
      <c r="E2" s="2302"/>
      <c r="F2" s="2304" t="str">
        <f>IF(ROIV_INFO_NAME="","",ROIV_INFO_NAME)</f>
        <v>ООО "Новая Энергетика"</v>
      </c>
      <c r="G2" s="2130" t="s">
        <v>28</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4435" customFormat="1" customHeight="1" ht="5.25" hidden="1">
      <c r="A3" s="2039"/>
      <c r="D3" s="2291"/>
      <c r="F3" s="646" t="s">
        <v>84</v>
      </c>
      <c r="G3" s="2133" t="s">
        <v>85</v>
      </c>
      <c r="H3" s="2291"/>
      <c r="I3" s="2291"/>
      <c r="J3" s="2291"/>
      <c r="K3" s="2291"/>
      <c r="L3" s="625" t="s">
        <v>86</v>
      </c>
      <c r="M3" s="646" t="s">
        <v>84</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4450"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4450"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4450"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4450" customFormat="1" customHeight="1" ht="14.699999999999998">
      <c r="A7" s="2029"/>
      <c r="B7" s="1764"/>
      <c r="C7" s="2029"/>
      <c r="D7" s="1913"/>
      <c r="E7" s="2499" t="s">
        <v>305</v>
      </c>
      <c r="F7" s="2500"/>
      <c r="G7" s="2500"/>
      <c r="H7" s="2500"/>
      <c r="I7" s="2500"/>
      <c r="J7" s="2500"/>
      <c r="K7" s="2500"/>
      <c r="L7" s="2872" t="s">
        <v>306</v>
      </c>
      <c r="M7" s="2022"/>
      <c r="N7" s="2022"/>
      <c r="O7" s="2022"/>
      <c r="P7" s="2022"/>
      <c r="Q7" s="2022"/>
      <c r="R7" s="2022"/>
      <c r="S7" s="623"/>
      <c r="T7" s="623"/>
      <c r="U7" s="623"/>
      <c r="V7" s="623"/>
      <c r="IW7" s="2007">
        <v>14</v>
      </c>
    </row>
    <row s="24450" customFormat="1" customHeight="1" ht="67.2">
      <c r="A8" s="2029"/>
      <c r="B8" s="1764"/>
      <c r="C8" s="2029"/>
      <c r="D8" s="1913"/>
      <c r="E8" s="2876" t="s">
        <v>89</v>
      </c>
      <c r="F8" s="2876" t="s">
        <v>1879</v>
      </c>
      <c r="G8" s="2878" t="s">
        <v>1880</v>
      </c>
      <c r="H8" s="2879"/>
      <c r="I8" s="2880"/>
      <c r="J8" s="2876" t="s">
        <v>1881</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4450" customFormat="1" customHeight="1" ht="29.25">
      <c r="A9" s="2029"/>
      <c r="B9" s="1764"/>
      <c r="C9" s="2029"/>
      <c r="D9" s="1913"/>
      <c r="E9" s="2877"/>
      <c r="F9" s="2877"/>
      <c r="G9" s="2292" t="s">
        <v>1875</v>
      </c>
      <c r="H9" s="2292" t="s">
        <v>1876</v>
      </c>
      <c r="I9" s="2292" t="s">
        <v>1877</v>
      </c>
      <c r="J9" s="2877"/>
      <c r="K9" s="2877"/>
      <c r="L9" s="2873"/>
      <c r="M9" s="2022"/>
      <c r="N9" s="2022"/>
      <c r="O9" s="2022"/>
      <c r="P9" s="2022"/>
      <c r="Q9" s="2022"/>
      <c r="R9" s="2022"/>
      <c r="S9" s="623"/>
      <c r="T9" s="623"/>
      <c r="U9" s="623"/>
      <c r="V9" s="623"/>
      <c r="IW9" s="2007">
        <v>28</v>
      </c>
    </row>
    <row s="24495" customFormat="1" customHeight="1" ht="1.05">
      <c r="A10" s="2497"/>
      <c r="B10" s="1764">
        <v>1</v>
      </c>
      <c r="C10" s="1764"/>
      <c r="D10" s="1198"/>
      <c r="E10" s="1193">
        <v>0</v>
      </c>
      <c r="F10" s="2289" t="str">
        <f>IF(ROIV_INFO_NAME="","",ROIV_INFO_NAME)</f>
        <v>ООО "Новая Энергетика"</v>
      </c>
      <c r="G10" s="2131" t="s">
        <v>28</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4495" customFormat="1" customHeight="1" ht="15.75">
      <c r="A11" s="2497"/>
      <c r="B11" s="1764"/>
      <c r="C11" s="810"/>
      <c r="D11" s="1199"/>
      <c r="E11" s="819"/>
      <c r="F11" s="1049" t="s">
        <v>1878</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4450"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4450"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4450"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83</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CF45-C526-6D9B-F087-DA38F98BF3D6}" mc:Ignorable="x14ac xr xr2 xr3">
  <dimension ref="A1:Q19"/>
  <sheetViews>
    <sheetView topLeftCell="A1" showGridLines="0" zoomScale="90" workbookViewId="0">
      <selection activeCell="A1" sqref="A1"/>
    </sheetView>
  </sheetViews>
  <sheetFormatPr defaultColWidth="9.140625" customHeight="1" defaultRowHeight="14.25"/>
  <cols>
    <col min="1" max="1" style="24354" width="9.140625" hidden="1"/>
    <col min="2" max="2" style="24434" width="9.140625" hidden="1"/>
    <col min="3" max="3" style="24354" width="3.7109375" hidden="1" customWidth="1"/>
    <col min="4" max="4" style="24523" width="3.00390625" customWidth="1"/>
    <col min="5" max="5" style="24354" width="6.00390625" customWidth="1"/>
    <col min="6" max="6" style="24354" width="27.00390625" customWidth="1"/>
    <col min="7" max="7" style="24354" width="29.00390625" customWidth="1"/>
    <col min="8" max="8" style="24354" width="25.00390625" customWidth="1"/>
    <col min="9" max="9" style="24354" width="5.00390625" customWidth="1"/>
    <col min="10" max="10" style="24354" width="6.00390625" customWidth="1"/>
    <col min="11" max="11" style="24354" width="41.00390625" customWidth="1"/>
    <col min="12" max="12" style="24354" width="42.00390625" customWidth="1"/>
    <col min="13" max="13" style="24354" width="41.00390625" customWidth="1"/>
    <col min="14" max="14" style="24354" width="89.00390625" customWidth="1"/>
    <col min="15" max="15" style="24524" width="3.00390625" customWidth="1"/>
    <col min="16" max="16" style="24524" width="8.00390625" customWidth="1"/>
    <col min="17" max="17" style="24354" width="9.140625" hidden="1"/>
  </cols>
  <sheetData>
    <row customHeight="1" ht="22.5" hidden="1">
      <c r="Q1" s="1553" t="s">
        <v>14</v>
      </c>
    </row>
    <row s="24495" customFormat="1" customHeight="1" ht="22.5" hidden="1">
      <c r="A2" s="894"/>
      <c r="B2" s="1558">
        <v>1</v>
      </c>
      <c r="C2" s="1558"/>
      <c r="D2" s="2326" t="s">
        <v>430</v>
      </c>
      <c r="E2" s="2525">
        <v>1</v>
      </c>
      <c r="F2" s="2701" t="str">
        <f>IF(region_name="","",region_name)</f>
        <v>Приморский край</v>
      </c>
      <c r="G2" s="2881"/>
      <c r="H2" s="2882"/>
      <c r="I2" s="872"/>
      <c r="J2" s="2308">
        <v>1</v>
      </c>
      <c r="K2" s="2310"/>
      <c r="L2" s="2310"/>
      <c r="M2" s="2310"/>
      <c r="N2" s="890"/>
      <c r="O2" s="1933"/>
      <c r="P2" s="909"/>
      <c r="Q2" s="821">
        <v>0</v>
      </c>
    </row>
    <row s="24495" customFormat="1" customHeight="1" ht="22.5" hidden="1">
      <c r="A3" s="1229"/>
      <c r="B3" s="1558"/>
      <c r="C3" s="1558"/>
      <c r="D3" s="1199"/>
      <c r="E3" s="2525"/>
      <c r="F3" s="2701"/>
      <c r="G3" s="2881"/>
      <c r="H3" s="2883"/>
      <c r="I3" s="819"/>
      <c r="J3" s="1898"/>
      <c r="K3" s="1898" t="s">
        <v>1882</v>
      </c>
      <c r="L3" s="1941"/>
      <c r="M3" s="2318"/>
      <c r="N3" s="2311"/>
      <c r="O3" s="1933"/>
      <c r="P3" s="909"/>
      <c r="Q3" s="821">
        <v>0</v>
      </c>
    </row>
    <row s="24435" customFormat="1" customHeight="1" ht="5.25" hidden="1">
      <c r="A4" s="894"/>
      <c r="D4" s="892"/>
      <c r="F4" s="645" t="s">
        <v>84</v>
      </c>
      <c r="G4" s="892" t="s">
        <v>85</v>
      </c>
      <c r="H4" s="892"/>
      <c r="I4" s="2321"/>
      <c r="J4" s="1942"/>
      <c r="K4" s="2309"/>
      <c r="L4" s="2309"/>
      <c r="M4" s="2309"/>
      <c r="N4" s="2305"/>
      <c r="O4" s="645" t="s">
        <v>84</v>
      </c>
      <c r="P4" s="645"/>
      <c r="Q4" s="909">
        <v>0</v>
      </c>
    </row>
    <row s="24495" customFormat="1" customHeight="1" ht="22.5" hidden="1">
      <c r="A5" s="2039"/>
      <c r="B5" s="1764">
        <v>1</v>
      </c>
      <c r="C5" s="1764"/>
      <c r="D5" s="1199"/>
      <c r="E5" s="2311"/>
      <c r="F5" s="2311"/>
      <c r="G5" s="2311"/>
      <c r="H5" s="2322"/>
      <c r="I5" s="2327" t="s">
        <v>430</v>
      </c>
      <c r="J5" s="2320">
        <v>1</v>
      </c>
      <c r="K5" s="2310"/>
      <c r="L5" s="2310"/>
      <c r="M5" s="2310"/>
      <c r="N5" s="890"/>
      <c r="O5" s="1933"/>
      <c r="P5" s="2034"/>
      <c r="Q5" s="1022">
        <v>0</v>
      </c>
    </row>
    <row s="24450" customFormat="1" customHeight="1" ht="14.699999999999998">
      <c r="A6" s="1553"/>
      <c r="B6" s="1558"/>
      <c r="C6" s="1553"/>
      <c r="D6" s="1893"/>
      <c r="E6" s="907"/>
      <c r="F6" s="907"/>
      <c r="G6" s="907"/>
      <c r="H6" s="907"/>
      <c r="I6" s="907"/>
      <c r="J6" s="907"/>
      <c r="K6" s="907"/>
      <c r="L6" s="907"/>
      <c r="M6" s="907"/>
      <c r="N6" s="2033"/>
      <c r="O6" s="645"/>
      <c r="P6" s="898"/>
      <c r="Q6" s="905">
        <v>14</v>
      </c>
    </row>
    <row s="24450"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4450" customFormat="1" customHeight="1" ht="14.699999999999998">
      <c r="A8" s="1553"/>
      <c r="B8" s="1558"/>
      <c r="C8" s="1553"/>
      <c r="D8" s="1893"/>
      <c r="E8" s="907"/>
      <c r="F8" s="565"/>
      <c r="G8" s="565"/>
      <c r="H8" s="565"/>
      <c r="I8" s="565"/>
      <c r="J8" s="565"/>
      <c r="K8" s="565"/>
      <c r="L8" s="565"/>
      <c r="M8" s="565"/>
      <c r="N8" s="1014"/>
      <c r="O8" s="898"/>
      <c r="P8" s="898"/>
      <c r="Q8" s="905">
        <v>14</v>
      </c>
    </row>
    <row s="27401" customFormat="1" customHeight="1" ht="14.25" hidden="1">
      <c r="A9" s="1866"/>
      <c r="B9" s="1876"/>
      <c r="C9" s="1866"/>
      <c r="D9" s="1893"/>
      <c r="E9" s="2312"/>
      <c r="F9" s="2312"/>
      <c r="G9" s="2312"/>
      <c r="H9" s="2312"/>
      <c r="I9" s="2891"/>
      <c r="J9" s="2891"/>
      <c r="K9" s="2891"/>
      <c r="L9" s="2312"/>
      <c r="M9" s="2313"/>
      <c r="O9" s="1943"/>
      <c r="P9" s="1943"/>
      <c r="Q9" s="1944">
        <v>0</v>
      </c>
    </row>
    <row s="24450" customFormat="1" customHeight="1" ht="14.699999999999998">
      <c r="A10" s="1553"/>
      <c r="B10" s="1558"/>
      <c r="C10" s="1553"/>
      <c r="D10" s="1893"/>
      <c r="E10" s="2525" t="s">
        <v>305</v>
      </c>
      <c r="F10" s="2525"/>
      <c r="G10" s="2525"/>
      <c r="H10" s="2525"/>
      <c r="I10" s="2525"/>
      <c r="J10" s="2525"/>
      <c r="K10" s="2525"/>
      <c r="L10" s="2525"/>
      <c r="M10" s="2499"/>
      <c r="N10" s="2876" t="s">
        <v>306</v>
      </c>
      <c r="O10" s="898"/>
      <c r="P10" s="898"/>
      <c r="Q10" s="905">
        <v>14</v>
      </c>
    </row>
    <row s="24450" customFormat="1" customHeight="1" ht="44.25">
      <c r="A11" s="2029"/>
      <c r="B11" s="1764"/>
      <c r="C11" s="2029"/>
      <c r="D11" s="1913"/>
      <c r="E11" s="2890" t="s">
        <v>89</v>
      </c>
      <c r="F11" s="2890" t="s">
        <v>309</v>
      </c>
      <c r="G11" s="2890" t="s">
        <v>1883</v>
      </c>
      <c r="H11" s="2890"/>
      <c r="I11" s="2890" t="s">
        <v>1884</v>
      </c>
      <c r="J11" s="2890"/>
      <c r="K11" s="2890"/>
      <c r="L11" s="2890" t="s">
        <v>1885</v>
      </c>
      <c r="M11" s="2878" t="s">
        <v>1886</v>
      </c>
      <c r="N11" s="2889"/>
      <c r="O11" s="2022"/>
      <c r="P11" s="2022"/>
      <c r="Q11" s="2007">
        <v>42</v>
      </c>
    </row>
    <row s="24450" customFormat="1" customHeight="1" ht="29.25">
      <c r="A12" s="1553"/>
      <c r="B12" s="1558"/>
      <c r="C12" s="1553"/>
      <c r="D12" s="1893"/>
      <c r="E12" s="2876"/>
      <c r="F12" s="2890"/>
      <c r="G12" s="2307" t="s">
        <v>1887</v>
      </c>
      <c r="H12" s="2307" t="s">
        <v>313</v>
      </c>
      <c r="I12" s="2890"/>
      <c r="J12" s="2890"/>
      <c r="K12" s="2890"/>
      <c r="L12" s="2890"/>
      <c r="M12" s="2878"/>
      <c r="N12" s="2877"/>
      <c r="O12" s="898"/>
      <c r="P12" s="898"/>
      <c r="Q12" s="905">
        <v>28</v>
      </c>
    </row>
    <row s="24495" customFormat="1" customHeight="1" ht="23.25">
      <c r="A13" s="2497">
        <v>26379339</v>
      </c>
      <c r="B13" s="1558">
        <v>1</v>
      </c>
      <c r="C13" s="1558"/>
      <c r="D13" s="1199"/>
      <c r="E13" s="2525">
        <v>1</v>
      </c>
      <c r="F13" s="2884" t="str">
        <f>IF(region_name="","",region_name)</f>
        <v>Приморский край</v>
      </c>
      <c r="G13" s="2885"/>
      <c r="H13" s="2892"/>
      <c r="I13" s="872"/>
      <c r="J13" s="2303">
        <v>1</v>
      </c>
      <c r="K13" s="2316"/>
      <c r="L13" s="2317"/>
      <c r="M13" s="2317"/>
      <c r="N13" s="2886" t="s">
        <v>1888</v>
      </c>
      <c r="O13" s="1933"/>
      <c r="P13" s="909"/>
      <c r="Q13" s="821">
        <v>22</v>
      </c>
    </row>
    <row s="24495" customFormat="1" customHeight="1" ht="23.25">
      <c r="A14" s="2497"/>
      <c r="B14" s="1558"/>
      <c r="C14" s="1558"/>
      <c r="D14" s="1199"/>
      <c r="E14" s="2525"/>
      <c r="F14" s="2884"/>
      <c r="G14" s="2885"/>
      <c r="H14" s="2893"/>
      <c r="I14" s="819"/>
      <c r="J14" s="1898"/>
      <c r="K14" s="1898" t="s">
        <v>1882</v>
      </c>
      <c r="L14" s="1941"/>
      <c r="M14" s="1941"/>
      <c r="N14" s="2887"/>
      <c r="O14" s="1933"/>
      <c r="P14" s="909"/>
      <c r="Q14" s="821">
        <v>22</v>
      </c>
    </row>
    <row s="24495" customFormat="1" customHeight="1" ht="23.25">
      <c r="A15" s="2497"/>
      <c r="B15" s="1558"/>
      <c r="C15" s="810"/>
      <c r="D15" s="1199"/>
      <c r="E15" s="819"/>
      <c r="F15" s="1898" t="s">
        <v>1874</v>
      </c>
      <c r="G15" s="1940"/>
      <c r="H15" s="1940"/>
      <c r="I15" s="585"/>
      <c r="J15" s="585"/>
      <c r="K15" s="585"/>
      <c r="L15" s="585"/>
      <c r="M15" s="585"/>
      <c r="N15" s="2887"/>
      <c r="O15" s="1934"/>
      <c r="P15" s="909"/>
      <c r="Q15" s="821">
        <v>22</v>
      </c>
    </row>
    <row s="24450" customFormat="1" customHeight="1" ht="22.049999999999997">
      <c r="A16" s="1553"/>
      <c r="B16" s="1558"/>
      <c r="C16" s="1553"/>
      <c r="D16" s="849"/>
      <c r="E16" s="578"/>
      <c r="F16" s="578"/>
      <c r="G16" s="578"/>
      <c r="H16" s="578"/>
      <c r="I16" s="578"/>
      <c r="J16" s="578"/>
      <c r="K16" s="578"/>
      <c r="L16" s="578"/>
      <c r="M16" s="907"/>
      <c r="N16" s="2033"/>
      <c r="O16" s="898"/>
      <c r="P16" s="898"/>
      <c r="Q16" s="905">
        <v>21</v>
      </c>
    </row>
    <row s="24450"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4450"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83</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2ED39-4384-351A-8848-E2714D940E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4872" width="9.140625" hidden="1"/>
    <col min="2" max="2" style="27130" width="9.140625" hidden="1"/>
    <col min="3" max="3" style="27441" width="3.00390625" customWidth="1"/>
    <col min="4" max="4" style="27130" width="6.00390625" customWidth="1"/>
    <col min="5" max="5" style="27130" width="22.00390625" customWidth="1"/>
    <col min="6" max="6" style="27130" width="15.00390625" customWidth="1"/>
    <col min="7" max="7" style="27130" width="14.00390625" customWidth="1"/>
    <col min="8" max="8" style="27130" width="47.00390625" customWidth="1"/>
    <col min="9" max="9" style="27130" width="115.00390625" customWidth="1"/>
    <col min="10" max="10" style="27130" width="3.00390625" customWidth="1"/>
    <col min="11" max="12" style="27130" width="8.00390625" customWidth="1"/>
    <col min="13" max="13" style="27130" width="9.140625" hidden="1"/>
  </cols>
  <sheetData>
    <row customHeight="1" ht="14.25" hidden="1">
      <c r="M1" s="519" t="s">
        <v>14</v>
      </c>
    </row>
    <row customHeight="1" ht="14.25" hidden="1">
      <c r="M2" s="519">
        <v>0</v>
      </c>
    </row>
    <row customHeight="1" ht="14.25" hidden="1">
      <c r="M3" s="519">
        <v>0</v>
      </c>
    </row>
    <row customHeight="1" ht="3">
      <c r="M4" s="519">
        <v>3</v>
      </c>
    </row>
    <row s="24354" customFormat="1" customHeight="1" ht="31.5">
      <c r="A5" s="513"/>
      <c r="C5" s="488"/>
      <c r="D5" s="2498" t="s">
        <v>1889</v>
      </c>
      <c r="E5" s="2498"/>
      <c r="F5" s="2498"/>
      <c r="G5" s="2498"/>
      <c r="H5" s="2498"/>
      <c r="I5" s="663"/>
      <c r="M5" s="481">
        <v>30</v>
      </c>
    </row>
    <row customHeight="1" ht="3" hidden="1">
      <c r="D6" s="520"/>
      <c r="E6" s="520"/>
      <c r="F6" s="520"/>
      <c r="G6" s="520"/>
      <c r="H6" s="520"/>
      <c r="I6" s="520"/>
      <c r="M6" s="519">
        <v>0</v>
      </c>
    </row>
    <row s="24872" customFormat="1" customHeight="1" ht="14.699999999999998">
      <c r="B7" s="517"/>
      <c r="C7" s="518"/>
      <c r="D7" s="521"/>
      <c r="E7" s="521"/>
      <c r="F7" s="521"/>
      <c r="G7" s="521"/>
      <c r="H7" s="1150"/>
      <c r="I7" s="521"/>
      <c r="J7" s="522"/>
      <c r="M7" s="516">
        <v>14</v>
      </c>
    </row>
    <row customHeight="1" ht="14.699999999999998">
      <c r="D8" s="2607" t="s">
        <v>305</v>
      </c>
      <c r="E8" s="2607"/>
      <c r="F8" s="2607"/>
      <c r="G8" s="2607"/>
      <c r="H8" s="2607"/>
      <c r="I8" s="2607" t="s">
        <v>306</v>
      </c>
      <c r="M8" s="519">
        <v>14</v>
      </c>
    </row>
    <row customHeight="1" ht="29.25">
      <c r="D9" s="2607" t="s">
        <v>89</v>
      </c>
      <c r="E9" s="2607" t="s">
        <v>1890</v>
      </c>
      <c r="F9" s="2607"/>
      <c r="G9" s="2607"/>
      <c r="H9" s="2607"/>
      <c r="I9" s="2607"/>
      <c r="M9" s="519">
        <v>28</v>
      </c>
    </row>
    <row customHeight="1" ht="24">
      <c r="D10" s="2607"/>
      <c r="E10" s="525" t="s">
        <v>1891</v>
      </c>
      <c r="F10" s="525" t="s">
        <v>1892</v>
      </c>
      <c r="G10" s="525" t="s">
        <v>1893</v>
      </c>
      <c r="H10" s="525" t="s">
        <v>395</v>
      </c>
      <c r="I10" s="2607"/>
      <c r="M10" s="519">
        <v>23</v>
      </c>
    </row>
    <row customHeight="1" ht="12" hidden="1">
      <c r="D11" s="485" t="s">
        <v>110</v>
      </c>
      <c r="E11" s="485" t="s">
        <v>92</v>
      </c>
      <c r="F11" s="485" t="s">
        <v>112</v>
      </c>
      <c r="G11" s="485" t="s">
        <v>93</v>
      </c>
      <c r="H11" s="485" t="s">
        <v>94</v>
      </c>
      <c r="I11" s="485" t="s">
        <v>113</v>
      </c>
      <c r="M11" s="519">
        <v>0</v>
      </c>
    </row>
    <row s="27130" customFormat="1" customHeight="1" ht="26.25">
      <c r="A12" s="543" t="s">
        <v>91</v>
      </c>
      <c r="B12" s="523" t="s">
        <v>28</v>
      </c>
      <c r="C12" s="524"/>
      <c r="D12" s="526" t="s">
        <v>110</v>
      </c>
      <c r="E12" s="779"/>
      <c r="F12" s="779"/>
      <c r="G12" s="2132" t="s">
        <v>28</v>
      </c>
      <c r="H12" s="780"/>
      <c r="I12" s="2567" t="s">
        <v>1894</v>
      </c>
      <c r="K12" s="670"/>
      <c r="L12" s="671"/>
      <c r="M12" s="515">
        <v>25</v>
      </c>
    </row>
    <row customHeight="1" ht="15.75">
      <c r="A13" s="519"/>
      <c r="B13" s="519"/>
      <c r="C13" s="519"/>
      <c r="D13" s="507"/>
      <c r="E13" s="528" t="s">
        <v>474</v>
      </c>
      <c r="F13" s="527"/>
      <c r="G13" s="527"/>
      <c r="H13" s="612"/>
      <c r="I13" s="2569"/>
      <c r="M13" s="519">
        <v>15</v>
      </c>
    </row>
    <row customHeight="1" ht="3">
      <c r="A14" s="519"/>
      <c r="B14" s="519"/>
      <c r="C14" s="519"/>
      <c r="M14" s="519">
        <v>3</v>
      </c>
    </row>
    <row customHeight="1" ht="29.25">
      <c r="E15" s="2894" t="s">
        <v>1895</v>
      </c>
      <c r="F15" s="2894"/>
      <c r="G15" s="2894"/>
      <c r="H15" s="2894"/>
      <c r="M15" s="519">
        <v>28</v>
      </c>
    </row>
    <row customHeight="1" ht="14.25" hidden="1">
      <c r="A16" s="516" t="s">
        <v>83</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F9FD3-9C61-8DAF-D911-66C8F5B6A0D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7460" width="9.140625" hidden="1"/>
    <col min="3" max="3" style="27461" width="3.00390625" customWidth="1"/>
    <col min="4" max="4" style="27460" width="6.00390625" customWidth="1"/>
    <col min="5" max="5" style="27460" width="94.00390625" customWidth="1"/>
    <col min="6" max="9" style="27460" width="8.00390625" customWidth="1"/>
    <col min="10" max="10" style="27460"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1896</v>
      </c>
      <c r="E7" s="2896"/>
      <c r="F7" s="665"/>
      <c r="J7" s="467">
        <v>22</v>
      </c>
    </row>
    <row customHeight="1" ht="3">
      <c r="C8" s="490"/>
      <c r="D8" s="468"/>
      <c r="E8" s="468"/>
      <c r="J8" s="467">
        <v>3</v>
      </c>
    </row>
    <row customHeight="1" ht="16.8">
      <c r="C9" s="490"/>
      <c r="D9" s="503" t="s">
        <v>89</v>
      </c>
      <c r="E9" s="658" t="s">
        <v>1897</v>
      </c>
      <c r="J9" s="467">
        <v>16</v>
      </c>
    </row>
    <row customHeight="1" ht="1.05">
      <c r="C10" s="490"/>
      <c r="D10" s="485"/>
      <c r="E10" s="485"/>
      <c r="J10" s="467">
        <v>1</v>
      </c>
    </row>
    <row customHeight="1" ht="11.25" hidden="1">
      <c r="C11" s="490"/>
      <c r="D11" s="548">
        <v>0</v>
      </c>
      <c r="E11" s="659"/>
      <c r="J11" s="467">
        <v>0</v>
      </c>
    </row>
    <row customHeight="1" ht="15.75">
      <c r="C12" s="534"/>
      <c r="D12" s="511">
        <v>1</v>
      </c>
      <c r="E12" s="9395" t="s">
        <v>1898</v>
      </c>
      <c r="J12" s="467">
        <v>15</v>
      </c>
    </row>
    <row customHeight="1" ht="12.75">
      <c r="C13" s="490"/>
      <c r="D13" s="660"/>
      <c r="E13" s="661" t="s">
        <v>1899</v>
      </c>
      <c r="J13" s="467">
        <v>12</v>
      </c>
    </row>
    <row customHeight="1" ht="3">
      <c r="J14" s="467">
        <v>3</v>
      </c>
    </row>
    <row customHeight="1" ht="23.25">
      <c r="C15" s="535"/>
      <c r="D15" s="2897" t="s">
        <v>1900</v>
      </c>
      <c r="E15" s="2897"/>
      <c r="F15" s="536"/>
      <c r="G15" s="536"/>
      <c r="H15" s="536"/>
      <c r="I15" s="536"/>
      <c r="J15" s="467">
        <v>22</v>
      </c>
    </row>
    <row customHeight="1" ht="14.25" hidden="1">
      <c r="A16" s="467" t="s">
        <v>83</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965C518C-A528-3BDD-FF62-157A0AB04871}"/>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1C162-BB0B-2433-5FDA-337EC8C5116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460" width="9.140625" hidden="1"/>
    <col min="3" max="3" style="27461" width="3.00390625" customWidth="1"/>
    <col min="4" max="4" style="27460" width="6.00390625" customWidth="1"/>
    <col min="5" max="5" style="27460" width="94.00390625" customWidth="1"/>
    <col min="6" max="12" style="27460" width="8.00390625" customWidth="1"/>
    <col min="13" max="13" style="27460"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1901</v>
      </c>
      <c r="E7" s="2498"/>
      <c r="F7" s="665"/>
      <c r="M7" s="467">
        <v>22</v>
      </c>
    </row>
    <row customHeight="1" ht="3">
      <c r="C8" s="490"/>
      <c r="D8" s="468"/>
      <c r="E8" s="468"/>
      <c r="M8" s="467">
        <v>3</v>
      </c>
    </row>
    <row customHeight="1" ht="16.8">
      <c r="C9" s="490"/>
      <c r="D9" s="503" t="s">
        <v>89</v>
      </c>
      <c r="E9" s="506" t="s">
        <v>292</v>
      </c>
      <c r="M9" s="467">
        <v>16</v>
      </c>
    </row>
    <row customHeight="1" ht="12.75">
      <c r="C10" s="490"/>
      <c r="D10" s="485" t="s">
        <v>110</v>
      </c>
      <c r="E10" s="485" t="s">
        <v>111</v>
      </c>
      <c r="M10" s="467">
        <v>12</v>
      </c>
    </row>
    <row customHeight="1" ht="15" hidden="1">
      <c r="C11" s="490"/>
      <c r="D11" s="511">
        <v>0</v>
      </c>
      <c r="E11" s="547"/>
      <c r="M11" s="467">
        <v>0</v>
      </c>
    </row>
    <row customHeight="1" ht="14.699999999999998">
      <c r="C12" s="490"/>
      <c r="D12" s="507"/>
      <c r="E12" s="505" t="s">
        <v>1899</v>
      </c>
      <c r="M12" s="467">
        <v>14</v>
      </c>
    </row>
    <row customHeight="1" ht="14.25" hidden="1">
      <c r="A13" s="467" t="s">
        <v>83</v>
      </c>
      <c r="B13" s="467">
        <v>0</v>
      </c>
      <c r="C13" s="489">
        <v>3</v>
      </c>
      <c r="D13" s="467">
        <v>6</v>
      </c>
      <c r="E13" s="467">
        <v>94</v>
      </c>
      <c r="F13" s="467">
        <v>8</v>
      </c>
      <c r="G13" s="467">
        <v>8</v>
      </c>
      <c r="H13" s="467">
        <v>8</v>
      </c>
      <c r="I13" s="467">
        <v>8</v>
      </c>
      <c r="J13" s="467">
        <v>8</v>
      </c>
      <c r="K13" s="467">
        <v>8</v>
      </c>
      <c r="L13" s="467">
        <v>8</v>
      </c>
      <c r="M13" s="46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7FD73-1A82-E029-8BD3-D97ECBB07B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495" width="1.7109375" customWidth="1"/>
    <col min="2" max="2" style="24495" width="34.57421875" customWidth="1"/>
    <col min="3" max="3" style="24495" width="85.00390625" customWidth="1"/>
    <col min="4" max="4" style="24495" width="17.00390625" customWidth="1"/>
    <col min="5" max="5" style="24495" width="8.00390625" customWidth="1"/>
    <col min="6" max="6" style="24495" width="9.140625" hidden="1"/>
  </cols>
  <sheetData>
    <row customHeight="1" ht="3">
      <c r="F1" s="487" t="s">
        <v>14</v>
      </c>
    </row>
    <row customHeight="1" ht="22.5">
      <c r="B2" s="3011" t="s">
        <v>1902</v>
      </c>
      <c r="C2" s="2898"/>
      <c r="D2" s="2898"/>
      <c r="E2" s="666"/>
      <c r="F2" s="487">
        <v>22</v>
      </c>
    </row>
    <row customHeight="1" ht="3">
      <c r="F3" s="487">
        <v>3</v>
      </c>
    </row>
    <row customHeight="1" ht="23.25">
      <c r="B4" s="3012" t="s">
        <v>1903</v>
      </c>
      <c r="C4" s="781" t="s">
        <v>1904</v>
      </c>
      <c r="D4" s="781" t="s">
        <v>1905</v>
      </c>
      <c r="F4" s="487">
        <v>22</v>
      </c>
    </row>
    <row customHeight="1" ht="11.25" hidden="1">
      <c r="A5" s="487" t="s">
        <v>83</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948A7-EFD9-6027-36D7-3D2DF4834C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495" width="26.57421875" customWidth="1"/>
    <col min="2" max="2" style="24495" width="10.00390625" customWidth="1"/>
    <col min="3" max="3" style="24495" width="9.140625"/>
    <col min="4" max="4" style="24495" width="11.140625" customWidth="1"/>
    <col min="5" max="5" style="24495" width="16.57421875" customWidth="1"/>
    <col min="6" max="6" style="24495" width="16.28125" customWidth="1"/>
    <col min="7" max="7" style="24495" width="19.140625" customWidth="1"/>
    <col min="8" max="11" style="24495" width="10.00390625" customWidth="1"/>
    <col min="12" max="12" style="24495" width="12.7109375" customWidth="1"/>
    <col min="13" max="13" style="24495" width="61.28125" customWidth="1"/>
    <col min="14" max="14" style="24495" width="10.00390625" customWidth="1"/>
    <col min="15" max="17" style="24495" width="23.7109375" customWidth="1"/>
    <col min="18" max="18" style="24495" width="11.7109375" customWidth="1"/>
    <col min="19" max="19" style="24495" width="8.57421875" customWidth="1"/>
    <col min="20" max="20" style="24495" width="11.7109375" customWidth="1"/>
    <col min="21" max="21" style="24495" width="8.57421875" customWidth="1"/>
    <col min="22" max="22" style="24495" width="4.7109375" customWidth="1"/>
    <col min="23" max="23" style="24495" width="115.7109375" customWidth="1"/>
    <col min="24" max="24" style="24495" width="115.28125" customWidth="1"/>
    <col min="25" max="27" style="24495" width="9.140625"/>
    <col min="28" max="28" style="24495" width="115.7109375" customWidth="1"/>
    <col min="29" max="29" style="24495" width="9.140625"/>
    <col min="30" max="90" style="24495" width="115.7109375" customWidth="1"/>
    <col min="91" max="184" style="24495" width="9.140625"/>
  </cols>
  <sheetData>
    <row r="2" s="27471" customFormat="1" customHeight="1" ht="17.25">
      <c r="A2" s="2213" t="s">
        <v>1906</v>
      </c>
    </row>
    <row r="4" s="27460" customFormat="1" customHeight="1" ht="15">
      <c r="C4" s="2214"/>
      <c r="D4" s="511"/>
      <c r="E4" s="775"/>
    </row>
    <row r="6" s="27471" customFormat="1" customHeight="1" ht="17.25">
      <c r="A6" s="2213" t="s">
        <v>1907</v>
      </c>
    </row>
    <row r="8" s="27460" customFormat="1" customHeight="1" ht="17.25">
      <c r="C8" s="2215"/>
      <c r="D8" s="511"/>
      <c r="E8" s="512"/>
    </row>
    <row r="11" s="27471" customFormat="1" customHeight="1" ht="17.25">
      <c r="A11" s="2213" t="s">
        <v>1908</v>
      </c>
    </row>
    <row r="13" s="24450" customFormat="1" customHeight="1" ht="15">
      <c r="A13" s="2615">
        <v>1</v>
      </c>
      <c r="B13" s="1558"/>
      <c r="C13" s="1199" t="s">
        <v>430</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4495"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4495" customFormat="1" customHeight="1" ht="15">
      <c r="A15" s="2615"/>
      <c r="B15" s="1558"/>
      <c r="C15" s="810"/>
      <c r="D15" s="1199"/>
      <c r="E15" s="819"/>
      <c r="F15" s="575"/>
      <c r="G15" s="813" t="s">
        <v>103</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7471" customFormat="1" customHeight="1" ht="17.25">
      <c r="A17" s="2213" t="s">
        <v>1909</v>
      </c>
    </row>
    <row r="19" s="24495" customFormat="1" customHeight="1" ht="15">
      <c r="A19" s="2280"/>
      <c r="B19" s="1764">
        <v>1</v>
      </c>
      <c r="C19" s="1764"/>
      <c r="D19" s="1198" t="s">
        <v>430</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4495" customFormat="1" customHeight="1" ht="15">
      <c r="A21" s="2213" t="s">
        <v>1910</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4495" customFormat="1" customHeight="1" ht="15">
      <c r="U22" s="583"/>
    </row>
    <row s="24561" customFormat="1" customHeight="1" ht="15">
      <c r="A23" s="821"/>
      <c r="B23" s="821"/>
      <c r="C23" s="2126" t="s">
        <v>430</v>
      </c>
      <c r="D23" s="2506" t="s">
        <v>110</v>
      </c>
      <c r="E23" s="2507"/>
      <c r="F23" s="2505" t="s">
        <v>19</v>
      </c>
      <c r="G23" s="2955"/>
      <c r="H23" s="2525">
        <v>1</v>
      </c>
      <c r="I23" s="2957" t="str">
        <f>IF(U23="","",INDEX(TERRITORY_MR_LIST,MATCH(U23,TERRITORY_LIST_ID,0)))</f>
        <v/>
      </c>
      <c r="J23" s="2505" t="s">
        <v>19</v>
      </c>
      <c r="K23" s="1230"/>
      <c r="L23" s="2180" t="s">
        <v>110</v>
      </c>
      <c r="M23" s="1001"/>
      <c r="N23" s="1002"/>
      <c r="O23" s="1002"/>
      <c r="P23" s="1002"/>
      <c r="Q23" s="1002"/>
      <c r="R23" s="1002"/>
      <c r="S23" s="1002"/>
      <c r="T23" s="1002"/>
      <c r="U23" s="1003"/>
      <c r="V23" s="1002"/>
      <c r="W23" s="1002"/>
      <c r="X23" s="993"/>
      <c r="Y23" s="993" t="s">
        <v>119</v>
      </c>
      <c r="Z23" s="993">
        <v>1705000</v>
      </c>
      <c r="AA23" s="993"/>
      <c r="AB23" s="993"/>
      <c r="AC23" s="993"/>
      <c r="AD23" s="993"/>
      <c r="AE23" s="993"/>
      <c r="AF23" s="993"/>
      <c r="AG23" s="993"/>
      <c r="AH23" s="993"/>
      <c r="AI23" s="993"/>
      <c r="AJ23" s="993"/>
      <c r="AK23" s="993"/>
      <c r="AL23" s="993"/>
    </row>
    <row s="24561" customFormat="1" customHeight="1" ht="15">
      <c r="A24" s="821"/>
      <c r="B24" s="821"/>
      <c r="C24" s="574"/>
      <c r="D24" s="2506"/>
      <c r="E24" s="2508"/>
      <c r="F24" s="2505"/>
      <c r="G24" s="2956"/>
      <c r="H24" s="2525"/>
      <c r="I24" s="2958"/>
      <c r="J24" s="2505"/>
      <c r="K24" s="819"/>
      <c r="L24" s="575"/>
      <c r="M24" s="1005" t="s">
        <v>120</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4561" customFormat="1" customHeight="1" ht="15">
      <c r="A25" s="821"/>
      <c r="B25" s="821"/>
      <c r="C25" s="574"/>
      <c r="D25" s="2506"/>
      <c r="E25" s="2509"/>
      <c r="F25" s="2505"/>
      <c r="G25" s="819"/>
      <c r="H25" s="575"/>
      <c r="I25" s="978" t="s">
        <v>121</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4495" customFormat="1" customHeight="1" ht="15">
      <c r="U26" s="583"/>
    </row>
    <row s="24495" customFormat="1" customHeight="1" ht="15">
      <c r="A27" s="2213" t="s">
        <v>1911</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4495" customFormat="1" customHeight="1" ht="15">
      <c r="U28" s="583"/>
    </row>
    <row s="24561" customFormat="1" customHeight="1" ht="15">
      <c r="A29" s="821"/>
      <c r="B29" s="821"/>
      <c r="C29" s="574"/>
      <c r="D29" s="2219"/>
      <c r="E29" s="2219"/>
      <c r="F29" s="2219"/>
      <c r="G29" s="2959" t="s">
        <v>430</v>
      </c>
      <c r="H29" s="2501">
        <v>1</v>
      </c>
      <c r="I29" s="2960" t="str">
        <f>IF(U29="","",INDEX(TERRITORY_MR_LIST,MATCH(U29,TERRITORY_LIST_ID,0)))</f>
        <v/>
      </c>
      <c r="J29" s="2505" t="s">
        <v>19</v>
      </c>
      <c r="K29" s="1230"/>
      <c r="L29" s="2180" t="s">
        <v>110</v>
      </c>
      <c r="M29" s="1001"/>
      <c r="N29" s="1002"/>
      <c r="O29" s="1002"/>
      <c r="P29" s="1002"/>
      <c r="Q29" s="1002"/>
      <c r="R29" s="1002"/>
      <c r="S29" s="1002"/>
      <c r="T29" s="1002"/>
      <c r="U29" s="1003"/>
      <c r="V29" s="1002"/>
      <c r="W29" s="1002"/>
      <c r="X29" s="993"/>
      <c r="Y29" s="993" t="s">
        <v>119</v>
      </c>
      <c r="Z29" s="993">
        <v>1705000</v>
      </c>
      <c r="AA29" s="993"/>
      <c r="AB29" s="993"/>
      <c r="AC29" s="993"/>
      <c r="AD29" s="993"/>
      <c r="AE29" s="993"/>
      <c r="AF29" s="993"/>
      <c r="AG29" s="993"/>
      <c r="AH29" s="993"/>
      <c r="AI29" s="993"/>
      <c r="AJ29" s="993"/>
      <c r="AK29" s="993"/>
      <c r="AL29" s="993"/>
    </row>
    <row s="24561" customFormat="1" customHeight="1" ht="15">
      <c r="A30" s="821"/>
      <c r="B30" s="821"/>
      <c r="C30" s="574"/>
      <c r="D30" s="2219"/>
      <c r="E30" s="2219"/>
      <c r="F30" s="2219"/>
      <c r="G30" s="2959"/>
      <c r="H30" s="2501"/>
      <c r="I30" s="2960"/>
      <c r="J30" s="2505"/>
      <c r="K30" s="819"/>
      <c r="L30" s="575"/>
      <c r="M30" s="1005" t="s">
        <v>120</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4495" customFormat="1" customHeight="1" ht="15">
      <c r="U31" s="583"/>
    </row>
    <row s="24495" customFormat="1" customHeight="1" ht="15">
      <c r="A32" s="2213" t="s">
        <v>1912</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4495" customFormat="1" customHeight="1" ht="15">
      <c r="U33" s="583"/>
    </row>
    <row s="24561" customFormat="1" customHeight="1" ht="15">
      <c r="A34" s="821"/>
      <c r="B34" s="821"/>
      <c r="C34" s="574"/>
      <c r="D34" s="2219"/>
      <c r="E34" s="2219"/>
      <c r="F34" s="2219"/>
      <c r="G34" s="2219"/>
      <c r="H34" s="2219"/>
      <c r="I34" s="2219"/>
      <c r="J34" s="2219"/>
      <c r="K34" s="2197" t="s">
        <v>430</v>
      </c>
      <c r="L34" s="2127" t="s">
        <v>110</v>
      </c>
      <c r="M34" s="1209"/>
      <c r="N34" s="1210"/>
      <c r="O34" s="1002"/>
      <c r="P34" s="1002"/>
      <c r="Q34" s="1002"/>
      <c r="R34" s="1002"/>
      <c r="S34" s="1002"/>
      <c r="T34" s="1002"/>
      <c r="U34" s="1003"/>
      <c r="V34" s="1002"/>
      <c r="W34" s="1002"/>
      <c r="X34" s="993"/>
      <c r="Y34" s="993" t="s">
        <v>119</v>
      </c>
      <c r="Z34" s="993">
        <v>1705000</v>
      </c>
      <c r="AA34" s="993"/>
      <c r="AB34" s="993"/>
      <c r="AC34" s="993"/>
      <c r="AD34" s="993"/>
      <c r="AE34" s="993"/>
      <c r="AF34" s="993"/>
      <c r="AG34" s="993"/>
      <c r="AH34" s="993"/>
      <c r="AI34" s="993"/>
      <c r="AJ34" s="993"/>
      <c r="AK34" s="993"/>
      <c r="AL34" s="993"/>
    </row>
    <row s="24495" customFormat="1" customHeight="1" ht="15">
      <c r="U35" s="583"/>
    </row>
    <row s="24495" customFormat="1" customHeight="1" ht="15">
      <c r="U36" s="583"/>
    </row>
    <row s="27471" customFormat="1" customHeight="1" ht="11.25">
      <c r="A37" s="2213" t="s">
        <v>1913</v>
      </c>
    </row>
    <row customHeight="1" ht="11.25"/>
    <row s="24961" customFormat="1" customHeight="1" ht="22.5">
      <c r="A39" s="2189"/>
      <c r="B39" s="855"/>
      <c r="C39" s="1257"/>
      <c r="D39" s="838"/>
      <c r="E39" s="1258"/>
      <c r="F39" s="2210"/>
      <c r="G39" s="2220"/>
      <c r="H39" s="873"/>
    </row>
    <row customHeight="1" ht="11.25"/>
    <row s="27471" customFormat="1" customHeight="1" ht="11.25">
      <c r="A41" s="2213" t="s">
        <v>1914</v>
      </c>
    </row>
    <row customHeight="1" ht="11.25"/>
    <row s="24961" customFormat="1" customHeight="1" ht="22.5">
      <c r="A43" s="855"/>
      <c r="B43" s="855"/>
      <c r="C43" s="855"/>
      <c r="D43" s="838"/>
      <c r="E43" s="1258"/>
      <c r="F43" s="1259"/>
      <c r="G43" s="2220"/>
      <c r="H43" s="873"/>
    </row>
    <row customHeight="1" ht="11.25"/>
    <row s="27471" customFormat="1" customHeight="1" ht="11.25">
      <c r="A45" s="2213" t="s">
        <v>1915</v>
      </c>
    </row>
    <row customHeight="1" ht="11.25"/>
    <row s="24961" customFormat="1" customHeight="1" ht="24">
      <c r="A47" s="2600" t="s">
        <v>318</v>
      </c>
      <c r="B47" s="900"/>
      <c r="C47" s="2611"/>
      <c r="D47" s="843" t="str">
        <f>A47</f>
        <v>5.1</v>
      </c>
      <c r="E47" s="840" t="s">
        <v>319</v>
      </c>
      <c r="F47" s="2374" t="s">
        <v>311</v>
      </c>
      <c r="G47" s="842" t="s">
        <v>320</v>
      </c>
      <c r="H47" s="873"/>
      <c r="I47" s="1250"/>
    </row>
    <row s="24961" customFormat="1" customHeight="1" ht="22.5">
      <c r="A48" s="2600"/>
      <c r="B48" s="900"/>
      <c r="C48" s="2611"/>
      <c r="D48" s="838" t="str">
        <f>D47&amp;".1"</f>
        <v>5.1.1</v>
      </c>
      <c r="E48" s="837" t="s">
        <v>321</v>
      </c>
      <c r="F48" s="2375" t="s">
        <v>28</v>
      </c>
      <c r="G48" s="872"/>
      <c r="H48" s="873"/>
      <c r="I48" s="1250"/>
    </row>
    <row s="24961" customFormat="1" customHeight="1" ht="22.5">
      <c r="A49" s="2600"/>
      <c r="B49" s="900"/>
      <c r="C49" s="2611"/>
      <c r="D49" s="838" t="str">
        <f>D47&amp;".2"</f>
        <v>5.1.2</v>
      </c>
      <c r="E49" s="837" t="s">
        <v>322</v>
      </c>
      <c r="F49" s="2130" t="s">
        <v>28</v>
      </c>
      <c r="G49" s="842" t="s">
        <v>323</v>
      </c>
      <c r="H49" s="873"/>
      <c r="I49" s="1250"/>
    </row>
    <row s="24961" customFormat="1" customHeight="1" ht="22.5">
      <c r="A50" s="2600"/>
      <c r="B50" s="900"/>
      <c r="C50" s="2611"/>
      <c r="D50" s="838" t="str">
        <f>D47&amp;".3"</f>
        <v>5.1.3</v>
      </c>
      <c r="E50" s="837" t="s">
        <v>324</v>
      </c>
      <c r="F50" s="2375" t="s">
        <v>28</v>
      </c>
      <c r="G50" s="872"/>
      <c r="H50" s="873"/>
      <c r="I50" s="1250"/>
    </row>
    <row s="24961" customFormat="1" customHeight="1" ht="22.5">
      <c r="A51" s="2600"/>
      <c r="B51" s="900"/>
      <c r="C51" s="2611"/>
      <c r="D51" s="838" t="str">
        <f>D47&amp;".4"</f>
        <v>5.1.4</v>
      </c>
      <c r="E51" s="837" t="s">
        <v>325</v>
      </c>
      <c r="F51" s="2375" t="s">
        <v>28</v>
      </c>
      <c r="G51" s="842" t="s">
        <v>326</v>
      </c>
      <c r="H51" s="873"/>
      <c r="I51" s="1250"/>
    </row>
    <row r="54" s="27471" customFormat="1" customHeight="1" ht="17.25">
      <c r="A54" s="2213" t="s">
        <v>1916</v>
      </c>
    </row>
    <row r="56" s="24329" customFormat="1" customHeight="1" ht="18.75">
      <c r="A56" s="487"/>
      <c r="B56" s="2221"/>
      <c r="C56" s="2221"/>
      <c r="D56" s="2222"/>
      <c r="E56" s="2207"/>
      <c r="F56" s="1266">
        <v>13</v>
      </c>
      <c r="G56" s="1265"/>
      <c r="H56" s="1191"/>
      <c r="I56" s="1189"/>
      <c r="J56" s="918" t="s">
        <v>67</v>
      </c>
      <c r="K56" s="2223" t="s">
        <v>28</v>
      </c>
      <c r="L56" s="487"/>
      <c r="M56" s="2034"/>
      <c r="N56" s="2034"/>
      <c r="O56" s="2034"/>
      <c r="P56" s="914" t="s">
        <v>397</v>
      </c>
      <c r="Q56" s="914" t="s">
        <v>398</v>
      </c>
      <c r="R56" s="915" t="s">
        <v>399</v>
      </c>
      <c r="S56" s="2034" t="s">
        <v>400</v>
      </c>
      <c r="T56" s="2034"/>
      <c r="U56" s="2034"/>
      <c r="V56" s="2034"/>
    </row>
    <row r="58" s="27471" customFormat="1" customHeight="1" ht="11.25">
      <c r="A58" s="2213" t="s">
        <v>1917</v>
      </c>
    </row>
    <row r="60" s="24354" customFormat="1" customHeight="1" ht="14.25">
      <c r="C60" s="2086"/>
      <c r="D60" s="2267"/>
      <c r="E60" s="2175" t="s">
        <v>28</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386</v>
      </c>
      <c r="AQ60" s="2022" t="s">
        <v>386</v>
      </c>
      <c r="AR60" s="2034"/>
      <c r="AS60" s="2034"/>
    </row>
    <row r="62" s="27471" customFormat="1" customHeight="1" ht="11.25">
      <c r="A62" s="2213" t="s">
        <v>1918</v>
      </c>
    </row>
    <row r="64" s="27130" customFormat="1" customHeight="1" ht="15">
      <c r="A64" s="543" t="s">
        <v>91</v>
      </c>
      <c r="B64" s="523" t="s">
        <v>28</v>
      </c>
      <c r="C64" s="2224"/>
      <c r="D64" s="526"/>
      <c r="E64" s="779"/>
      <c r="F64" s="779"/>
      <c r="G64" s="2201"/>
      <c r="H64" s="2223"/>
      <c r="I64" s="2202"/>
      <c r="K64" s="670"/>
      <c r="L64" s="671"/>
    </row>
    <row r="66" s="27471" customFormat="1" customHeight="1" ht="11.25">
      <c r="A66" s="2213" t="s">
        <v>1919</v>
      </c>
    </row>
    <row r="68" s="24354" customFormat="1" customHeight="1" ht="14.25">
      <c r="A68" s="741"/>
      <c r="B68" s="1558"/>
      <c r="C68" s="774"/>
      <c r="D68" s="2208"/>
      <c r="E68" s="1284"/>
      <c r="F68" s="2223"/>
      <c r="G68" s="487"/>
      <c r="I68" s="2022"/>
      <c r="J68" s="2022"/>
    </row>
    <row r="70" s="27471" customFormat="1" customHeight="1" ht="11.25">
      <c r="A70" s="2213" t="s">
        <v>1920</v>
      </c>
    </row>
    <row r="72" s="24354" customFormat="1" customHeight="1" ht="27">
      <c r="A72" s="1564"/>
      <c r="B72" s="1564"/>
      <c r="C72" s="1564"/>
      <c r="D72" s="1558"/>
      <c r="E72" s="2225"/>
      <c r="F72" s="2979"/>
      <c r="G72" s="2980"/>
      <c r="H72" s="2981" t="s">
        <v>67</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67</v>
      </c>
      <c r="Z72" s="2206"/>
      <c r="AA72" s="2190">
        <v>1</v>
      </c>
      <c r="AB72" s="1640"/>
      <c r="AD72" s="2034" t="s">
        <v>1921</v>
      </c>
    </row>
    <row s="24354"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1922</v>
      </c>
    </row>
    <row r="75" s="27471" customFormat="1" customHeight="1" ht="11.25">
      <c r="A75" s="2213" t="s">
        <v>1923</v>
      </c>
    </row>
    <row r="77" s="24354"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1921</v>
      </c>
    </row>
    <row r="79" s="27471" customFormat="1" customHeight="1" ht="11.25">
      <c r="A79" s="2213" t="s">
        <v>1924</v>
      </c>
    </row>
    <row customHeight="1" ht="17.25"/>
    <row s="24354"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4354" customFormat="1" customHeight="1" ht="0.75">
      <c r="A82" s="1564"/>
      <c r="B82" s="1564"/>
      <c r="C82" s="1564"/>
      <c r="D82" s="1558"/>
      <c r="E82" s="1568"/>
      <c r="F82" s="2934"/>
      <c r="G82" s="2913"/>
      <c r="H82" s="2938" t="s">
        <v>381</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4354"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4354"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4354"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4354"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4354" customFormat="1" customHeight="1" ht="12">
      <c r="A87" s="1564"/>
      <c r="B87" s="1564"/>
      <c r="C87" s="1564"/>
      <c r="D87" s="1558"/>
      <c r="E87" s="1568"/>
      <c r="F87" s="2935"/>
      <c r="G87" s="1588"/>
      <c r="H87" s="1588"/>
      <c r="I87" s="2933" t="s">
        <v>1925</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7471" customFormat="1" customHeight="1" ht="11.25">
      <c r="A89" s="2213" t="s">
        <v>1926</v>
      </c>
    </row>
    <row r="91" s="24354" customFormat="1" customHeight="1" ht="11.25">
      <c r="A91" s="1564"/>
      <c r="B91" s="1564"/>
      <c r="C91" s="1564"/>
      <c r="D91" s="1558"/>
      <c r="E91" s="1568"/>
      <c r="F91" s="2227"/>
      <c r="G91" s="2228"/>
      <c r="H91" s="2228"/>
      <c r="I91" s="2162"/>
      <c r="J91" s="2162"/>
      <c r="K91" s="2229"/>
      <c r="L91" s="2162"/>
      <c r="M91" s="2228"/>
      <c r="N91" s="2906"/>
      <c r="O91" s="2989">
        <v>1</v>
      </c>
      <c r="P91" s="2908" t="s">
        <v>19</v>
      </c>
      <c r="Q91" s="2911" t="s">
        <v>28</v>
      </c>
      <c r="R91" s="2911" t="s">
        <v>28</v>
      </c>
      <c r="S91" s="2911" t="s">
        <v>28</v>
      </c>
      <c r="T91" s="2911" t="s">
        <v>28</v>
      </c>
      <c r="U91" s="2911" t="s">
        <v>28</v>
      </c>
      <c r="V91" s="2911" t="s">
        <v>28</v>
      </c>
      <c r="W91" s="2911" t="s">
        <v>28</v>
      </c>
      <c r="X91" s="2911" t="s">
        <v>28</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4354"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4354"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1927</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7471" customFormat="1" customHeight="1" ht="11.25">
      <c r="A95" s="2213" t="s">
        <v>1928</v>
      </c>
    </row>
    <row r="97" s="24354"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7471" customFormat="1" customHeight="1" ht="11.25">
      <c r="A99" s="2213" t="s">
        <v>1929</v>
      </c>
    </row>
    <row r="101" s="24354" customFormat="1" customHeight="1" ht="11.25">
      <c r="A101" s="1564"/>
      <c r="B101" s="1564"/>
      <c r="C101" s="1564"/>
      <c r="D101" s="1558"/>
      <c r="E101" s="1568"/>
      <c r="F101" s="2227"/>
      <c r="G101" s="2228"/>
      <c r="H101" s="2913" t="s">
        <v>110</v>
      </c>
      <c r="I101" s="2914"/>
      <c r="J101" s="2883"/>
      <c r="K101" s="2915"/>
      <c r="L101" s="2505" t="s">
        <v>19</v>
      </c>
      <c r="M101" s="2506"/>
      <c r="N101" s="2384"/>
      <c r="O101" s="1575" t="s">
        <v>381</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4354"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28</v>
      </c>
      <c r="R102" s="2911" t="s">
        <v>28</v>
      </c>
      <c r="S102" s="2911" t="s">
        <v>28</v>
      </c>
      <c r="T102" s="2911" t="s">
        <v>28</v>
      </c>
      <c r="U102" s="2911" t="s">
        <v>28</v>
      </c>
      <c r="V102" s="2911" t="s">
        <v>28</v>
      </c>
      <c r="W102" s="2911" t="s">
        <v>28</v>
      </c>
      <c r="X102" s="2911" t="s">
        <v>28</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4354"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4354"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1927</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4354" customFormat="1" customHeight="1" ht="11.25">
      <c r="A105" s="1564"/>
      <c r="B105" s="1564"/>
      <c r="C105" s="1564"/>
      <c r="D105" s="1558"/>
      <c r="E105" s="1568"/>
      <c r="F105" s="2227"/>
      <c r="G105" s="2228"/>
      <c r="H105" s="2913"/>
      <c r="I105" s="2914"/>
      <c r="J105" s="2883"/>
      <c r="K105" s="2915"/>
      <c r="L105" s="2505"/>
      <c r="M105" s="2506"/>
      <c r="N105" s="1573"/>
      <c r="O105" s="1574"/>
      <c r="P105" s="1566" t="s">
        <v>1930</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7471" customFormat="1" customHeight="1" ht="11.25">
      <c r="A107" s="2213" t="s">
        <v>1931</v>
      </c>
    </row>
    <row customHeight="1" ht="17.25"/>
    <row s="26977" customFormat="1" customHeight="1" ht="21">
      <c r="A109" s="1565"/>
      <c r="B109" s="1338"/>
      <c r="D109" s="1322"/>
      <c r="E109" s="1337" t="s">
        <v>28</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6977"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6977" customFormat="1" customHeight="1" ht="12">
      <c r="A111" s="1322"/>
      <c r="B111" s="1321"/>
      <c r="C111" s="1322"/>
      <c r="D111" s="1322"/>
      <c r="E111" s="1322"/>
      <c r="F111" s="1611"/>
      <c r="G111" s="2198" t="s">
        <v>1932</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7471" customFormat="1" customHeight="1" ht="11.25">
      <c r="A113" s="2213" t="s">
        <v>1933</v>
      </c>
    </row>
    <row r="115" s="24495" customFormat="1" customHeight="1" ht="15">
      <c r="A115" s="1021"/>
      <c r="B115" s="1022"/>
      <c r="C115" s="1022"/>
      <c r="D115" s="2976" t="s">
        <v>110</v>
      </c>
      <c r="E115" s="2775" t="s">
        <v>106</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28</v>
      </c>
      <c r="AF115" s="1028"/>
      <c r="AG115" s="1029" t="s">
        <v>615</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4495" customFormat="1" customHeight="1" ht="15">
      <c r="A116" s="1021"/>
      <c r="B116" s="1022"/>
      <c r="C116" s="1022"/>
      <c r="D116" s="2977"/>
      <c r="E116" s="2775" t="s">
        <v>570</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4495" customFormat="1" customHeight="1" ht="15">
      <c r="A117" s="1021"/>
      <c r="B117" s="1022"/>
      <c r="C117" s="1022"/>
      <c r="D117" s="2977"/>
      <c r="E117" s="2775" t="s">
        <v>571</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4495" customFormat="1" customHeight="1" ht="24.75">
      <c r="A118" s="2204"/>
      <c r="B118" s="1558"/>
      <c r="C118" s="810"/>
      <c r="D118" s="2977"/>
      <c r="E118" s="2774" t="s">
        <v>616</v>
      </c>
      <c r="F118" s="2774"/>
      <c r="G118" s="2774"/>
      <c r="H118" s="2774"/>
      <c r="I118" s="2774"/>
      <c r="J118" s="2774"/>
      <c r="K118" s="2774"/>
      <c r="L118" s="2774"/>
      <c r="M118" s="2774"/>
      <c r="N118" s="2774"/>
      <c r="O118" s="2774"/>
      <c r="P118" s="2774"/>
      <c r="Q118" s="956">
        <f>SUMIF(T119:T120,"i",Q119:Q120)</f>
        <v>0</v>
      </c>
      <c r="R118" s="1415"/>
      <c r="S118" s="2196" t="s">
        <v>617</v>
      </c>
      <c r="T118" s="1115" t="s">
        <v>618</v>
      </c>
      <c r="U118" s="2772">
        <v>1</v>
      </c>
      <c r="V118" s="2772" t="s">
        <v>581</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4495"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4495" customFormat="1" customHeight="1" ht="11.25">
      <c r="A120" s="2204"/>
      <c r="B120" s="1558"/>
      <c r="C120" s="810"/>
      <c r="D120" s="2977"/>
      <c r="E120" s="1047" t="s">
        <v>28</v>
      </c>
      <c r="F120" s="1566" t="s">
        <v>28</v>
      </c>
      <c r="G120" s="1566" t="s">
        <v>1934</v>
      </c>
      <c r="H120" s="1049" t="s">
        <v>28</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4495" customFormat="1" customHeight="1" ht="24.75">
      <c r="A121" s="2204"/>
      <c r="B121" s="1558"/>
      <c r="C121" s="810"/>
      <c r="D121" s="2977"/>
      <c r="E121" s="2774" t="s">
        <v>619</v>
      </c>
      <c r="F121" s="2774"/>
      <c r="G121" s="2774"/>
      <c r="H121" s="2774"/>
      <c r="I121" s="2774"/>
      <c r="J121" s="2774"/>
      <c r="K121" s="2774"/>
      <c r="L121" s="2774"/>
      <c r="M121" s="2774"/>
      <c r="N121" s="2774"/>
      <c r="O121" s="2774"/>
      <c r="P121" s="2774"/>
      <c r="Q121" s="956">
        <f>SUMIF(T122:T123,"i",Q122:Q123)</f>
        <v>0</v>
      </c>
      <c r="R121" s="1415"/>
      <c r="S121" s="2196" t="s">
        <v>620</v>
      </c>
      <c r="T121" s="1115" t="s">
        <v>618</v>
      </c>
      <c r="U121" s="2772">
        <v>1</v>
      </c>
      <c r="V121" s="2772" t="s">
        <v>581</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4495"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4495" customFormat="1" customHeight="1" ht="11.25">
      <c r="A123" s="2204"/>
      <c r="B123" s="1558"/>
      <c r="C123" s="810"/>
      <c r="D123" s="2978"/>
      <c r="E123" s="1047" t="s">
        <v>28</v>
      </c>
      <c r="F123" s="1566" t="s">
        <v>28</v>
      </c>
      <c r="G123" s="1566" t="s">
        <v>1934</v>
      </c>
      <c r="H123" s="1049" t="s">
        <v>28</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7471" customFormat="1" customHeight="1" ht="11.25">
      <c r="A125" s="2213" t="s">
        <v>1935</v>
      </c>
    </row>
    <row r="127" s="24495" customFormat="1" customHeight="1" ht="15">
      <c r="A127" s="1021"/>
      <c r="B127" s="1022"/>
      <c r="C127" s="1022"/>
      <c r="D127" s="2976" t="s">
        <v>110</v>
      </c>
      <c r="E127" s="2775" t="s">
        <v>106</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28</v>
      </c>
      <c r="AF127" s="1028"/>
      <c r="AG127" s="1029" t="s">
        <v>615</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4495" customFormat="1" customHeight="1" ht="15">
      <c r="A128" s="1021"/>
      <c r="B128" s="1022"/>
      <c r="C128" s="1022"/>
      <c r="D128" s="2977"/>
      <c r="E128" s="2775" t="s">
        <v>570</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4495" customFormat="1" customHeight="1" ht="15">
      <c r="A129" s="1021"/>
      <c r="B129" s="1022"/>
      <c r="C129" s="1022"/>
      <c r="D129" s="2977"/>
      <c r="E129" s="2775" t="s">
        <v>571</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4495" customFormat="1" customHeight="1" ht="24.75">
      <c r="A130" s="2204"/>
      <c r="B130" s="1558"/>
      <c r="C130" s="810"/>
      <c r="D130" s="2977"/>
      <c r="E130" s="2774" t="s">
        <v>616</v>
      </c>
      <c r="F130" s="2774"/>
      <c r="G130" s="2774"/>
      <c r="H130" s="2774"/>
      <c r="I130" s="2774"/>
      <c r="J130" s="2774"/>
      <c r="K130" s="2774"/>
      <c r="L130" s="2774"/>
      <c r="M130" s="2774"/>
      <c r="N130" s="2774"/>
      <c r="O130" s="2774"/>
      <c r="P130" s="2774"/>
      <c r="Q130" s="956">
        <f>SUMIF(T131:T132,"i",Q131:Q132)</f>
        <v>0</v>
      </c>
      <c r="R130" s="1415"/>
      <c r="S130" s="2196" t="s">
        <v>617</v>
      </c>
      <c r="T130" s="1115" t="s">
        <v>618</v>
      </c>
      <c r="U130" s="2772">
        <v>1</v>
      </c>
      <c r="V130" s="2772" t="s">
        <v>581</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4495"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4495" customFormat="1" customHeight="1" ht="11.25">
      <c r="A132" s="2204"/>
      <c r="B132" s="1558"/>
      <c r="C132" s="810"/>
      <c r="D132" s="2977"/>
      <c r="E132" s="1047" t="s">
        <v>28</v>
      </c>
      <c r="F132" s="1566" t="s">
        <v>28</v>
      </c>
      <c r="G132" s="1566" t="s">
        <v>1934</v>
      </c>
      <c r="H132" s="1049" t="s">
        <v>28</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4796"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618</v>
      </c>
      <c r="U133" s="2772">
        <v>1</v>
      </c>
      <c r="V133" s="2772" t="s">
        <v>581</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4796"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4796"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7471" customFormat="1" customHeight="1" ht="11.25">
      <c r="A137" s="2213" t="s">
        <v>1936</v>
      </c>
    </row>
    <row r="139" s="24495" customFormat="1" customHeight="1" ht="45">
      <c r="A139" s="2204"/>
      <c r="B139" s="1558"/>
      <c r="C139" s="810"/>
      <c r="D139" s="487"/>
      <c r="E139" s="2970"/>
      <c r="F139" s="2506" t="s">
        <v>110</v>
      </c>
      <c r="G139" s="2973" t="s">
        <v>28</v>
      </c>
      <c r="H139" s="687"/>
      <c r="I139" s="1035" t="s">
        <v>110</v>
      </c>
      <c r="J139" s="2205" t="s">
        <v>1937</v>
      </c>
      <c r="K139" s="1036" t="s">
        <v>552</v>
      </c>
      <c r="L139" s="2622" t="s">
        <v>552</v>
      </c>
      <c r="M139" s="2975"/>
      <c r="N139" s="1036" t="s">
        <v>552</v>
      </c>
      <c r="O139" s="1036" t="s">
        <v>552</v>
      </c>
      <c r="P139" s="1036" t="s">
        <v>552</v>
      </c>
      <c r="Q139" s="1037">
        <f>SUM(Q140:Q142)</f>
        <v>0</v>
      </c>
      <c r="R139" s="1037">
        <f>IF(R136=0,0,(Q136/R136)*100)</f>
        <v>0</v>
      </c>
      <c r="S139" s="2577"/>
      <c r="T139" s="1115" t="s">
        <v>618</v>
      </c>
      <c r="U139" s="487"/>
      <c r="V139" s="487"/>
      <c r="AC139" s="487"/>
    </row>
    <row s="24495" customFormat="1" customHeight="1" ht="11.25">
      <c r="A140" s="2204"/>
      <c r="B140" s="1558"/>
      <c r="C140" s="810"/>
      <c r="D140" s="487"/>
      <c r="E140" s="2971"/>
      <c r="F140" s="2506"/>
      <c r="G140" s="2973"/>
      <c r="H140" s="2525"/>
      <c r="I140" s="2913" t="s">
        <v>1027</v>
      </c>
      <c r="J140" s="2967"/>
      <c r="K140" s="2968"/>
      <c r="L140" s="1038"/>
      <c r="M140" s="1039" t="s">
        <v>110</v>
      </c>
      <c r="N140" s="2193"/>
      <c r="O140" s="1040"/>
      <c r="P140" s="1041"/>
      <c r="Q140" s="1040"/>
      <c r="R140" s="1042">
        <v>0</v>
      </c>
      <c r="S140" s="2577"/>
      <c r="T140" s="1115"/>
      <c r="U140" s="487"/>
      <c r="V140" s="487"/>
      <c r="AC140" s="487"/>
    </row>
    <row s="24495" customFormat="1" customHeight="1" ht="11.25">
      <c r="A141" s="2204"/>
      <c r="B141" s="1558"/>
      <c r="C141" s="810"/>
      <c r="D141" s="487"/>
      <c r="E141" s="2971"/>
      <c r="F141" s="2506"/>
      <c r="G141" s="2973"/>
      <c r="H141" s="2525"/>
      <c r="I141" s="2913"/>
      <c r="J141" s="2967"/>
      <c r="K141" s="2969"/>
      <c r="L141" s="1043"/>
      <c r="M141" s="1044"/>
      <c r="N141" s="1045" t="s">
        <v>1938</v>
      </c>
      <c r="O141" s="1045"/>
      <c r="P141" s="1045"/>
      <c r="Q141" s="1045"/>
      <c r="R141" s="1046"/>
      <c r="S141" s="2577"/>
      <c r="T141" s="1115"/>
      <c r="U141" s="487"/>
      <c r="V141" s="487"/>
      <c r="AC141" s="487"/>
    </row>
    <row s="24495" customFormat="1" customHeight="1" ht="11.25">
      <c r="A142" s="2204"/>
      <c r="B142" s="1558"/>
      <c r="C142" s="810"/>
      <c r="D142" s="487"/>
      <c r="E142" s="2972"/>
      <c r="F142" s="2506"/>
      <c r="G142" s="2974"/>
      <c r="H142" s="1043" t="s">
        <v>28</v>
      </c>
      <c r="I142" s="1044"/>
      <c r="J142" s="1045" t="s">
        <v>1939</v>
      </c>
      <c r="K142" s="1045"/>
      <c r="L142" s="1045"/>
      <c r="M142" s="1045"/>
      <c r="N142" s="1045"/>
      <c r="O142" s="1045"/>
      <c r="P142" s="1045"/>
      <c r="Q142" s="1045"/>
      <c r="R142" s="1046"/>
      <c r="S142" s="2577"/>
      <c r="T142" s="1115"/>
      <c r="U142" s="487"/>
      <c r="V142" s="487"/>
      <c r="AC142" s="487"/>
    </row>
    <row r="147" s="24495" customFormat="1" customHeight="1" ht="11.25">
      <c r="A147" s="2204"/>
      <c r="B147" s="1558"/>
      <c r="C147" s="810"/>
      <c r="D147" s="487"/>
      <c r="E147" s="2228"/>
      <c r="F147" s="2228"/>
      <c r="G147" s="2228"/>
      <c r="H147" s="2525"/>
      <c r="I147" s="2913" t="s">
        <v>1027</v>
      </c>
      <c r="J147" s="2967"/>
      <c r="K147" s="2968"/>
      <c r="L147" s="1038"/>
      <c r="M147" s="1039" t="s">
        <v>110</v>
      </c>
      <c r="N147" s="2193"/>
      <c r="O147" s="1040"/>
      <c r="P147" s="1041"/>
      <c r="Q147" s="1040"/>
      <c r="R147" s="1042">
        <v>0</v>
      </c>
      <c r="S147" s="487"/>
      <c r="T147" s="1115"/>
      <c r="U147" s="487"/>
      <c r="V147" s="487"/>
      <c r="AC147" s="487"/>
    </row>
    <row s="24495" customFormat="1" customHeight="1" ht="11.25">
      <c r="A148" s="2204"/>
      <c r="B148" s="1558"/>
      <c r="C148" s="810"/>
      <c r="D148" s="487"/>
      <c r="E148" s="2228"/>
      <c r="F148" s="2228"/>
      <c r="G148" s="2228"/>
      <c r="H148" s="2525"/>
      <c r="I148" s="2913"/>
      <c r="J148" s="2967"/>
      <c r="K148" s="2969"/>
      <c r="L148" s="1043"/>
      <c r="M148" s="1044"/>
      <c r="N148" s="1045" t="s">
        <v>1938</v>
      </c>
      <c r="O148" s="1045"/>
      <c r="P148" s="1045"/>
      <c r="Q148" s="1045"/>
      <c r="R148" s="1046"/>
      <c r="S148" s="487"/>
      <c r="T148" s="1115"/>
      <c r="U148" s="487"/>
      <c r="V148" s="487"/>
      <c r="AC148" s="487"/>
    </row>
    <row r="150" s="24495" customFormat="1" customHeight="1" ht="11.25">
      <c r="A150" s="2204"/>
      <c r="B150" s="1558"/>
      <c r="C150" s="810"/>
      <c r="D150" s="487"/>
      <c r="E150" s="2235"/>
      <c r="F150" s="2233"/>
      <c r="G150" s="2233"/>
      <c r="H150" s="2236"/>
      <c r="I150" s="2228"/>
      <c r="J150" s="2229"/>
      <c r="K150" s="2229"/>
      <c r="L150" s="1038"/>
      <c r="M150" s="1039" t="s">
        <v>110</v>
      </c>
      <c r="N150" s="2193"/>
      <c r="O150" s="1040"/>
      <c r="P150" s="1041"/>
      <c r="Q150" s="1040"/>
      <c r="R150" s="1042">
        <v>0</v>
      </c>
      <c r="S150" s="487"/>
      <c r="T150" s="1115"/>
      <c r="U150" s="487"/>
      <c r="V150" s="487"/>
      <c r="AC150" s="487"/>
    </row>
    <row r="152" s="27471" customFormat="1" customHeight="1" ht="17.25">
      <c r="A152" s="2213" t="s">
        <v>1940</v>
      </c>
    </row>
    <row customHeight="1" ht="17.25">
      <c r="G153" s="2237"/>
      <c r="H153" s="2237"/>
      <c r="I153" s="2237"/>
      <c r="M153" s="2233"/>
    </row>
    <row s="24561" customFormat="1" customHeight="1" ht="17.25">
      <c r="A154" s="2238"/>
      <c r="C154" s="2240"/>
      <c r="D154" s="2927"/>
      <c r="E154" s="2541"/>
      <c r="F154" s="2543"/>
      <c r="G154" s="2929"/>
      <c r="H154" s="2927"/>
      <c r="I154" s="2927">
        <v>1</v>
      </c>
      <c r="J154" s="2899"/>
      <c r="K154" s="2583" t="s">
        <v>67</v>
      </c>
      <c r="L154" s="2506"/>
      <c r="M154" s="2506" t="s">
        <v>110</v>
      </c>
      <c r="N154" s="2902" t="str">
        <f>IF(Z154="","",INDEX(TERRITORY_MR_LIST,MATCH(Z154,TERRITORY_LIST_ID,0)))</f>
        <v/>
      </c>
      <c r="O154" s="2583" t="s">
        <v>67</v>
      </c>
      <c r="P154" s="2506"/>
      <c r="Q154" s="2506" t="s">
        <v>110</v>
      </c>
      <c r="R154" s="2900" t="s">
        <v>28</v>
      </c>
      <c r="S154" s="2505" t="s">
        <v>67</v>
      </c>
      <c r="T154" s="2209"/>
      <c r="U154" s="2209" t="s">
        <v>110</v>
      </c>
      <c r="V154" s="2241" t="s">
        <v>28</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4561"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163</v>
      </c>
      <c r="W155" s="717"/>
      <c r="Y155" s="1657"/>
      <c r="Z155" s="1657"/>
      <c r="AA155" s="1657"/>
      <c r="AB155" s="1657"/>
      <c r="AC155" s="1657"/>
      <c r="AD155" s="1657"/>
      <c r="AE155" s="1657"/>
      <c r="AF155" s="1657"/>
      <c r="AG155" s="1657"/>
      <c r="AH155" s="1657"/>
      <c r="AI155" s="1657"/>
      <c r="AJ155" s="1657"/>
      <c r="AK155" s="1657"/>
    </row>
    <row s="24561" customFormat="1" customHeight="1" ht="17.25">
      <c r="A156" s="2238"/>
      <c r="C156" s="2243"/>
      <c r="D156" s="2901"/>
      <c r="E156" s="2928"/>
      <c r="F156" s="2544"/>
      <c r="G156" s="2930"/>
      <c r="H156" s="2901"/>
      <c r="I156" s="2901"/>
      <c r="J156" s="2931"/>
      <c r="K156" s="2584"/>
      <c r="L156" s="2901"/>
      <c r="M156" s="2901"/>
      <c r="N156" s="2903"/>
      <c r="O156" s="2510"/>
      <c r="P156" s="715"/>
      <c r="Q156" s="716"/>
      <c r="R156" s="716" t="s">
        <v>164</v>
      </c>
      <c r="S156" s="2244"/>
      <c r="T156" s="2244"/>
      <c r="U156" s="2244"/>
      <c r="V156" s="2244"/>
      <c r="W156" s="717"/>
      <c r="Y156" s="1657"/>
      <c r="Z156" s="1657"/>
      <c r="AA156" s="1657"/>
      <c r="AB156" s="1657"/>
      <c r="AC156" s="1657"/>
      <c r="AD156" s="1657"/>
      <c r="AE156" s="1657"/>
      <c r="AF156" s="1657"/>
      <c r="AG156" s="1657"/>
      <c r="AH156" s="1657"/>
      <c r="AI156" s="1657"/>
      <c r="AJ156" s="1657"/>
      <c r="AK156" s="1657"/>
    </row>
    <row s="24561" customFormat="1" customHeight="1" ht="17.25">
      <c r="A157" s="2238"/>
      <c r="C157" s="2243"/>
      <c r="D157" s="2901"/>
      <c r="E157" s="2928"/>
      <c r="F157" s="2544"/>
      <c r="G157" s="2930"/>
      <c r="H157" s="2901"/>
      <c r="I157" s="2901"/>
      <c r="J157" s="2931"/>
      <c r="K157" s="2510"/>
      <c r="L157" s="715"/>
      <c r="M157" s="716"/>
      <c r="N157" s="716" t="s">
        <v>165</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4561" customFormat="1" customHeight="1" ht="17.25">
      <c r="A158" s="2238"/>
      <c r="C158" s="2243"/>
      <c r="D158" s="2901"/>
      <c r="E158" s="2928"/>
      <c r="F158" s="2545"/>
      <c r="G158" s="2930"/>
      <c r="H158" s="715"/>
      <c r="I158" s="716"/>
      <c r="J158" s="716" t="s">
        <v>166</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4561" customFormat="1" customHeight="1" ht="17.25">
      <c r="A160" s="2238"/>
      <c r="C160" s="2240"/>
      <c r="D160" s="2228"/>
      <c r="E160" s="2245"/>
      <c r="F160" s="2182"/>
      <c r="G160" s="2246"/>
      <c r="H160" s="2927"/>
      <c r="I160" s="2927">
        <v>1</v>
      </c>
      <c r="J160" s="2899"/>
      <c r="K160" s="2583" t="s">
        <v>67</v>
      </c>
      <c r="L160" s="2506"/>
      <c r="M160" s="2506" t="s">
        <v>110</v>
      </c>
      <c r="N160" s="2902" t="str">
        <f>IF(Z160="","",INDEX(TERRITORY_MR_LIST,MATCH(Z160,TERRITORY_LIST_ID,0)))</f>
        <v/>
      </c>
      <c r="O160" s="2583" t="s">
        <v>67</v>
      </c>
      <c r="P160" s="2506"/>
      <c r="Q160" s="2506" t="s">
        <v>110</v>
      </c>
      <c r="R160" s="2900" t="s">
        <v>28</v>
      </c>
      <c r="S160" s="2505" t="s">
        <v>67</v>
      </c>
      <c r="T160" s="2209"/>
      <c r="U160" s="2209" t="s">
        <v>110</v>
      </c>
      <c r="V160" s="2241" t="s">
        <v>28</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4561"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163</v>
      </c>
      <c r="W161" s="717"/>
      <c r="Y161" s="1657"/>
      <c r="Z161" s="1657"/>
      <c r="AA161" s="1657"/>
      <c r="AB161" s="1657"/>
      <c r="AC161" s="1657"/>
      <c r="AD161" s="1657"/>
      <c r="AE161" s="1657"/>
      <c r="AF161" s="1657"/>
      <c r="AG161" s="1657"/>
      <c r="AH161" s="1657"/>
      <c r="AI161" s="1657"/>
      <c r="AJ161" s="1657"/>
      <c r="AK161" s="1657"/>
    </row>
    <row s="24561" customFormat="1" customHeight="1" ht="17.25">
      <c r="A162" s="2238"/>
      <c r="C162" s="2243"/>
      <c r="D162" s="2228"/>
      <c r="E162" s="2245"/>
      <c r="F162" s="2182"/>
      <c r="G162" s="2246"/>
      <c r="H162" s="2901"/>
      <c r="I162" s="2901"/>
      <c r="J162" s="2931"/>
      <c r="K162" s="2584"/>
      <c r="L162" s="2901"/>
      <c r="M162" s="2901"/>
      <c r="N162" s="2903"/>
      <c r="O162" s="2510"/>
      <c r="P162" s="715"/>
      <c r="Q162" s="716"/>
      <c r="R162" s="716" t="s">
        <v>164</v>
      </c>
      <c r="S162" s="2244"/>
      <c r="T162" s="2244"/>
      <c r="U162" s="2244"/>
      <c r="V162" s="2244"/>
      <c r="W162" s="717"/>
      <c r="Y162" s="1657"/>
      <c r="Z162" s="1657"/>
      <c r="AA162" s="1657"/>
      <c r="AB162" s="1657"/>
      <c r="AC162" s="1657"/>
      <c r="AD162" s="1657"/>
      <c r="AE162" s="1657"/>
      <c r="AF162" s="1657"/>
      <c r="AG162" s="1657"/>
      <c r="AH162" s="1657"/>
      <c r="AI162" s="1657"/>
      <c r="AJ162" s="1657"/>
      <c r="AK162" s="1657"/>
    </row>
    <row s="24561" customFormat="1" customHeight="1" ht="17.25">
      <c r="A163" s="2238"/>
      <c r="C163" s="2243"/>
      <c r="D163" s="2228"/>
      <c r="E163" s="2245"/>
      <c r="F163" s="2182"/>
      <c r="G163" s="2246"/>
      <c r="H163" s="2901"/>
      <c r="I163" s="2901"/>
      <c r="J163" s="2931"/>
      <c r="K163" s="2510"/>
      <c r="L163" s="715"/>
      <c r="M163" s="716"/>
      <c r="N163" s="716" t="s">
        <v>165</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4561" customFormat="1" customHeight="1" ht="17.25">
      <c r="A165" s="2238"/>
      <c r="C165" s="2240"/>
      <c r="D165" s="2228"/>
      <c r="E165" s="2245"/>
      <c r="F165" s="2182"/>
      <c r="G165" s="2246"/>
      <c r="H165" s="2228"/>
      <c r="I165" s="2228"/>
      <c r="J165" s="2247"/>
      <c r="K165" s="2158"/>
      <c r="L165" s="2506"/>
      <c r="M165" s="2506" t="s">
        <v>110</v>
      </c>
      <c r="N165" s="2902" t="str">
        <f>IF(Z165="","",INDEX(TERRITORY_MR_LIST,MATCH(Z165,TERRITORY_LIST_ID,0)))</f>
        <v/>
      </c>
      <c r="O165" s="2583" t="s">
        <v>67</v>
      </c>
      <c r="P165" s="2506"/>
      <c r="Q165" s="2506" t="s">
        <v>110</v>
      </c>
      <c r="R165" s="2900" t="s">
        <v>28</v>
      </c>
      <c r="S165" s="2505" t="s">
        <v>67</v>
      </c>
      <c r="T165" s="2209"/>
      <c r="U165" s="2209" t="s">
        <v>110</v>
      </c>
      <c r="V165" s="2241" t="s">
        <v>28</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4561"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163</v>
      </c>
      <c r="W166" s="717"/>
      <c r="Y166" s="1657"/>
      <c r="Z166" s="1657"/>
      <c r="AA166" s="1657"/>
      <c r="AB166" s="1657"/>
      <c r="AC166" s="1657"/>
      <c r="AD166" s="1657"/>
      <c r="AE166" s="1657"/>
      <c r="AF166" s="1657"/>
      <c r="AG166" s="1657"/>
      <c r="AH166" s="1657"/>
      <c r="AI166" s="1657"/>
      <c r="AJ166" s="1657"/>
      <c r="AK166" s="1657"/>
    </row>
    <row s="24561" customFormat="1" customHeight="1" ht="17.25">
      <c r="A167" s="2238"/>
      <c r="C167" s="2243"/>
      <c r="D167" s="2228"/>
      <c r="E167" s="2245"/>
      <c r="F167" s="2182"/>
      <c r="G167" s="2246"/>
      <c r="H167" s="2228"/>
      <c r="I167" s="2228"/>
      <c r="J167" s="2247"/>
      <c r="K167" s="2158"/>
      <c r="L167" s="2901"/>
      <c r="M167" s="2901"/>
      <c r="N167" s="2903"/>
      <c r="O167" s="2510"/>
      <c r="P167" s="715"/>
      <c r="Q167" s="716"/>
      <c r="R167" s="716" t="s">
        <v>164</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4561" customFormat="1" customHeight="1" ht="17.25">
      <c r="A169" s="2238"/>
      <c r="C169" s="2240"/>
      <c r="D169" s="2228"/>
      <c r="E169" s="2245"/>
      <c r="F169" s="2182"/>
      <c r="G169" s="2246"/>
      <c r="H169" s="2228"/>
      <c r="I169" s="2228"/>
      <c r="J169" s="2247"/>
      <c r="K169" s="2158"/>
      <c r="L169" s="2154"/>
      <c r="M169" s="2154"/>
      <c r="N169" s="2446"/>
      <c r="O169" s="2185"/>
      <c r="P169" s="2506"/>
      <c r="Q169" s="2506" t="s">
        <v>110</v>
      </c>
      <c r="R169" s="2900" t="s">
        <v>28</v>
      </c>
      <c r="S169" s="2505" t="s">
        <v>67</v>
      </c>
      <c r="T169" s="2209"/>
      <c r="U169" s="2209" t="s">
        <v>110</v>
      </c>
      <c r="V169" s="2241" t="s">
        <v>28</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4561"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163</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4561"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110</v>
      </c>
      <c r="V172" s="2241" t="s">
        <v>28</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7471" customFormat="1" customHeight="1" ht="17.25">
      <c r="A174" s="2213" t="s">
        <v>1941</v>
      </c>
    </row>
    <row customHeight="1" ht="17.25">
      <c r="G175" s="2237"/>
      <c r="H175" s="2237"/>
      <c r="I175" s="2237"/>
      <c r="M175" s="2233"/>
    </row>
    <row s="24561" customFormat="1" customHeight="1" ht="17.25">
      <c r="A176" s="2238"/>
      <c r="C176" s="2240"/>
      <c r="D176" s="2927"/>
      <c r="E176" s="2541"/>
      <c r="F176" s="2543"/>
      <c r="G176" s="2929"/>
      <c r="H176" s="2927"/>
      <c r="I176" s="2927">
        <v>1</v>
      </c>
      <c r="J176" s="2899"/>
      <c r="K176" s="2583" t="s">
        <v>67</v>
      </c>
      <c r="L176" s="2506"/>
      <c r="M176" s="2506" t="s">
        <v>110</v>
      </c>
      <c r="N176" s="2902" t="str">
        <f>IF(Z176="","",INDEX(TERRITORY_MR_LIST,MATCH(Z176,TERRITORY_LIST_ID,0)))</f>
        <v/>
      </c>
      <c r="O176" s="2583" t="s">
        <v>67</v>
      </c>
      <c r="P176" s="2506"/>
      <c r="Q176" s="2506" t="s">
        <v>110</v>
      </c>
      <c r="R176" s="2900" t="s">
        <v>28</v>
      </c>
      <c r="S176" s="2804" t="s">
        <v>19</v>
      </c>
      <c r="T176" s="2200"/>
      <c r="U176" s="2200" t="s">
        <v>110</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4561"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4561" customFormat="1" customHeight="1" ht="17.25">
      <c r="A178" s="2238"/>
      <c r="C178" s="2243"/>
      <c r="D178" s="2901"/>
      <c r="E178" s="2928"/>
      <c r="F178" s="2544"/>
      <c r="G178" s="2930"/>
      <c r="H178" s="2901"/>
      <c r="I178" s="2901"/>
      <c r="J178" s="2931"/>
      <c r="K178" s="2584"/>
      <c r="L178" s="2901"/>
      <c r="M178" s="2901"/>
      <c r="N178" s="2903"/>
      <c r="O178" s="2510"/>
      <c r="P178" s="715"/>
      <c r="Q178" s="716"/>
      <c r="R178" s="716" t="s">
        <v>164</v>
      </c>
      <c r="S178" s="2244"/>
      <c r="T178" s="2244"/>
      <c r="U178" s="2244"/>
      <c r="V178" s="2244"/>
      <c r="W178" s="1831"/>
      <c r="Y178" s="1657"/>
      <c r="Z178" s="1657"/>
      <c r="AA178" s="1657"/>
      <c r="AB178" s="1657"/>
      <c r="AC178" s="1657"/>
      <c r="AD178" s="1657"/>
      <c r="AE178" s="1657"/>
      <c r="AF178" s="1657"/>
      <c r="AG178" s="1657"/>
      <c r="AH178" s="1657"/>
      <c r="AI178" s="1657"/>
      <c r="AJ178" s="1657"/>
      <c r="AK178" s="1657"/>
    </row>
    <row s="24561" customFormat="1" customHeight="1" ht="17.25">
      <c r="A179" s="2238"/>
      <c r="C179" s="2243"/>
      <c r="D179" s="2901"/>
      <c r="E179" s="2928"/>
      <c r="F179" s="2544"/>
      <c r="G179" s="2930"/>
      <c r="H179" s="2901"/>
      <c r="I179" s="2901"/>
      <c r="J179" s="2931"/>
      <c r="K179" s="2510"/>
      <c r="L179" s="715"/>
      <c r="M179" s="716"/>
      <c r="N179" s="716" t="s">
        <v>165</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4561" customFormat="1" customHeight="1" ht="17.25">
      <c r="A180" s="2238"/>
      <c r="C180" s="2243"/>
      <c r="D180" s="2901"/>
      <c r="E180" s="2928"/>
      <c r="F180" s="2545"/>
      <c r="G180" s="2930"/>
      <c r="H180" s="715"/>
      <c r="I180" s="716"/>
      <c r="J180" s="716" t="s">
        <v>166</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4561" customFormat="1" customHeight="1" ht="17.25">
      <c r="A182" s="2238"/>
      <c r="C182" s="2240"/>
      <c r="D182" s="2228"/>
      <c r="E182" s="2245"/>
      <c r="F182" s="2182"/>
      <c r="G182" s="2246"/>
      <c r="H182" s="2927"/>
      <c r="I182" s="2927">
        <v>1</v>
      </c>
      <c r="J182" s="2899"/>
      <c r="K182" s="2583" t="s">
        <v>67</v>
      </c>
      <c r="L182" s="2506"/>
      <c r="M182" s="2506" t="s">
        <v>110</v>
      </c>
      <c r="N182" s="2902" t="str">
        <f>IF(Z182="","",INDEX(TERRITORY_MR_LIST,MATCH(Z182,TERRITORY_LIST_ID,0)))</f>
        <v/>
      </c>
      <c r="O182" s="2583" t="s">
        <v>67</v>
      </c>
      <c r="P182" s="2506"/>
      <c r="Q182" s="2506" t="s">
        <v>110</v>
      </c>
      <c r="R182" s="2900" t="s">
        <v>28</v>
      </c>
      <c r="S182" s="2804" t="s">
        <v>19</v>
      </c>
      <c r="T182" s="2200"/>
      <c r="U182" s="2200" t="s">
        <v>110</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4561"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4561" customFormat="1" customHeight="1" ht="17.25">
      <c r="A184" s="2238"/>
      <c r="C184" s="2243"/>
      <c r="D184" s="2228"/>
      <c r="E184" s="2245"/>
      <c r="F184" s="2182"/>
      <c r="G184" s="2246"/>
      <c r="H184" s="2901"/>
      <c r="I184" s="2901"/>
      <c r="J184" s="2931"/>
      <c r="K184" s="2584"/>
      <c r="L184" s="2901"/>
      <c r="M184" s="2901"/>
      <c r="N184" s="2903"/>
      <c r="O184" s="2510"/>
      <c r="P184" s="715"/>
      <c r="Q184" s="716"/>
      <c r="R184" s="716" t="s">
        <v>164</v>
      </c>
      <c r="S184" s="2244"/>
      <c r="T184" s="2244"/>
      <c r="U184" s="2244"/>
      <c r="V184" s="2244"/>
      <c r="W184" s="1831"/>
      <c r="Y184" s="1657"/>
      <c r="Z184" s="1657"/>
      <c r="AA184" s="1657"/>
      <c r="AB184" s="1657"/>
      <c r="AC184" s="1657"/>
      <c r="AD184" s="1657"/>
      <c r="AE184" s="1657"/>
      <c r="AF184" s="1657"/>
      <c r="AG184" s="1657"/>
      <c r="AH184" s="1657"/>
      <c r="AI184" s="1657"/>
      <c r="AJ184" s="1657"/>
      <c r="AK184" s="1657"/>
    </row>
    <row s="24561" customFormat="1" customHeight="1" ht="17.25">
      <c r="A185" s="2238"/>
      <c r="C185" s="2243"/>
      <c r="D185" s="2228"/>
      <c r="E185" s="2245"/>
      <c r="F185" s="2182"/>
      <c r="G185" s="2246"/>
      <c r="H185" s="2901"/>
      <c r="I185" s="2901"/>
      <c r="J185" s="2931"/>
      <c r="K185" s="2510"/>
      <c r="L185" s="715"/>
      <c r="M185" s="716"/>
      <c r="N185" s="716" t="s">
        <v>165</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4561" customFormat="1" customHeight="1" ht="17.25">
      <c r="A187" s="2238"/>
      <c r="C187" s="2240"/>
      <c r="D187" s="2228"/>
      <c r="E187" s="2245"/>
      <c r="F187" s="2182"/>
      <c r="G187" s="2246"/>
      <c r="H187" s="2228"/>
      <c r="I187" s="2228"/>
      <c r="J187" s="2249"/>
      <c r="K187" s="2246"/>
      <c r="L187" s="2506"/>
      <c r="M187" s="2506" t="s">
        <v>110</v>
      </c>
      <c r="N187" s="2902" t="str">
        <f>IF(Z187="","",INDEX(TERRITORY_MR_LIST,MATCH(Z187,TERRITORY_LIST_ID,0)))</f>
        <v/>
      </c>
      <c r="O187" s="2583" t="s">
        <v>67</v>
      </c>
      <c r="P187" s="2506"/>
      <c r="Q187" s="2506" t="s">
        <v>110</v>
      </c>
      <c r="R187" s="2900" t="s">
        <v>28</v>
      </c>
      <c r="S187" s="2804" t="s">
        <v>19</v>
      </c>
      <c r="T187" s="2200"/>
      <c r="U187" s="2200" t="s">
        <v>110</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4561"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4561" customFormat="1" customHeight="1" ht="17.25">
      <c r="A189" s="2238"/>
      <c r="C189" s="2243"/>
      <c r="D189" s="2228"/>
      <c r="E189" s="2245"/>
      <c r="F189" s="2182"/>
      <c r="G189" s="2246"/>
      <c r="H189" s="2228"/>
      <c r="I189" s="2228"/>
      <c r="J189" s="2249"/>
      <c r="K189" s="2246"/>
      <c r="L189" s="2901"/>
      <c r="M189" s="2901"/>
      <c r="N189" s="2903"/>
      <c r="O189" s="2510"/>
      <c r="P189" s="715"/>
      <c r="Q189" s="716"/>
      <c r="R189" s="716" t="s">
        <v>164</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4561" customFormat="1" customHeight="1" ht="17.25">
      <c r="A191" s="2238"/>
      <c r="C191" s="2240"/>
      <c r="D191" s="2228"/>
      <c r="E191" s="2245"/>
      <c r="F191" s="2182"/>
      <c r="G191" s="2246"/>
      <c r="H191" s="2228"/>
      <c r="I191" s="2228"/>
      <c r="J191" s="2249"/>
      <c r="K191" s="2246"/>
      <c r="L191" s="2228"/>
      <c r="M191" s="2228"/>
      <c r="N191" s="2446"/>
      <c r="O191" s="2185"/>
      <c r="P191" s="2506"/>
      <c r="Q191" s="2506" t="s">
        <v>110</v>
      </c>
      <c r="R191" s="2900" t="s">
        <v>28</v>
      </c>
      <c r="S191" s="2804" t="s">
        <v>19</v>
      </c>
      <c r="T191" s="2200"/>
      <c r="U191" s="2200" t="s">
        <v>110</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4561"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7471" customFormat="1" customHeight="1" ht="17.25">
      <c r="A200" s="2213" t="s">
        <v>1942</v>
      </c>
    </row>
    <row customHeight="1" ht="17.25">
      <c r="G201" s="2237"/>
      <c r="H201" s="2237"/>
      <c r="I201" s="2237"/>
      <c r="M201" s="2233"/>
    </row>
    <row s="24495" customFormat="1" customHeight="1" ht="15">
      <c r="D202" s="2921"/>
      <c r="E202" s="2597"/>
      <c r="F202" s="2597"/>
      <c r="G202" s="2583"/>
      <c r="H202" s="1962"/>
      <c r="I202" s="2925">
        <v>1</v>
      </c>
      <c r="J202" s="2899"/>
      <c r="K202" s="1977"/>
      <c r="L202" s="2583" t="s">
        <v>67</v>
      </c>
      <c r="M202" s="2583" t="s">
        <v>67</v>
      </c>
      <c r="N202" s="1962"/>
      <c r="O202" s="2506" t="s">
        <v>110</v>
      </c>
      <c r="P202" s="2915"/>
      <c r="Q202" s="1978"/>
      <c r="R202" s="2583" t="s">
        <v>67</v>
      </c>
      <c r="S202" s="2583" t="s">
        <v>67</v>
      </c>
      <c r="T202" s="2253"/>
      <c r="U202" s="2506" t="s">
        <v>110</v>
      </c>
      <c r="V202" s="2922" t="str">
        <f>IF(AK202="","",INDEX(TERRITORY_MR_LIST,MATCH(AK202,TERRITORY_LIST_ID,0)))</f>
        <v/>
      </c>
      <c r="W202" s="1979"/>
      <c r="X202" s="2583" t="s">
        <v>67</v>
      </c>
      <c r="Y202" s="2583" t="s">
        <v>19</v>
      </c>
      <c r="Z202" s="1962"/>
      <c r="AA202" s="2506" t="s">
        <v>110</v>
      </c>
      <c r="AB202" s="2924"/>
      <c r="AC202" s="1980"/>
      <c r="AD202" s="2583" t="s">
        <v>67</v>
      </c>
      <c r="AE202" s="2583" t="s">
        <v>19</v>
      </c>
      <c r="AF202" s="1960"/>
      <c r="AG202" s="2209" t="s">
        <v>110</v>
      </c>
      <c r="AH202" s="1970"/>
      <c r="AI202" s="2199"/>
    </row>
    <row s="24495"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1943</v>
      </c>
      <c r="AI203" s="2917"/>
    </row>
    <row s="24495"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1944</v>
      </c>
      <c r="AC204" s="2918"/>
      <c r="AD204" s="2918"/>
      <c r="AE204" s="2918"/>
      <c r="AF204" s="2918"/>
      <c r="AG204" s="2918"/>
      <c r="AH204" s="2918"/>
      <c r="AI204" s="2919"/>
    </row>
    <row s="24495"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104</v>
      </c>
      <c r="W205" s="2916"/>
      <c r="X205" s="2916"/>
      <c r="Y205" s="2916"/>
      <c r="Z205" s="2916"/>
      <c r="AA205" s="2916"/>
      <c r="AB205" s="2916"/>
      <c r="AC205" s="2916"/>
      <c r="AD205" s="2916"/>
      <c r="AE205" s="2916"/>
      <c r="AF205" s="2916"/>
      <c r="AG205" s="2916"/>
      <c r="AH205" s="2916"/>
      <c r="AI205" s="2917"/>
    </row>
    <row s="24495" customFormat="1" customHeight="1" ht="11.25">
      <c r="D206" s="2921"/>
      <c r="E206" s="2597"/>
      <c r="F206" s="2597"/>
      <c r="G206" s="2584"/>
      <c r="H206" s="1966"/>
      <c r="I206" s="2925"/>
      <c r="J206" s="2926"/>
      <c r="K206" s="1961"/>
      <c r="L206" s="2584"/>
      <c r="M206" s="2584"/>
      <c r="N206" s="1966"/>
      <c r="O206" s="1967"/>
      <c r="P206" s="2916" t="s">
        <v>1945</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4800" customFormat="1" customHeight="1" ht="11.25">
      <c r="D207" s="2921"/>
      <c r="E207" s="2597"/>
      <c r="F207" s="2597"/>
      <c r="G207" s="2510"/>
      <c r="H207" s="1968"/>
      <c r="I207" s="1969"/>
      <c r="J207" s="2916" t="s">
        <v>166</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4495"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4495"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4495"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4495"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4495"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4800"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8EBE-12C1-E6FB-9F3B-0C95944065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792" width="43.140625"/>
    <col min="2" max="2" style="27792" width="43.140625" hidden="1"/>
    <col min="3" max="3" style="27792" width="43.140625"/>
    <col min="4" max="5" style="27792" width="36.421875" customWidth="1"/>
    <col min="6" max="8" style="27793" width="36.421875" customWidth="1"/>
  </cols>
  <sheetData>
    <row customHeight="1" ht="9">
      <c r="A1" s="1244" t="s">
        <v>1946</v>
      </c>
      <c r="B1" s="1244"/>
      <c r="C1" s="1380" t="s">
        <v>1947</v>
      </c>
      <c r="D1" s="1378" t="s">
        <v>813</v>
      </c>
      <c r="E1" s="1378" t="s">
        <v>859</v>
      </c>
      <c r="F1" s="1378" t="s">
        <v>912</v>
      </c>
      <c r="G1" s="1378" t="s">
        <v>899</v>
      </c>
      <c r="H1" s="1378" t="s">
        <v>1621</v>
      </c>
    </row>
    <row customHeight="1" ht="9">
      <c r="A2" s="1381" t="s">
        <v>1948</v>
      </c>
      <c r="B2" s="1381"/>
      <c r="C2" s="1382" t="str">
        <f>INDEX(TEMPLATE_NUMBER_FORM_LIST,MATCH(TEMPLATE_SPHERE,TEMPLATE_SPHERE_LIST,0))</f>
        <v>16</v>
      </c>
      <c r="D2" s="1381" t="s">
        <v>1471</v>
      </c>
      <c r="E2" s="1381" t="s">
        <v>150</v>
      </c>
      <c r="F2" s="1383" t="s">
        <v>150</v>
      </c>
      <c r="G2" s="1381" t="s">
        <v>150</v>
      </c>
      <c r="H2" s="1384"/>
    </row>
    <row customHeight="1" ht="63">
      <c r="A3" s="1244"/>
      <c r="B3" s="1244" t="s">
        <v>110</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1949</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1950</v>
      </c>
      <c r="B4" s="1244" t="s">
        <v>111</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1951</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1952</v>
      </c>
    </row>
    <row customHeight="1" ht="117">
      <c r="A5" s="1244" t="s">
        <v>1953</v>
      </c>
      <c r="B5" s="1244" t="s">
        <v>91</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1954</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1955</v>
      </c>
    </row>
    <row customHeight="1" ht="90">
      <c r="A6" s="1244" t="s">
        <v>1956</v>
      </c>
      <c r="B6" s="1244" t="s">
        <v>92</v>
      </c>
      <c r="C6" s="138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1957</v>
      </c>
      <c r="B7" s="1244" t="s">
        <v>112</v>
      </c>
      <c r="C7" s="1382" t="str">
        <f>IF(TEMPLATE_SPHERE="HEAT",D7,E7)</f>
        <v>Форма 11. Информация о расходах на капитальный и текущий ремонт основных средств</v>
      </c>
      <c r="D7" s="1244" t="s">
        <v>1958</v>
      </c>
      <c r="E7" s="1244" t="s">
        <v>1959</v>
      </c>
      <c r="F7" s="1384"/>
      <c r="G7" s="1384"/>
      <c r="H7" s="1384"/>
    </row>
    <row customHeight="1" ht="108">
      <c r="A8" s="1244" t="s">
        <v>1960</v>
      </c>
      <c r="B8" s="1244" t="s">
        <v>93</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1162</v>
      </c>
      <c r="E8" s="1244" t="s">
        <v>1961</v>
      </c>
      <c r="F8" s="1384"/>
      <c r="G8" s="1384"/>
      <c r="H8" s="1384"/>
    </row>
    <row customHeight="1" ht="99">
      <c r="A9" s="1244" t="s">
        <v>1962</v>
      </c>
      <c r="B9" s="1244"/>
      <c r="C9" s="1244" t="s">
        <v>1963</v>
      </c>
      <c r="D9" s="1244"/>
      <c r="E9" s="1244"/>
      <c r="F9" s="1384"/>
      <c r="G9" s="1384"/>
      <c r="H9" s="1384"/>
    </row>
    <row customHeight="1" ht="126">
      <c r="A10" s="1244" t="s">
        <v>1964</v>
      </c>
      <c r="B10" s="1244"/>
      <c r="C10" s="1244" t="s">
        <v>1965</v>
      </c>
      <c r="D10" s="1244"/>
      <c r="E10" s="1244"/>
      <c r="F10" s="1384"/>
      <c r="G10" s="1384"/>
      <c r="H10" s="1384"/>
    </row>
    <row customHeight="1" ht="108">
      <c r="A11" s="1244" t="s">
        <v>1966</v>
      </c>
      <c r="B11" s="1244"/>
      <c r="C11" s="1244" t="s">
        <v>1967</v>
      </c>
      <c r="D11" s="1244"/>
      <c r="E11" s="1244"/>
      <c r="F11" s="1384"/>
      <c r="G11" s="1384"/>
      <c r="H11" s="1384"/>
    </row>
    <row customHeight="1" ht="54">
      <c r="A12" s="1244" t="s">
        <v>1968</v>
      </c>
      <c r="B12" s="1244"/>
      <c r="C12" s="1244" t="s">
        <v>1969</v>
      </c>
      <c r="D12" s="1244"/>
      <c r="E12" s="1244"/>
      <c r="F12" s="1384"/>
      <c r="G12" s="1384"/>
      <c r="H12" s="1384"/>
    </row>
    <row customHeight="1" ht="45">
      <c r="A13" s="1244" t="s">
        <v>1970</v>
      </c>
      <c r="B13" s="1244"/>
      <c r="C13" s="1244" t="s">
        <v>1971</v>
      </c>
      <c r="D13" s="1244"/>
      <c r="E13" s="1244"/>
      <c r="F13" s="1384"/>
      <c r="G13" s="1384"/>
      <c r="H13" s="1384"/>
    </row>
    <row customHeight="1" ht="117">
      <c r="A14" s="1244" t="s">
        <v>1972</v>
      </c>
      <c r="B14" s="1244"/>
      <c r="C14" s="1244" t="s">
        <v>1973</v>
      </c>
      <c r="D14" s="1244"/>
      <c r="E14" s="1244"/>
      <c r="F14" s="1384"/>
      <c r="G14" s="1384"/>
      <c r="H14" s="1384"/>
    </row>
    <row customHeight="1" ht="117">
      <c r="A15" s="1244" t="s">
        <v>1974</v>
      </c>
      <c r="B15" s="1244"/>
      <c r="C15" s="1244" t="s">
        <v>1975</v>
      </c>
      <c r="D15" s="1244"/>
      <c r="E15" s="1244"/>
      <c r="F15" s="1384"/>
      <c r="G15" s="1384"/>
      <c r="H15" s="1384"/>
    </row>
    <row customHeight="1" ht="63">
      <c r="A16" s="1244" t="s">
        <v>1976</v>
      </c>
      <c r="B16" s="1244"/>
      <c r="C16" s="1244" t="s">
        <v>1977</v>
      </c>
      <c r="D16" s="1244"/>
      <c r="E16" s="1244"/>
      <c r="F16" s="1384"/>
      <c r="G16" s="1384"/>
      <c r="H16" s="1384"/>
    </row>
    <row customHeight="1" ht="54">
      <c r="A17" s="1244" t="s">
        <v>1978</v>
      </c>
      <c r="B17" s="1244"/>
      <c r="C17" s="1382" t="s">
        <v>1979</v>
      </c>
      <c r="D17" s="1244"/>
      <c r="E17" s="1244"/>
      <c r="F17" s="1384"/>
      <c r="G17" s="1384"/>
      <c r="H17" s="1384"/>
    </row>
    <row customHeight="1" ht="27">
      <c r="A18" s="1244" t="s">
        <v>1980</v>
      </c>
      <c r="B18" s="1244"/>
      <c r="C18" s="1382" t="s">
        <v>1981</v>
      </c>
      <c r="D18" s="1244"/>
      <c r="E18" s="1244"/>
      <c r="F18" s="1384"/>
      <c r="G18" s="1384"/>
      <c r="H18" s="1384"/>
    </row>
    <row customHeight="1" ht="54">
      <c r="A19" s="1244" t="s">
        <v>1982</v>
      </c>
      <c r="B19" s="1244"/>
      <c r="C19" s="1382" t="s">
        <v>1983</v>
      </c>
      <c r="D19" s="1244"/>
      <c r="E19" s="1244"/>
      <c r="F19" s="1384"/>
      <c r="G19" s="1384"/>
      <c r="H19" s="1384"/>
    </row>
    <row customHeight="1" ht="36">
      <c r="A20" s="1244" t="s">
        <v>1984</v>
      </c>
      <c r="B20" s="1244"/>
      <c r="C20" s="1382" t="s">
        <v>1985</v>
      </c>
      <c r="D20" s="1244"/>
      <c r="E20" s="1244"/>
      <c r="F20" s="1384"/>
      <c r="G20" s="1384"/>
      <c r="H20" s="1384"/>
    </row>
    <row customHeight="1" ht="36">
      <c r="A21" s="1244" t="s">
        <v>1986</v>
      </c>
      <c r="B21" s="1244"/>
      <c r="C21" s="1382" t="s">
        <v>1987</v>
      </c>
      <c r="D21" s="1244"/>
      <c r="E21" s="1244"/>
      <c r="F21" s="1384"/>
      <c r="G21" s="1384"/>
      <c r="H21" s="1384"/>
    </row>
    <row customHeight="1" ht="27">
      <c r="A22" s="1244" t="s">
        <v>1988</v>
      </c>
      <c r="B22" s="1244"/>
      <c r="C22" s="1382" t="s">
        <v>1989</v>
      </c>
      <c r="D22" s="1244"/>
      <c r="E22" s="1244"/>
      <c r="F22" s="1384"/>
      <c r="G22" s="1384"/>
      <c r="H22" s="1384"/>
    </row>
    <row customHeight="1" ht="36">
      <c r="A23" s="1244" t="s">
        <v>1990</v>
      </c>
      <c r="B23" s="1244"/>
      <c r="C23" s="1382" t="s">
        <v>1991</v>
      </c>
      <c r="D23" s="1244"/>
      <c r="E23" s="1244"/>
      <c r="F23" s="1384"/>
      <c r="G23" s="1384"/>
      <c r="H23" s="1384"/>
    </row>
    <row customHeight="1" ht="28.5">
      <c r="A24" s="1244" t="s">
        <v>1992</v>
      </c>
      <c r="B24" s="1244"/>
      <c r="C24" s="1382" t="s">
        <v>1993</v>
      </c>
      <c r="D24" s="1244"/>
      <c r="E24" s="1244"/>
      <c r="F24" s="1384"/>
      <c r="G24" s="1384"/>
      <c r="H24" s="1384"/>
    </row>
    <row customHeight="1" ht="36">
      <c r="A25" s="1244" t="s">
        <v>1994</v>
      </c>
      <c r="B25" s="1244"/>
      <c r="C25" s="1382" t="s">
        <v>1995</v>
      </c>
      <c r="D25" s="1244"/>
      <c r="E25" s="1244"/>
      <c r="F25" s="1384"/>
      <c r="G25" s="1384"/>
      <c r="H25" s="1384"/>
    </row>
    <row customHeight="1" ht="27">
      <c r="A26" s="1244" t="s">
        <v>1996</v>
      </c>
      <c r="B26" s="1244"/>
      <c r="C26" s="1382" t="s">
        <v>1997</v>
      </c>
      <c r="D26" s="1244"/>
      <c r="E26" s="1244"/>
      <c r="F26" s="1384"/>
      <c r="G26" s="1384"/>
      <c r="H26" s="1384"/>
    </row>
    <row customHeight="1" ht="36">
      <c r="A27" s="1244" t="s">
        <v>1998</v>
      </c>
      <c r="B27" s="1244"/>
      <c r="C27" s="1382" t="s">
        <v>1999</v>
      </c>
      <c r="D27" s="1244"/>
      <c r="E27" s="1244"/>
      <c r="F27" s="1384"/>
      <c r="G27" s="1384"/>
      <c r="H27" s="1384"/>
    </row>
    <row customHeight="1" ht="28.5">
      <c r="A28" s="1244" t="s">
        <v>2000</v>
      </c>
      <c r="B28" s="1244"/>
      <c r="C28" s="1382" t="s">
        <v>2001</v>
      </c>
      <c r="D28" s="1244"/>
      <c r="E28" s="1244"/>
      <c r="F28" s="1384"/>
      <c r="G28" s="1384"/>
      <c r="H28" s="1384"/>
    </row>
    <row customHeight="1" ht="126">
      <c r="A29" s="1244" t="s">
        <v>2002</v>
      </c>
      <c r="B29" s="1244" t="s">
        <v>1573</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2003</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2004</v>
      </c>
    </row>
    <row customHeight="1" ht="36">
      <c r="A30" s="1244" t="s">
        <v>2005</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2006</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2007</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2008</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2009</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2010</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2011</v>
      </c>
    </row>
    <row customHeight="1" ht="9">
      <c r="A33" s="1244"/>
      <c r="B33" s="1244"/>
      <c r="C33" s="1382"/>
      <c r="D33" s="1244"/>
      <c r="E33" s="1244"/>
      <c r="F33" s="1384"/>
      <c r="G33" s="1384"/>
      <c r="H33" s="1384"/>
    </row>
    <row customHeight="1" ht="9">
      <c r="A34" s="1244"/>
      <c r="B34" s="1244" t="s">
        <v>1509</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587C7C-6BCB-144C-594D-1618EC20AA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792" width="9.140625"/>
    <col min="3" max="7" style="27836" width="8.00390625" customWidth="1"/>
    <col min="8" max="12" style="27836" width="8.57421875" customWidth="1"/>
    <col min="13" max="14" style="27836" width="27.7109375" customWidth="1"/>
    <col min="15" max="19" style="27836" width="5.140625" customWidth="1"/>
    <col min="20" max="24" style="27836" width="27.7109375" customWidth="1"/>
    <col min="25" max="25" style="27837" width="1.8515625" customWidth="1"/>
    <col min="26" max="26" style="27792" width="27.7109375" customWidth="1"/>
    <col min="27" max="27" style="27838" width="27.7109375" customWidth="1"/>
    <col min="28" max="29" style="27792" width="27.7109375" customWidth="1"/>
    <col min="30" max="30" style="27792" width="3.8515625" customWidth="1"/>
    <col min="31" max="34" style="27792" width="9.140625"/>
  </cols>
  <sheetData>
    <row s="27794" customFormat="1" customHeight="1" ht="18">
      <c r="A1" s="1296"/>
      <c r="B1" s="1296"/>
      <c r="C1" s="1296" t="s">
        <v>2012</v>
      </c>
      <c r="D1" s="1296"/>
      <c r="E1" s="1296"/>
      <c r="F1" s="1296"/>
      <c r="G1" s="1296"/>
      <c r="H1" s="1296" t="s">
        <v>2013</v>
      </c>
      <c r="I1" s="1296"/>
      <c r="J1" s="1296"/>
      <c r="K1" s="1296"/>
      <c r="L1" s="1296"/>
      <c r="M1" s="1296" t="s">
        <v>2014</v>
      </c>
      <c r="N1" s="1296" t="s">
        <v>2015</v>
      </c>
      <c r="O1" s="2990" t="s">
        <v>2016</v>
      </c>
      <c r="P1" s="2990"/>
      <c r="Q1" s="2990"/>
      <c r="R1" s="2990"/>
      <c r="S1" s="2990"/>
      <c r="T1" s="2990" t="s">
        <v>2014</v>
      </c>
      <c r="U1" s="2990"/>
      <c r="V1" s="2990"/>
      <c r="W1" s="2990"/>
      <c r="X1" s="2990"/>
      <c r="Y1" s="1397"/>
      <c r="Z1" s="2990" t="s">
        <v>2017</v>
      </c>
      <c r="AA1" s="2990"/>
      <c r="AB1" s="2990"/>
      <c r="AC1" s="2990"/>
      <c r="AD1" s="2990"/>
    </row>
    <row customHeight="1" ht="18">
      <c r="A2" s="1244"/>
      <c r="B2" s="1244"/>
      <c r="C2" s="1239" t="s">
        <v>813</v>
      </c>
      <c r="D2" s="1239" t="s">
        <v>859</v>
      </c>
      <c r="E2" s="1239" t="s">
        <v>912</v>
      </c>
      <c r="F2" s="1239" t="s">
        <v>899</v>
      </c>
      <c r="G2" s="1239" t="s">
        <v>1621</v>
      </c>
      <c r="H2" s="1241"/>
      <c r="I2" s="1241"/>
      <c r="J2" s="1241"/>
      <c r="K2" s="1241"/>
      <c r="L2" s="1241"/>
      <c r="M2" s="1241"/>
      <c r="N2" s="1241"/>
      <c r="O2" s="1239" t="s">
        <v>813</v>
      </c>
      <c r="P2" s="1239" t="s">
        <v>859</v>
      </c>
      <c r="Q2" s="1239" t="s">
        <v>899</v>
      </c>
      <c r="R2" s="1239" t="s">
        <v>912</v>
      </c>
      <c r="S2" s="1239" t="s">
        <v>1621</v>
      </c>
      <c r="T2" s="1239" t="s">
        <v>813</v>
      </c>
      <c r="U2" s="1239" t="s">
        <v>859</v>
      </c>
      <c r="V2" s="1239" t="s">
        <v>899</v>
      </c>
      <c r="W2" s="1239" t="s">
        <v>912</v>
      </c>
      <c r="X2" s="1239" t="s">
        <v>1621</v>
      </c>
      <c r="Y2" s="1239"/>
      <c r="Z2" s="1239" t="s">
        <v>813</v>
      </c>
      <c r="AA2" s="1248" t="s">
        <v>859</v>
      </c>
      <c r="AB2" s="1239" t="s">
        <v>899</v>
      </c>
      <c r="AC2" s="1239" t="s">
        <v>912</v>
      </c>
      <c r="AD2" s="1239" t="s">
        <v>1621</v>
      </c>
    </row>
    <row customHeight="1" ht="162">
      <c r="A3" s="1243" t="s">
        <v>26</v>
      </c>
      <c r="B3" s="1243"/>
      <c r="C3" s="2994" t="s">
        <v>2018</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2019</v>
      </c>
      <c r="AA3" s="1241" t="s">
        <v>2020</v>
      </c>
      <c r="AB3" s="1244" t="s">
        <v>2021</v>
      </c>
      <c r="AC3" s="1244" t="s">
        <v>2022</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1560</v>
      </c>
      <c r="D11" s="2997" t="s">
        <v>1556</v>
      </c>
      <c r="E11" s="2997" t="s">
        <v>1654</v>
      </c>
      <c r="F11" s="2997" t="s">
        <v>2023</v>
      </c>
      <c r="G11" s="2997"/>
      <c r="H11" s="1296" t="s">
        <v>2024</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2025</v>
      </c>
      <c r="U11" s="1241" t="s">
        <v>2026</v>
      </c>
      <c r="V11" s="1241"/>
      <c r="W11" s="1241"/>
      <c r="X11" s="1241"/>
      <c r="Y11" s="1398"/>
      <c r="Z11" s="1244" t="s">
        <v>2027</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2028</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2029</v>
      </c>
      <c r="U12" s="1241" t="s">
        <v>2030</v>
      </c>
      <c r="V12" s="1241"/>
      <c r="W12" s="1241"/>
      <c r="X12" s="1241"/>
      <c r="Y12" s="1398"/>
      <c r="Z12" s="1244" t="s">
        <v>2031</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2032</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2033</v>
      </c>
      <c r="U13" s="1242" t="s">
        <v>2034</v>
      </c>
      <c r="V13" s="1242"/>
      <c r="W13" s="1242"/>
      <c r="X13" s="1241"/>
      <c r="Y13" s="1398"/>
      <c r="Z13" s="1244" t="s">
        <v>2035</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2036</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2037</v>
      </c>
      <c r="AA14" s="1247" t="s">
        <v>2037</v>
      </c>
      <c r="AB14" s="1244"/>
      <c r="AC14" s="1244"/>
      <c r="AD14" s="1244"/>
    </row>
    <row customHeight="1" ht="108">
      <c r="A15" s="2991"/>
      <c r="B15" s="1297">
        <v>5</v>
      </c>
      <c r="C15" s="2998"/>
      <c r="D15" s="2998"/>
      <c r="E15" s="2998"/>
      <c r="F15" s="2998"/>
      <c r="G15" s="2998"/>
      <c r="H15" s="2992" t="s">
        <v>2038</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2039</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2040</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2040</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1657</v>
      </c>
      <c r="B18" s="1297">
        <v>1</v>
      </c>
      <c r="C18" s="1241" t="s">
        <v>2024</v>
      </c>
      <c r="D18" s="1365" t="s">
        <v>2024</v>
      </c>
      <c r="E18" s="1241" t="s">
        <v>2024</v>
      </c>
      <c r="F18" s="1241" t="s">
        <v>2024</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2041</v>
      </c>
      <c r="U18" s="1244" t="s">
        <v>2042</v>
      </c>
      <c r="V18" s="1244" t="s">
        <v>2043</v>
      </c>
      <c r="W18" s="1244" t="s">
        <v>2044</v>
      </c>
      <c r="X18" s="1241"/>
      <c r="Y18" s="1398"/>
      <c r="Z18" s="1244" t="s">
        <v>2045</v>
      </c>
      <c r="AA18" s="1247" t="s">
        <v>2046</v>
      </c>
      <c r="AB18" s="1247" t="s">
        <v>2046</v>
      </c>
      <c r="AC18" s="1247" t="s">
        <v>2046</v>
      </c>
      <c r="AD18" s="1244"/>
    </row>
    <row customHeight="1" ht="36">
      <c r="A19" s="1243"/>
      <c r="B19" s="1297">
        <v>2</v>
      </c>
      <c r="C19" s="1241" t="s">
        <v>2028</v>
      </c>
      <c r="D19" s="1365" t="s">
        <v>2028</v>
      </c>
      <c r="E19" s="1241" t="s">
        <v>2028</v>
      </c>
      <c r="F19" s="1241" t="s">
        <v>2028</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2047</v>
      </c>
      <c r="U19" s="1244" t="s">
        <v>2048</v>
      </c>
      <c r="V19" s="1244" t="s">
        <v>2049</v>
      </c>
      <c r="W19" s="1244" t="s">
        <v>2050</v>
      </c>
      <c r="X19" s="1241"/>
      <c r="Y19" s="1398"/>
      <c r="Z19" s="1244" t="s">
        <v>2051</v>
      </c>
      <c r="AA19" s="1247" t="s">
        <v>2051</v>
      </c>
      <c r="AB19" s="1247" t="s">
        <v>2051</v>
      </c>
      <c r="AC19" s="1247" t="s">
        <v>2051</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714</v>
      </c>
      <c r="P20" s="1355" t="s">
        <v>714</v>
      </c>
      <c r="Q20" s="1355" t="s">
        <v>714</v>
      </c>
      <c r="R20" s="1355" t="s">
        <v>714</v>
      </c>
      <c r="S20" s="1355"/>
      <c r="T20" s="1362" t="s">
        <v>2052</v>
      </c>
      <c r="U20" s="1244" t="s">
        <v>2053</v>
      </c>
      <c r="V20" s="1244" t="s">
        <v>2054</v>
      </c>
      <c r="W20" s="1244" t="s">
        <v>2055</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312</v>
      </c>
      <c r="P21" s="1355"/>
      <c r="Q21" s="1355"/>
      <c r="R21" s="1355"/>
      <c r="S21" s="1355"/>
      <c r="T21" s="1362" t="s">
        <v>2056</v>
      </c>
      <c r="U21" s="1244"/>
      <c r="V21" s="1244"/>
      <c r="W21" s="1244"/>
      <c r="X21" s="1241"/>
      <c r="Y21" s="1398"/>
      <c r="Z21" s="1244" t="s">
        <v>2057</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312</v>
      </c>
      <c r="R22" s="1355"/>
      <c r="S22" s="1355"/>
      <c r="T22" s="1362"/>
      <c r="U22" s="1244"/>
      <c r="V22" s="1244" t="s">
        <v>2058</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315</v>
      </c>
      <c r="R23" s="1355"/>
      <c r="S23" s="1355"/>
      <c r="T23" s="1362"/>
      <c r="U23" s="1244"/>
      <c r="V23" s="1244" t="s">
        <v>2059</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734</v>
      </c>
      <c r="R24" s="1355"/>
      <c r="S24" s="1355"/>
      <c r="T24" s="1362"/>
      <c r="U24" s="1244"/>
      <c r="V24" s="1244" t="s">
        <v>2060</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315</v>
      </c>
      <c r="P25" s="1355" t="s">
        <v>312</v>
      </c>
      <c r="Q25" s="1355" t="s">
        <v>741</v>
      </c>
      <c r="R25" s="1355" t="s">
        <v>312</v>
      </c>
      <c r="S25" s="1355"/>
      <c r="T25" s="1362" t="s">
        <v>2061</v>
      </c>
      <c r="U25" s="1244" t="s">
        <v>2061</v>
      </c>
      <c r="V25" s="1244" t="s">
        <v>2061</v>
      </c>
      <c r="W25" s="1244" t="s">
        <v>2061</v>
      </c>
      <c r="X25" s="1241"/>
      <c r="Y25" s="1398"/>
      <c r="Z25" s="1244"/>
      <c r="AA25" s="1247"/>
      <c r="AB25" s="1244"/>
      <c r="AC25" s="1244"/>
      <c r="AD25" s="1244"/>
    </row>
    <row customHeight="1" ht="18">
      <c r="A26" s="1243"/>
      <c r="B26" s="1297">
        <v>9</v>
      </c>
      <c r="C26" s="1241" t="s">
        <v>658</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v>
      </c>
      <c r="K26" s="1403">
        <f>INDEX(TEMPLATE_NOTE_POINT_FHD,B26,MATCH(TEMPLATE_SPHERE,TEMPLATE_SPHERE_LIST_FOR_NOTE,0))</f>
        <v>0</v>
      </c>
      <c r="L26" s="1242" t="str">
        <f>IF(I26=0,"",I26)</f>
        <v>2.3.1</v>
      </c>
      <c r="M26" s="1242" t="str">
        <f>IF(J26=0,"",J26)</f>
        <v>Средневзвешенная стоимость 1 кВт.ч</v>
      </c>
      <c r="N26" s="1242" t="str">
        <f>IF(K26=0,"",K26)</f>
        <v/>
      </c>
      <c r="O26" s="1355" t="s">
        <v>730</v>
      </c>
      <c r="P26" s="1355" t="s">
        <v>724</v>
      </c>
      <c r="Q26" s="1355" t="s">
        <v>2062</v>
      </c>
      <c r="R26" s="1355" t="s">
        <v>724</v>
      </c>
      <c r="S26" s="1355"/>
      <c r="T26" s="1362" t="str">
        <f>"Средневзвешенная стоимость 1 кВт.ч"&amp;IF(TITLE_TYPE_ORG="Регулируемая организация"," (с учетом мощности)","")</f>
        <v>Средневзвешенная стоимость 1 кВт.ч</v>
      </c>
      <c r="U26" s="1362" t="s">
        <v>2063</v>
      </c>
      <c r="V26" s="1362" t="s">
        <v>2063</v>
      </c>
      <c r="W26" s="1362" t="s">
        <v>2063</v>
      </c>
      <c r="X26" s="1241"/>
      <c r="Y26" s="1398"/>
      <c r="Z26" s="1244"/>
      <c r="AA26" s="1247"/>
      <c r="AB26" s="1244"/>
      <c r="AC26" s="1244"/>
      <c r="AD26" s="1244"/>
    </row>
    <row customHeight="1" ht="18">
      <c r="A27" s="1243"/>
      <c r="B27" s="1297">
        <v>10</v>
      </c>
      <c r="C27" s="1241" t="s">
        <v>662</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732</v>
      </c>
      <c r="P27" s="1355" t="s">
        <v>726</v>
      </c>
      <c r="Q27" s="1355" t="s">
        <v>2064</v>
      </c>
      <c r="R27" s="1355" t="s">
        <v>726</v>
      </c>
      <c r="S27" s="1355"/>
      <c r="T27" s="1362" t="s">
        <v>2065</v>
      </c>
      <c r="U27" s="1362" t="s">
        <v>2065</v>
      </c>
      <c r="V27" s="1362" t="s">
        <v>2065</v>
      </c>
      <c r="W27" s="1362" t="s">
        <v>2065</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734</v>
      </c>
      <c r="P28" s="1355"/>
      <c r="Q28" s="1355"/>
      <c r="R28" s="1355"/>
      <c r="S28" s="1355"/>
      <c r="T28" s="1362" t="s">
        <v>2066</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 реагенты, используемые в технологическом процессе</v>
      </c>
      <c r="N29" s="1242" t="str">
        <f>IF(K29=0,"",K29)</f>
        <v/>
      </c>
      <c r="O29" s="1355" t="s">
        <v>741</v>
      </c>
      <c r="P29" s="1355" t="s">
        <v>315</v>
      </c>
      <c r="Q29" s="1355"/>
      <c r="R29" s="1355" t="s">
        <v>315</v>
      </c>
      <c r="S29" s="1355"/>
      <c r="T29" s="136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44" t="s">
        <v>2067</v>
      </c>
      <c r="V29" s="1244"/>
      <c r="W29" s="1244" t="s">
        <v>2067</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743</v>
      </c>
      <c r="P30" s="1355" t="s">
        <v>734</v>
      </c>
      <c r="Q30" s="1355" t="s">
        <v>743</v>
      </c>
      <c r="R30" s="1355" t="s">
        <v>734</v>
      </c>
      <c r="S30" s="1355"/>
      <c r="T30" s="1362" t="s">
        <v>2068</v>
      </c>
      <c r="U30" s="1244" t="s">
        <v>2068</v>
      </c>
      <c r="V30" s="1244" t="s">
        <v>2068</v>
      </c>
      <c r="W30" s="1244" t="s">
        <v>2068</v>
      </c>
      <c r="X30" s="1241"/>
      <c r="Y30" s="1398"/>
      <c r="Z30" s="1244"/>
      <c r="AA30" s="1247" t="s">
        <v>2069</v>
      </c>
      <c r="AB30" s="1247" t="s">
        <v>2069</v>
      </c>
      <c r="AC30" s="1247" t="s">
        <v>2069</v>
      </c>
      <c r="AD30" s="1244"/>
    </row>
    <row customHeight="1" ht="18">
      <c r="A31" s="1243"/>
      <c r="B31" s="1297">
        <v>14</v>
      </c>
      <c r="C31" s="1241" t="s">
        <v>2070</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2071</v>
      </c>
      <c r="P31" s="1355" t="s">
        <v>737</v>
      </c>
      <c r="Q31" s="1355" t="s">
        <v>2071</v>
      </c>
      <c r="R31" s="1355" t="s">
        <v>737</v>
      </c>
      <c r="S31" s="1355"/>
      <c r="T31" s="1363" t="s">
        <v>2072</v>
      </c>
      <c r="U31" s="1244" t="s">
        <v>2072</v>
      </c>
      <c r="V31" s="1244" t="s">
        <v>2072</v>
      </c>
      <c r="W31" s="1244" t="s">
        <v>2072</v>
      </c>
      <c r="X31" s="1241"/>
      <c r="Y31" s="1398"/>
      <c r="Z31" s="1244"/>
      <c r="AA31" s="1247"/>
      <c r="AB31" s="1247"/>
      <c r="AC31" s="1247"/>
      <c r="AD31" s="1244"/>
    </row>
    <row customHeight="1" ht="36">
      <c r="A32" s="1243"/>
      <c r="B32" s="1297">
        <v>15</v>
      </c>
      <c r="C32" s="1241" t="s">
        <v>2073</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2074</v>
      </c>
      <c r="P32" s="1355" t="s">
        <v>739</v>
      </c>
      <c r="Q32" s="1355" t="s">
        <v>2074</v>
      </c>
      <c r="R32" s="1355" t="s">
        <v>739</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44" t="s">
        <v>2075</v>
      </c>
      <c r="V32" s="1244" t="s">
        <v>2075</v>
      </c>
      <c r="W32" s="1244" t="s">
        <v>2075</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42" t="str">
        <f>IF(K33=0,"",K33)</f>
        <v/>
      </c>
      <c r="O33" s="1355" t="s">
        <v>745</v>
      </c>
      <c r="P33" s="1355" t="s">
        <v>741</v>
      </c>
      <c r="Q33" s="1355" t="s">
        <v>745</v>
      </c>
      <c r="R33" s="1355" t="s">
        <v>741</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44" t="s">
        <v>2076</v>
      </c>
      <c r="V33" s="1244" t="s">
        <v>2076</v>
      </c>
      <c r="W33" s="1244" t="s">
        <v>2077</v>
      </c>
      <c r="X33" s="1241"/>
      <c r="Y33" s="1398"/>
      <c r="Z33" s="1244"/>
      <c r="AA33" s="1247" t="s">
        <v>2078</v>
      </c>
      <c r="AB33" s="1247" t="s">
        <v>2078</v>
      </c>
      <c r="AC33" s="1247" t="s">
        <v>2078</v>
      </c>
      <c r="AD33" s="1244"/>
    </row>
    <row customHeight="1" ht="27">
      <c r="A34" s="1243"/>
      <c r="B34" s="1297">
        <v>17</v>
      </c>
      <c r="C34" s="1241" t="s">
        <v>2079</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2080</v>
      </c>
      <c r="P34" s="1355" t="s">
        <v>2062</v>
      </c>
      <c r="Q34" s="1355" t="s">
        <v>2080</v>
      </c>
      <c r="R34" s="1355" t="s">
        <v>2062</v>
      </c>
      <c r="S34" s="1355"/>
      <c r="T34" s="1364" t="s">
        <v>2081</v>
      </c>
      <c r="U34" s="1244" t="s">
        <v>2081</v>
      </c>
      <c r="V34" s="1244" t="s">
        <v>2081</v>
      </c>
      <c r="W34" s="1244" t="s">
        <v>2082</v>
      </c>
      <c r="X34" s="1241"/>
      <c r="Y34" s="1398"/>
      <c r="Z34" s="1244"/>
      <c r="AA34" s="1247"/>
      <c r="AB34" s="1244"/>
      <c r="AC34" s="1244"/>
      <c r="AD34" s="1244"/>
    </row>
    <row customHeight="1" ht="45">
      <c r="A35" s="1243"/>
      <c r="B35" s="1297">
        <v>18</v>
      </c>
      <c r="C35" s="1241" t="s">
        <v>2083</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2084</v>
      </c>
      <c r="P35" s="1355" t="s">
        <v>2064</v>
      </c>
      <c r="Q35" s="1355" t="s">
        <v>2084</v>
      </c>
      <c r="R35" s="1355" t="s">
        <v>2064</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44" t="s">
        <v>2085</v>
      </c>
      <c r="V35" s="1244" t="s">
        <v>2085</v>
      </c>
      <c r="W35" s="1244" t="s">
        <v>2085</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747</v>
      </c>
      <c r="P36" s="1355" t="s">
        <v>743</v>
      </c>
      <c r="Q36" s="1355" t="s">
        <v>747</v>
      </c>
      <c r="R36" s="1355" t="s">
        <v>743</v>
      </c>
      <c r="S36" s="1355"/>
      <c r="T36" s="1362" t="s">
        <v>2086</v>
      </c>
      <c r="U36" s="1244" t="s">
        <v>2086</v>
      </c>
      <c r="V36" s="1244" t="s">
        <v>2086</v>
      </c>
      <c r="W36" s="1244" t="s">
        <v>2086</v>
      </c>
      <c r="X36" s="1241"/>
      <c r="Y36" s="1398"/>
      <c r="Z36" s="1244"/>
      <c r="AA36" s="1247"/>
      <c r="AB36" s="1244"/>
      <c r="AC36" s="1244"/>
      <c r="AD36" s="1244"/>
    </row>
    <row customHeight="1" ht="18">
      <c r="A37" s="1243"/>
      <c r="B37" s="1297">
        <v>20</v>
      </c>
      <c r="C37" s="1241" t="s">
        <v>2087</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2088</v>
      </c>
      <c r="P37" s="1355" t="s">
        <v>2071</v>
      </c>
      <c r="Q37" s="1355" t="s">
        <v>2088</v>
      </c>
      <c r="R37" s="1355" t="s">
        <v>2071</v>
      </c>
      <c r="S37" s="1355"/>
      <c r="T37" s="1362" t="s">
        <v>2089</v>
      </c>
      <c r="U37" s="1244" t="s">
        <v>2089</v>
      </c>
      <c r="V37" s="1244" t="s">
        <v>2089</v>
      </c>
      <c r="W37" s="1244" t="s">
        <v>2089</v>
      </c>
      <c r="X37" s="1241"/>
      <c r="Y37" s="1398"/>
      <c r="Z37" s="1244"/>
      <c r="AA37" s="1247"/>
      <c r="AB37" s="1244"/>
      <c r="AC37" s="1244"/>
      <c r="AD37" s="1244"/>
    </row>
    <row customHeight="1" ht="18">
      <c r="A38" s="1243"/>
      <c r="B38" s="1297">
        <v>21</v>
      </c>
      <c r="C38" s="1241" t="s">
        <v>2090</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2091</v>
      </c>
      <c r="P38" s="1355" t="s">
        <v>2074</v>
      </c>
      <c r="Q38" s="1355" t="s">
        <v>2091</v>
      </c>
      <c r="R38" s="1355" t="s">
        <v>2074</v>
      </c>
      <c r="S38" s="1355"/>
      <c r="T38" s="1362" t="s">
        <v>2092</v>
      </c>
      <c r="U38" s="1244" t="s">
        <v>2092</v>
      </c>
      <c r="V38" s="1244" t="s">
        <v>2092</v>
      </c>
      <c r="W38" s="1244" t="s">
        <v>2092</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751</v>
      </c>
      <c r="P39" s="1355" t="s">
        <v>745</v>
      </c>
      <c r="Q39" s="1355" t="s">
        <v>751</v>
      </c>
      <c r="R39" s="1355" t="s">
        <v>745</v>
      </c>
      <c r="S39" s="1355"/>
      <c r="T39" s="1362" t="s">
        <v>2093</v>
      </c>
      <c r="U39" s="1244" t="s">
        <v>2094</v>
      </c>
      <c r="V39" s="1244" t="s">
        <v>2095</v>
      </c>
      <c r="W39" s="1244" t="s">
        <v>2096</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2097</v>
      </c>
      <c r="P40" s="1355" t="s">
        <v>747</v>
      </c>
      <c r="Q40" s="1355" t="s">
        <v>2097</v>
      </c>
      <c r="R40" s="1355" t="s">
        <v>747</v>
      </c>
      <c r="S40" s="1355"/>
      <c r="T40" s="1241" t="s">
        <v>2098</v>
      </c>
      <c r="U40" s="1241" t="s">
        <v>2098</v>
      </c>
      <c r="V40" s="1241" t="s">
        <v>2098</v>
      </c>
      <c r="W40" s="1241" t="s">
        <v>2098</v>
      </c>
      <c r="X40" s="1241"/>
      <c r="Y40" s="1398"/>
      <c r="Z40" s="1244" t="s">
        <v>2099</v>
      </c>
      <c r="AA40" s="1247" t="s">
        <v>2099</v>
      </c>
      <c r="AB40" s="1247" t="s">
        <v>2099</v>
      </c>
      <c r="AC40" s="1247" t="s">
        <v>2099</v>
      </c>
      <c r="AD40" s="1244"/>
    </row>
    <row customHeight="1" ht="27">
      <c r="A41" s="1243"/>
      <c r="B41" s="1297">
        <v>24</v>
      </c>
      <c r="C41" s="1241" t="s">
        <v>2100</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2101</v>
      </c>
      <c r="P41" s="1355" t="s">
        <v>2088</v>
      </c>
      <c r="Q41" s="1355" t="s">
        <v>2101</v>
      </c>
      <c r="R41" s="1355" t="s">
        <v>2088</v>
      </c>
      <c r="S41" s="1355"/>
      <c r="T41" s="1241" t="s">
        <v>2102</v>
      </c>
      <c r="U41" s="1241" t="s">
        <v>2102</v>
      </c>
      <c r="V41" s="1241" t="s">
        <v>2102</v>
      </c>
      <c r="W41" s="1241" t="s">
        <v>2102</v>
      </c>
      <c r="X41" s="1241"/>
      <c r="Y41" s="1398"/>
      <c r="Z41" s="1244" t="s">
        <v>2103</v>
      </c>
      <c r="AA41" s="1244" t="s">
        <v>2103</v>
      </c>
      <c r="AB41" s="1244" t="s">
        <v>2103</v>
      </c>
      <c r="AC41" s="1244" t="s">
        <v>2103</v>
      </c>
      <c r="AD41" s="1244"/>
    </row>
    <row customHeight="1" ht="27">
      <c r="A42" s="1243"/>
      <c r="B42" s="1297">
        <v>25</v>
      </c>
      <c r="C42" s="1241" t="s">
        <v>2104</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2105</v>
      </c>
      <c r="P42" s="1355" t="s">
        <v>2091</v>
      </c>
      <c r="Q42" s="1355" t="s">
        <v>2105</v>
      </c>
      <c r="R42" s="1355" t="s">
        <v>2091</v>
      </c>
      <c r="S42" s="1355"/>
      <c r="T42" s="1241" t="s">
        <v>2106</v>
      </c>
      <c r="U42" s="1241" t="s">
        <v>2106</v>
      </c>
      <c r="V42" s="1241" t="s">
        <v>2106</v>
      </c>
      <c r="W42" s="1241" t="s">
        <v>2106</v>
      </c>
      <c r="X42" s="1241"/>
      <c r="Y42" s="1398"/>
      <c r="Z42" s="1244" t="s">
        <v>2107</v>
      </c>
      <c r="AA42" s="1244" t="s">
        <v>2107</v>
      </c>
      <c r="AB42" s="1244" t="s">
        <v>2107</v>
      </c>
      <c r="AC42" s="1244" t="s">
        <v>2107</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2108</v>
      </c>
      <c r="P43" s="1355" t="s">
        <v>751</v>
      </c>
      <c r="Q43" s="1355" t="s">
        <v>2108</v>
      </c>
      <c r="R43" s="1355" t="s">
        <v>751</v>
      </c>
      <c r="S43" s="1355"/>
      <c r="T43" s="1241" t="s">
        <v>2109</v>
      </c>
      <c r="U43" s="1241" t="s">
        <v>2109</v>
      </c>
      <c r="V43" s="1241" t="s">
        <v>2109</v>
      </c>
      <c r="W43" s="1241" t="s">
        <v>2109</v>
      </c>
      <c r="X43" s="1241"/>
      <c r="Y43" s="1398"/>
      <c r="Z43" s="1244" t="s">
        <v>2110</v>
      </c>
      <c r="AA43" s="1244" t="s">
        <v>2110</v>
      </c>
      <c r="AB43" s="1244" t="s">
        <v>2110</v>
      </c>
      <c r="AC43" s="1244" t="s">
        <v>2110</v>
      </c>
      <c r="AD43" s="1244"/>
    </row>
    <row customHeight="1" ht="27">
      <c r="A44" s="1243"/>
      <c r="B44" s="1297">
        <v>27</v>
      </c>
      <c r="C44" s="1241" t="s">
        <v>2111</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2112</v>
      </c>
      <c r="P44" s="1355" t="s">
        <v>2113</v>
      </c>
      <c r="Q44" s="1355" t="s">
        <v>2112</v>
      </c>
      <c r="R44" s="1355" t="s">
        <v>2113</v>
      </c>
      <c r="S44" s="1355"/>
      <c r="T44" s="1241" t="s">
        <v>2102</v>
      </c>
      <c r="U44" s="1241" t="s">
        <v>2102</v>
      </c>
      <c r="V44" s="1241" t="s">
        <v>2102</v>
      </c>
      <c r="W44" s="1241" t="s">
        <v>2102</v>
      </c>
      <c r="X44" s="1241"/>
      <c r="Y44" s="1398"/>
      <c r="Z44" s="1244" t="s">
        <v>2114</v>
      </c>
      <c r="AA44" s="1244" t="s">
        <v>2114</v>
      </c>
      <c r="AB44" s="1244" t="s">
        <v>2114</v>
      </c>
      <c r="AC44" s="1244" t="s">
        <v>2114</v>
      </c>
      <c r="AD44" s="1244"/>
    </row>
    <row customHeight="1" ht="27">
      <c r="A45" s="1243"/>
      <c r="B45" s="1297">
        <v>28</v>
      </c>
      <c r="C45" s="1241" t="s">
        <v>2115</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2116</v>
      </c>
      <c r="P45" s="1355" t="s">
        <v>2117</v>
      </c>
      <c r="Q45" s="1355" t="s">
        <v>2116</v>
      </c>
      <c r="R45" s="1355" t="s">
        <v>2117</v>
      </c>
      <c r="S45" s="1355"/>
      <c r="T45" s="1241" t="s">
        <v>2106</v>
      </c>
      <c r="U45" s="1241" t="s">
        <v>2106</v>
      </c>
      <c r="V45" s="1241" t="s">
        <v>2106</v>
      </c>
      <c r="W45" s="1241" t="s">
        <v>2106</v>
      </c>
      <c r="X45" s="1241"/>
      <c r="Y45" s="1398"/>
      <c r="Z45" s="1244" t="s">
        <v>2118</v>
      </c>
      <c r="AA45" s="1244" t="s">
        <v>2118</v>
      </c>
      <c r="AB45" s="1244" t="s">
        <v>2118</v>
      </c>
      <c r="AC45" s="1244" t="s">
        <v>2118</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производственных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производственных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2119</v>
      </c>
      <c r="P46" s="1355" t="s">
        <v>2097</v>
      </c>
      <c r="Q46" s="1355" t="s">
        <v>2119</v>
      </c>
      <c r="R46" s="1355" t="s">
        <v>2097</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41" t="s">
        <v>2120</v>
      </c>
      <c r="V46" s="1241" t="s">
        <v>2120</v>
      </c>
      <c r="W46" s="1241" t="s">
        <v>2120</v>
      </c>
      <c r="X46" s="1241"/>
      <c r="Y46" s="1398"/>
      <c r="Z46" s="1244" t="s">
        <v>2121</v>
      </c>
      <c r="AA46" s="1244" t="s">
        <v>2122</v>
      </c>
      <c r="AB46" s="1244" t="s">
        <v>2122</v>
      </c>
      <c r="AC46" s="1244" t="s">
        <v>2122</v>
      </c>
      <c r="AD46" s="1244"/>
    </row>
    <row customHeight="1" ht="54">
      <c r="A47" s="1243"/>
      <c r="B47" s="1297">
        <v>30</v>
      </c>
      <c r="C47" s="1241" t="s">
        <v>2123</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2124</v>
      </c>
      <c r="P47" s="1355" t="s">
        <v>2101</v>
      </c>
      <c r="Q47" s="1355" t="s">
        <v>2124</v>
      </c>
      <c r="R47" s="1355" t="s">
        <v>2101</v>
      </c>
      <c r="S47" s="1355"/>
      <c r="T47" s="1241" t="s">
        <v>2125</v>
      </c>
      <c r="U47" s="1241" t="s">
        <v>2125</v>
      </c>
      <c r="V47" s="1241" t="s">
        <v>2125</v>
      </c>
      <c r="W47" s="1241" t="s">
        <v>2125</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2108</v>
      </c>
      <c r="Q48" s="1355" t="s">
        <v>2126</v>
      </c>
      <c r="R48" s="1355" t="s">
        <v>2108</v>
      </c>
      <c r="S48" s="1355"/>
      <c r="T48" s="1241"/>
      <c r="U48" s="1241" t="s">
        <v>2127</v>
      </c>
      <c r="V48" s="1241" t="s">
        <v>2128</v>
      </c>
      <c r="W48" s="1241" t="s">
        <v>2128</v>
      </c>
      <c r="X48" s="1241"/>
      <c r="Y48" s="1398"/>
      <c r="Z48" s="1244"/>
      <c r="AA48" s="1247" t="s">
        <v>2122</v>
      </c>
      <c r="AB48" s="1247" t="s">
        <v>2122</v>
      </c>
      <c r="AC48" s="1247" t="s">
        <v>2122</v>
      </c>
      <c r="AD48" s="1244"/>
    </row>
    <row customHeight="1" ht="54">
      <c r="A49" s="1243"/>
      <c r="B49" s="1297">
        <v>32</v>
      </c>
      <c r="C49" s="1241" t="s">
        <v>2129</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2112</v>
      </c>
      <c r="Q49" s="1355" t="s">
        <v>2130</v>
      </c>
      <c r="R49" s="1355" t="s">
        <v>2112</v>
      </c>
      <c r="S49" s="1355"/>
      <c r="T49" s="1241"/>
      <c r="U49" s="1241" t="s">
        <v>2125</v>
      </c>
      <c r="V49" s="1241" t="s">
        <v>2125</v>
      </c>
      <c r="W49" s="1241" t="s">
        <v>2125</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2126</v>
      </c>
      <c r="P50" s="1355" t="s">
        <v>2119</v>
      </c>
      <c r="Q50" s="1355" t="s">
        <v>2131</v>
      </c>
      <c r="R50" s="1355" t="s">
        <v>2119</v>
      </c>
      <c r="S50" s="1355"/>
      <c r="T50" s="1241" t="s">
        <v>2132</v>
      </c>
      <c r="U50" s="1241" t="s">
        <v>2133</v>
      </c>
      <c r="V50" s="1241" t="s">
        <v>2134</v>
      </c>
      <c r="W50" s="1241" t="s">
        <v>2135</v>
      </c>
      <c r="X50" s="1241"/>
      <c r="Y50" s="1398"/>
      <c r="Z50" s="1244" t="s">
        <v>2136</v>
      </c>
      <c r="AA50" s="1247" t="s">
        <v>2137</v>
      </c>
      <c r="AB50" s="1247" t="s">
        <v>2137</v>
      </c>
      <c r="AC50" s="1247" t="s">
        <v>2137</v>
      </c>
      <c r="AD50" s="1244"/>
    </row>
    <row customHeight="1" ht="27">
      <c r="A51" s="1243"/>
      <c r="B51" s="1297">
        <v>34</v>
      </c>
      <c r="C51" s="1241" t="s">
        <v>2138</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91</v>
      </c>
      <c r="P51" s="1355"/>
      <c r="Q51" s="1355"/>
      <c r="R51" s="1355"/>
      <c r="S51" s="1355"/>
      <c r="T51" s="1241" t="s">
        <v>2139</v>
      </c>
      <c r="U51" s="1241"/>
      <c r="V51" s="1241"/>
      <c r="W51" s="1241"/>
      <c r="X51" s="1241"/>
      <c r="Y51" s="1398"/>
      <c r="Z51" s="1244"/>
      <c r="AA51" s="1247"/>
      <c r="AB51" s="1247"/>
      <c r="AC51" s="1247"/>
      <c r="AD51" s="1244"/>
    </row>
    <row customHeight="1" ht="36">
      <c r="A52" s="1243"/>
      <c r="B52" s="1297">
        <v>35</v>
      </c>
      <c r="C52" s="1241" t="s">
        <v>2032</v>
      </c>
      <c r="D52" s="1365" t="s">
        <v>2032</v>
      </c>
      <c r="E52" s="1241" t="s">
        <v>2032</v>
      </c>
      <c r="F52" s="1241" t="s">
        <v>2032</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92</v>
      </c>
      <c r="P52" s="1355" t="s">
        <v>91</v>
      </c>
      <c r="Q52" s="1355" t="s">
        <v>91</v>
      </c>
      <c r="R52" s="1355" t="s">
        <v>91</v>
      </c>
      <c r="S52" s="1355"/>
      <c r="T52" s="1241" t="s">
        <v>2140</v>
      </c>
      <c r="U52" s="1241" t="s">
        <v>2141</v>
      </c>
      <c r="V52" s="1241" t="s">
        <v>2142</v>
      </c>
      <c r="W52" s="1241" t="s">
        <v>2143</v>
      </c>
      <c r="X52" s="1241"/>
      <c r="Y52" s="1398"/>
      <c r="Z52" s="1244" t="s">
        <v>755</v>
      </c>
      <c r="AA52" s="1247" t="s">
        <v>755</v>
      </c>
      <c r="AB52" s="1247" t="s">
        <v>755</v>
      </c>
      <c r="AC52" s="1247" t="s">
        <v>755</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759</v>
      </c>
      <c r="P53" s="1355" t="s">
        <v>329</v>
      </c>
      <c r="Q53" s="1355" t="s">
        <v>329</v>
      </c>
      <c r="R53" s="1355" t="s">
        <v>329</v>
      </c>
      <c r="S53" s="1355"/>
      <c r="T53" s="1241" t="s">
        <v>2144</v>
      </c>
      <c r="U53" s="1241" t="s">
        <v>2144</v>
      </c>
      <c r="V53" s="1241" t="s">
        <v>2144</v>
      </c>
      <c r="W53" s="1241" t="s">
        <v>2144</v>
      </c>
      <c r="X53" s="1241"/>
      <c r="Y53" s="1398"/>
      <c r="Z53" s="1244"/>
      <c r="AA53" s="1247"/>
      <c r="AB53" s="1244"/>
      <c r="AC53" s="1244"/>
      <c r="AD53" s="1244"/>
    </row>
    <row customHeight="1" ht="18">
      <c r="A54" s="1243"/>
      <c r="B54" s="1297">
        <v>37</v>
      </c>
      <c r="C54" s="1241" t="s">
        <v>2038</v>
      </c>
      <c r="D54" s="1365" t="s">
        <v>2038</v>
      </c>
      <c r="E54" s="1241" t="s">
        <v>2038</v>
      </c>
      <c r="F54" s="1241" t="s">
        <v>2038</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112</v>
      </c>
      <c r="P54" s="1355" t="s">
        <v>92</v>
      </c>
      <c r="Q54" s="1355" t="s">
        <v>92</v>
      </c>
      <c r="R54" s="1355" t="s">
        <v>92</v>
      </c>
      <c r="S54" s="1355"/>
      <c r="T54" s="1241" t="s">
        <v>757</v>
      </c>
      <c r="U54" s="1241" t="s">
        <v>757</v>
      </c>
      <c r="V54" s="1241" t="s">
        <v>757</v>
      </c>
      <c r="W54" s="1241" t="s">
        <v>757</v>
      </c>
      <c r="X54" s="1241"/>
      <c r="Y54" s="1398"/>
      <c r="Z54" s="1244" t="s">
        <v>758</v>
      </c>
      <c r="AA54" s="1244" t="s">
        <v>758</v>
      </c>
      <c r="AB54" s="1244" t="s">
        <v>758</v>
      </c>
      <c r="AC54" s="1244" t="s">
        <v>758</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за счет их ввода в эксплуатацию (вывода из эксплуатации)</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за счет их ввода в эксплуатацию (вывода из эксплуатации)</v>
      </c>
      <c r="N55" s="1242" t="str">
        <f>IF(K55=0,"",K55)</f>
        <v>Указываются общее изменение стоимости основных фондов за счет их ввода в эксплуатацию и вывода из эксплуатации.</v>
      </c>
      <c r="O55" s="1355" t="s">
        <v>318</v>
      </c>
      <c r="P55" s="1355" t="s">
        <v>759</v>
      </c>
      <c r="Q55" s="1355" t="s">
        <v>759</v>
      </c>
      <c r="R55" s="1355" t="s">
        <v>759</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41" t="s">
        <v>2145</v>
      </c>
      <c r="V55" s="1241" t="s">
        <v>2145</v>
      </c>
      <c r="W55" s="1241" t="s">
        <v>2145</v>
      </c>
      <c r="X55" s="1241"/>
      <c r="Y55" s="1398"/>
      <c r="Z55" s="1244" t="s">
        <v>2146</v>
      </c>
      <c r="AA55" s="1244" t="s">
        <v>2146</v>
      </c>
      <c r="AB55" s="1244" t="s">
        <v>2146</v>
      </c>
      <c r="AC55" s="1244" t="s">
        <v>2146</v>
      </c>
      <c r="AD55" s="1244"/>
    </row>
    <row customHeight="1" ht="27">
      <c r="A56" s="1243"/>
      <c r="B56" s="1297">
        <v>39</v>
      </c>
      <c r="C56" s="1241" t="s">
        <v>1027</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за счет их ввода в эксплуатацию</v>
      </c>
      <c r="N56" s="1242" t="str">
        <f>IF(K56=0,"",K56)</f>
        <v>Указываются изменение стоимости основных фондов за счет их ввода в эксплуатацию.</v>
      </c>
      <c r="O56" s="1355" t="s">
        <v>1144</v>
      </c>
      <c r="P56" s="1355" t="s">
        <v>762</v>
      </c>
      <c r="Q56" s="1355" t="s">
        <v>762</v>
      </c>
      <c r="R56" s="1355" t="s">
        <v>762</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41" t="s">
        <v>2147</v>
      </c>
      <c r="V56" s="1241" t="s">
        <v>2147</v>
      </c>
      <c r="W56" s="1241" t="s">
        <v>2147</v>
      </c>
      <c r="X56" s="1241"/>
      <c r="Y56" s="1398"/>
      <c r="Z56" s="1244" t="s">
        <v>764</v>
      </c>
      <c r="AA56" s="1244" t="s">
        <v>764</v>
      </c>
      <c r="AB56" s="1244" t="s">
        <v>764</v>
      </c>
      <c r="AC56" s="1244" t="s">
        <v>764</v>
      </c>
      <c r="AD56" s="1244"/>
    </row>
    <row customHeight="1" ht="27">
      <c r="A57" s="1243"/>
      <c r="B57" s="1297">
        <v>40</v>
      </c>
      <c r="C57" s="1241" t="s">
        <v>1029</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за счет их вывода в эксплуатацию</v>
      </c>
      <c r="N57" s="1242" t="str">
        <f>IF(K57=0,"",K57)</f>
        <v>Указываются изменение стоимости основных фондов за счет их вывода из эксплуатации.</v>
      </c>
      <c r="O57" s="1355" t="s">
        <v>2148</v>
      </c>
      <c r="P57" s="1355" t="s">
        <v>765</v>
      </c>
      <c r="Q57" s="1355" t="s">
        <v>765</v>
      </c>
      <c r="R57" s="1355" t="s">
        <v>765</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41" t="s">
        <v>2149</v>
      </c>
      <c r="V57" s="1241" t="s">
        <v>2149</v>
      </c>
      <c r="W57" s="1241" t="s">
        <v>2149</v>
      </c>
      <c r="X57" s="1241"/>
      <c r="Y57" s="1398"/>
      <c r="Z57" s="1244" t="s">
        <v>767</v>
      </c>
      <c r="AA57" s="1244" t="s">
        <v>767</v>
      </c>
      <c r="AB57" s="1244" t="s">
        <v>767</v>
      </c>
      <c r="AC57" s="1244" t="s">
        <v>767</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за счет их переоценки</v>
      </c>
      <c r="K58" s="1403">
        <f>INDEX(TEMPLATE_NOTE_POINT_FHD,B58,MATCH(TEMPLATE_SPHERE,TEMPLATE_SPHERE_LIST_FOR_NOTE,0))</f>
        <v>0</v>
      </c>
      <c r="L58" s="1242" t="str">
        <f>IF(I58=0,"",I58)</f>
        <v>5.2</v>
      </c>
      <c r="M58" s="1242" t="str">
        <f>IF(J58=0,"",J58)</f>
        <v>за счет их переоценки</v>
      </c>
      <c r="N58" s="1242" t="str">
        <f>IF(K58=0,"",K58)</f>
        <v/>
      </c>
      <c r="O58" s="1355" t="s">
        <v>887</v>
      </c>
      <c r="P58" s="1355" t="s">
        <v>801</v>
      </c>
      <c r="Q58" s="1355" t="s">
        <v>801</v>
      </c>
      <c r="R58" s="1355" t="s">
        <v>801</v>
      </c>
      <c r="S58" s="1355"/>
      <c r="T58" s="1242" t="str">
        <f>IF(TITLE_TYPE_ORG="Регулируемая организация","Изменение стоимости основных фондов за счет их переоценки","за счет их переоценки")</f>
        <v>за счет их переоценки</v>
      </c>
      <c r="U58" s="1241" t="s">
        <v>2150</v>
      </c>
      <c r="V58" s="1241" t="s">
        <v>2150</v>
      </c>
      <c r="W58" s="1241" t="s">
        <v>2150</v>
      </c>
      <c r="X58" s="1241"/>
      <c r="Y58" s="1398"/>
      <c r="Z58" s="1244"/>
      <c r="AA58" s="1247"/>
      <c r="AB58" s="1244"/>
      <c r="AC58" s="1244"/>
      <c r="AD58" s="1244"/>
    </row>
    <row customHeight="1" ht="36">
      <c r="A59" s="1243"/>
      <c r="B59" s="1297">
        <v>42</v>
      </c>
      <c r="C59" s="1241">
        <v>3</v>
      </c>
      <c r="D59" s="1365" t="s">
        <v>2138</v>
      </c>
      <c r="E59" s="1241" t="s">
        <v>2138</v>
      </c>
      <c r="F59" s="1241" t="s">
        <v>2138</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112</v>
      </c>
      <c r="Q59" s="1355" t="s">
        <v>112</v>
      </c>
      <c r="R59" s="1355" t="s">
        <v>112</v>
      </c>
      <c r="S59" s="1355"/>
      <c r="T59" s="1241"/>
      <c r="U59" s="1241" t="s">
        <v>2151</v>
      </c>
      <c r="V59" s="1241" t="s">
        <v>2152</v>
      </c>
      <c r="W59" s="1241" t="s">
        <v>2153</v>
      </c>
      <c r="X59" s="1241"/>
      <c r="Y59" s="1398"/>
      <c r="Z59" s="1244"/>
      <c r="AA59" s="1247"/>
      <c r="AB59" s="1244"/>
      <c r="AC59" s="1244"/>
      <c r="AD59" s="1244"/>
    </row>
    <row customHeight="1" ht="81">
      <c r="A60" s="1243"/>
      <c r="B60" s="1297">
        <v>43</v>
      </c>
      <c r="C60" s="1241" t="s">
        <v>2154</v>
      </c>
      <c r="D60" s="1365" t="s">
        <v>2154</v>
      </c>
      <c r="E60" s="1241" t="s">
        <v>2154</v>
      </c>
      <c r="F60" s="1241" t="s">
        <v>2154</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93</v>
      </c>
      <c r="P60" s="1355" t="s">
        <v>93</v>
      </c>
      <c r="Q60" s="1355" t="s">
        <v>93</v>
      </c>
      <c r="R60" s="1355" t="s">
        <v>93</v>
      </c>
      <c r="S60" s="1355"/>
      <c r="T60" s="1241" t="s">
        <v>635</v>
      </c>
      <c r="U60" s="1241" t="s">
        <v>635</v>
      </c>
      <c r="V60" s="1241" t="s">
        <v>635</v>
      </c>
      <c r="W60" s="1241" t="s">
        <v>635</v>
      </c>
      <c r="X60" s="1241"/>
      <c r="Y60" s="1398"/>
      <c r="Z60" s="1244" t="s">
        <v>2155</v>
      </c>
      <c r="AA60" s="1247" t="s">
        <v>2156</v>
      </c>
      <c r="AB60" s="1244" t="s">
        <v>2157</v>
      </c>
      <c r="AC60" s="1244" t="s">
        <v>2156</v>
      </c>
      <c r="AD60" s="1244"/>
    </row>
    <row customHeight="1" ht="9">
      <c r="A61" s="1243"/>
      <c r="B61" s="1297">
        <v>44</v>
      </c>
      <c r="C61" s="1241"/>
      <c r="D61" s="1365" t="s">
        <v>2158</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94</v>
      </c>
      <c r="Q61" s="1355"/>
      <c r="R61" s="1355"/>
      <c r="S61" s="1355"/>
      <c r="T61" s="1241"/>
      <c r="U61" s="1241" t="s">
        <v>2159</v>
      </c>
      <c r="V61" s="1241"/>
      <c r="W61" s="1241"/>
      <c r="X61" s="1241"/>
      <c r="Y61" s="1398"/>
      <c r="Z61" s="1244"/>
      <c r="AA61" s="1247"/>
      <c r="AB61" s="1244"/>
      <c r="AC61" s="1244"/>
      <c r="AD61" s="1244"/>
    </row>
    <row customHeight="1" ht="9">
      <c r="A62" s="1243"/>
      <c r="B62" s="1297">
        <v>45</v>
      </c>
      <c r="C62" s="1241"/>
      <c r="D62" s="1365" t="s">
        <v>2160</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113</v>
      </c>
      <c r="Q62" s="1355"/>
      <c r="R62" s="1355"/>
      <c r="S62" s="1355"/>
      <c r="T62" s="1241"/>
      <c r="U62" s="1241" t="s">
        <v>2161</v>
      </c>
      <c r="V62" s="1241"/>
      <c r="W62" s="1241"/>
      <c r="X62" s="1241"/>
      <c r="Y62" s="1398"/>
      <c r="Z62" s="1244"/>
      <c r="AA62" s="1247"/>
      <c r="AB62" s="1244"/>
      <c r="AC62" s="1244"/>
      <c r="AD62" s="1244"/>
    </row>
    <row customHeight="1" ht="18">
      <c r="A63" s="1243"/>
      <c r="B63" s="1297">
        <v>46</v>
      </c>
      <c r="C63" s="1241"/>
      <c r="D63" s="1365" t="s">
        <v>2162</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149</v>
      </c>
      <c r="Q63" s="1355"/>
      <c r="R63" s="1355"/>
      <c r="S63" s="1355"/>
      <c r="T63" s="1241"/>
      <c r="U63" s="1241" t="s">
        <v>2163</v>
      </c>
      <c r="V63" s="1241"/>
      <c r="W63" s="1241"/>
      <c r="X63" s="1241"/>
      <c r="Y63" s="1398"/>
      <c r="Z63" s="1244"/>
      <c r="AA63" s="1247"/>
      <c r="AB63" s="1244"/>
      <c r="AC63" s="1244"/>
      <c r="AD63" s="1244"/>
    </row>
    <row customHeight="1" ht="18">
      <c r="A64" s="1243"/>
      <c r="B64" s="1297">
        <v>47</v>
      </c>
      <c r="C64" s="1241"/>
      <c r="D64" s="1365" t="s">
        <v>2164</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150</v>
      </c>
      <c r="Q64" s="1355"/>
      <c r="R64" s="1355"/>
      <c r="S64" s="1355"/>
      <c r="T64" s="1241"/>
      <c r="U64" s="1241" t="s">
        <v>2165</v>
      </c>
      <c r="V64" s="1241"/>
      <c r="W64" s="1241"/>
      <c r="X64" s="1241"/>
      <c r="Y64" s="1398"/>
      <c r="Z64" s="1244"/>
      <c r="AA64" s="1247" t="s">
        <v>2166</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2079</v>
      </c>
      <c r="Q65" s="1355"/>
      <c r="R65" s="1355"/>
      <c r="S65" s="1355"/>
      <c r="T65" s="1241"/>
      <c r="U65" s="1241" t="s">
        <v>2167</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2083</v>
      </c>
      <c r="Q66" s="1355"/>
      <c r="R66" s="1355"/>
      <c r="S66" s="1355"/>
      <c r="T66" s="1241"/>
      <c r="U66" s="1241" t="s">
        <v>2168</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2169</v>
      </c>
      <c r="Q67" s="1355"/>
      <c r="R67" s="1355"/>
      <c r="S67" s="1355"/>
      <c r="T67" s="1241"/>
      <c r="U67" s="1241" t="s">
        <v>2170</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2171</v>
      </c>
      <c r="Q68" s="1355"/>
      <c r="R68" s="1355"/>
      <c r="S68" s="1355"/>
      <c r="T68" s="1241"/>
      <c r="U68" s="1241" t="s">
        <v>2172</v>
      </c>
      <c r="V68" s="1241"/>
      <c r="W68" s="1241"/>
      <c r="X68" s="1241"/>
      <c r="Y68" s="1398"/>
      <c r="Z68" s="1244"/>
      <c r="AA68" s="1247"/>
      <c r="AB68" s="1244"/>
      <c r="AC68" s="1244"/>
      <c r="AD68" s="1244"/>
    </row>
    <row customHeight="1" ht="9">
      <c r="A69" s="1243"/>
      <c r="B69" s="1297">
        <v>52</v>
      </c>
      <c r="C69" s="1241"/>
      <c r="D69" s="1365" t="s">
        <v>2173</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151</v>
      </c>
      <c r="Q69" s="1355"/>
      <c r="R69" s="1355"/>
      <c r="S69" s="1355"/>
      <c r="T69" s="1241"/>
      <c r="U69" s="1241" t="s">
        <v>2174</v>
      </c>
      <c r="V69" s="1241"/>
      <c r="W69" s="1241"/>
      <c r="X69" s="1241"/>
      <c r="Y69" s="1398"/>
      <c r="Z69" s="1244"/>
      <c r="AA69" s="1247"/>
      <c r="AB69" s="1244"/>
      <c r="AC69" s="1244"/>
      <c r="AD69" s="1244"/>
    </row>
    <row customHeight="1" ht="27">
      <c r="A70" s="1243"/>
      <c r="B70" s="1297">
        <v>53</v>
      </c>
      <c r="C70" s="1241"/>
      <c r="D70" s="1365"/>
      <c r="E70" s="1241" t="s">
        <v>2158</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94</v>
      </c>
      <c r="R70" s="1355"/>
      <c r="S70" s="1355"/>
      <c r="T70" s="1241"/>
      <c r="U70" s="1241"/>
      <c r="V70" s="1241" t="s">
        <v>2175</v>
      </c>
      <c r="W70" s="1241"/>
      <c r="X70" s="1241"/>
      <c r="Y70" s="1398"/>
      <c r="Z70" s="1244"/>
      <c r="AA70" s="1247"/>
      <c r="AB70" s="1244"/>
      <c r="AC70" s="1244"/>
      <c r="AD70" s="1244"/>
    </row>
    <row customHeight="1" ht="36">
      <c r="A71" s="1243"/>
      <c r="B71" s="1297">
        <v>54</v>
      </c>
      <c r="C71" s="1241"/>
      <c r="D71" s="1365"/>
      <c r="E71" s="1241" t="s">
        <v>2160</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113</v>
      </c>
      <c r="R71" s="1355"/>
      <c r="S71" s="1355"/>
      <c r="T71" s="1241"/>
      <c r="U71" s="1241"/>
      <c r="V71" s="1241" t="s">
        <v>2176</v>
      </c>
      <c r="W71" s="1241"/>
      <c r="X71" s="1241"/>
      <c r="Y71" s="1398"/>
      <c r="Z71" s="1244"/>
      <c r="AA71" s="1247"/>
      <c r="AB71" s="1244"/>
      <c r="AC71" s="1244"/>
      <c r="AD71" s="1244"/>
    </row>
    <row customHeight="1" ht="27">
      <c r="A72" s="1243"/>
      <c r="B72" s="1297">
        <v>55</v>
      </c>
      <c r="C72" s="1241"/>
      <c r="D72" s="1365"/>
      <c r="E72" s="1241" t="s">
        <v>2162</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149</v>
      </c>
      <c r="R72" s="1355"/>
      <c r="S72" s="1355"/>
      <c r="T72" s="1241"/>
      <c r="U72" s="1241"/>
      <c r="V72" s="1241" t="s">
        <v>2177</v>
      </c>
      <c r="W72" s="1241"/>
      <c r="X72" s="1241"/>
      <c r="Y72" s="1398"/>
      <c r="Z72" s="1244"/>
      <c r="AA72" s="1247"/>
      <c r="AB72" s="1244"/>
      <c r="AC72" s="1244"/>
      <c r="AD72" s="1244"/>
    </row>
    <row customHeight="1" ht="36">
      <c r="A73" s="1243"/>
      <c r="B73" s="1297">
        <v>56</v>
      </c>
      <c r="C73" s="1241"/>
      <c r="D73" s="1365"/>
      <c r="E73" s="1241" t="s">
        <v>2164</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150</v>
      </c>
      <c r="R73" s="1355"/>
      <c r="S73" s="1355"/>
      <c r="T73" s="1241"/>
      <c r="U73" s="1241"/>
      <c r="V73" s="1241" t="s">
        <v>2178</v>
      </c>
      <c r="W73" s="1241"/>
      <c r="X73" s="1241"/>
      <c r="Y73" s="1398"/>
      <c r="Z73" s="1244"/>
      <c r="AA73" s="1247"/>
      <c r="AB73" s="1244"/>
      <c r="AC73" s="1244"/>
      <c r="AD73" s="1244"/>
    </row>
    <row customHeight="1" ht="18">
      <c r="A74" s="1243"/>
      <c r="B74" s="1297">
        <v>57</v>
      </c>
      <c r="C74" s="1241"/>
      <c r="D74" s="1365"/>
      <c r="E74" s="1241" t="s">
        <v>2173</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151</v>
      </c>
      <c r="R74" s="1355"/>
      <c r="S74" s="1355"/>
      <c r="T74" s="1241"/>
      <c r="U74" s="1241"/>
      <c r="V74" s="1241" t="s">
        <v>2179</v>
      </c>
      <c r="W74" s="1241"/>
      <c r="X74" s="1241"/>
      <c r="Y74" s="1398"/>
      <c r="Z74" s="1244"/>
      <c r="AA74" s="1247"/>
      <c r="AB74" s="1244"/>
      <c r="AC74" s="1244"/>
      <c r="AD74" s="1244"/>
    </row>
    <row customHeight="1" ht="18">
      <c r="A75" s="1243"/>
      <c r="B75" s="1297">
        <v>58</v>
      </c>
      <c r="C75" s="1241"/>
      <c r="D75" s="1365"/>
      <c r="E75" s="1241"/>
      <c r="F75" s="1241" t="s">
        <v>2158</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94</v>
      </c>
      <c r="S75" s="1355"/>
      <c r="T75" s="1241"/>
      <c r="U75" s="1241"/>
      <c r="V75" s="1241"/>
      <c r="W75" s="1241" t="s">
        <v>2180</v>
      </c>
      <c r="X75" s="1241"/>
      <c r="Y75" s="1398"/>
      <c r="Z75" s="1244"/>
      <c r="AA75" s="1247"/>
      <c r="AB75" s="1244"/>
      <c r="AC75" s="1244"/>
      <c r="AD75" s="1244"/>
    </row>
    <row customHeight="1" ht="36">
      <c r="A76" s="1243"/>
      <c r="B76" s="1297">
        <v>59</v>
      </c>
      <c r="C76" s="1241"/>
      <c r="D76" s="1365"/>
      <c r="E76" s="1241"/>
      <c r="F76" s="1241" t="s">
        <v>2160</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113</v>
      </c>
      <c r="S76" s="1355"/>
      <c r="T76" s="1241"/>
      <c r="U76" s="1241"/>
      <c r="V76" s="1241"/>
      <c r="W76" s="1241" t="s">
        <v>2181</v>
      </c>
      <c r="X76" s="1241"/>
      <c r="Y76" s="1398"/>
      <c r="Z76" s="1244"/>
      <c r="AA76" s="1247"/>
      <c r="AB76" s="1244"/>
      <c r="AC76" s="1244"/>
      <c r="AD76" s="1244"/>
    </row>
    <row customHeight="1" ht="18">
      <c r="A77" s="1243"/>
      <c r="B77" s="1297">
        <v>60</v>
      </c>
      <c r="C77" s="1241"/>
      <c r="D77" s="1365"/>
      <c r="E77" s="1241"/>
      <c r="F77" s="1241" t="s">
        <v>2162</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149</v>
      </c>
      <c r="S77" s="1355"/>
      <c r="T77" s="1241"/>
      <c r="U77" s="1241"/>
      <c r="V77" s="1241"/>
      <c r="W77" s="1241" t="s">
        <v>2182</v>
      </c>
      <c r="X77" s="1241"/>
      <c r="Y77" s="1398"/>
      <c r="Z77" s="1244"/>
      <c r="AA77" s="1247"/>
      <c r="AB77" s="1244"/>
      <c r="AC77" s="1244"/>
      <c r="AD77" s="1244"/>
    </row>
    <row customHeight="1" ht="72">
      <c r="A78" s="1243"/>
      <c r="B78" s="1297">
        <v>61</v>
      </c>
      <c r="C78" s="1241" t="s">
        <v>2158</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94</v>
      </c>
      <c r="P78" s="1355"/>
      <c r="Q78" s="1355"/>
      <c r="R78" s="1355"/>
      <c r="S78" s="1355"/>
      <c r="T78" s="1241" t="s">
        <v>640</v>
      </c>
      <c r="U78" s="1241"/>
      <c r="V78" s="1241"/>
      <c r="W78" s="1241"/>
      <c r="X78" s="1241"/>
      <c r="Y78" s="1398"/>
      <c r="Z78" s="1244" t="s">
        <v>2183</v>
      </c>
      <c r="AA78" s="1247"/>
      <c r="AB78" s="1244"/>
      <c r="AC78" s="1244"/>
      <c r="AD78" s="1244"/>
    </row>
    <row customHeight="1" ht="36">
      <c r="A79" s="1243"/>
      <c r="B79" s="1297">
        <v>62</v>
      </c>
      <c r="C79" s="1241" t="s">
        <v>2160</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113</v>
      </c>
      <c r="P79" s="1355"/>
      <c r="Q79" s="1355"/>
      <c r="R79" s="1355"/>
      <c r="S79" s="1355"/>
      <c r="T79" s="1241" t="s">
        <v>2184</v>
      </c>
      <c r="U79" s="1241"/>
      <c r="V79" s="1241"/>
      <c r="W79" s="1241"/>
      <c r="X79" s="1241"/>
      <c r="Y79" s="1398"/>
      <c r="Z79" s="1244" t="s">
        <v>2185</v>
      </c>
      <c r="AA79" s="1247"/>
      <c r="AB79" s="1244"/>
      <c r="AC79" s="1244"/>
      <c r="AD79" s="1244"/>
    </row>
    <row customHeight="1" ht="45">
      <c r="A80" s="1243"/>
      <c r="B80" s="1297">
        <v>63</v>
      </c>
      <c r="C80" s="1241" t="s">
        <v>2162</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149</v>
      </c>
      <c r="P80" s="1355"/>
      <c r="Q80" s="1355"/>
      <c r="R80" s="1355"/>
      <c r="S80" s="1355"/>
      <c r="T80" s="1241" t="s">
        <v>2186</v>
      </c>
      <c r="U80" s="1241"/>
      <c r="V80" s="1241"/>
      <c r="W80" s="1241"/>
      <c r="X80" s="1241"/>
      <c r="Y80" s="1398"/>
      <c r="Z80" s="1244" t="s">
        <v>2187</v>
      </c>
      <c r="AA80" s="1247"/>
      <c r="AB80" s="1244"/>
      <c r="AC80" s="1244"/>
      <c r="AD80" s="1244"/>
    </row>
    <row customHeight="1" ht="36">
      <c r="A81" s="1243"/>
      <c r="B81" s="1297">
        <v>64</v>
      </c>
      <c r="C81" s="1241" t="s">
        <v>2164</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2070</v>
      </c>
      <c r="P81" s="1355"/>
      <c r="Q81" s="1355"/>
      <c r="R81" s="1355"/>
      <c r="S81" s="1355"/>
      <c r="T81" s="1241" t="s">
        <v>2188</v>
      </c>
      <c r="U81" s="1241"/>
      <c r="V81" s="1241"/>
      <c r="W81" s="1241"/>
      <c r="X81" s="1241"/>
      <c r="Y81" s="1398"/>
      <c r="Z81" s="1244" t="s">
        <v>2189</v>
      </c>
      <c r="AA81" s="1247"/>
      <c r="AB81" s="1244"/>
      <c r="AC81" s="1244"/>
      <c r="AD81" s="1244"/>
    </row>
    <row customHeight="1" ht="90">
      <c r="A82" s="1243"/>
      <c r="B82" s="1297">
        <v>65</v>
      </c>
      <c r="C82" s="1241" t="s">
        <v>2173</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150</v>
      </c>
      <c r="P82" s="1355"/>
      <c r="Q82" s="1355"/>
      <c r="R82" s="1355"/>
      <c r="S82" s="1355"/>
      <c r="T82" s="1241" t="s">
        <v>2190</v>
      </c>
      <c r="U82" s="1241"/>
      <c r="V82" s="1241"/>
      <c r="W82" s="1241"/>
      <c r="X82" s="1241"/>
      <c r="Y82" s="1398"/>
      <c r="Z82" s="1244" t="s">
        <v>2191</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2079</v>
      </c>
      <c r="P83" s="1355"/>
      <c r="Q83" s="1355"/>
      <c r="R83" s="1355"/>
      <c r="S83" s="1355"/>
      <c r="T83" s="1241" t="s">
        <v>2192</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2193</v>
      </c>
      <c r="P84" s="1355"/>
      <c r="Q84" s="1355"/>
      <c r="R84" s="1355"/>
      <c r="S84" s="1355"/>
      <c r="T84" s="1241" t="s">
        <v>2194</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2083</v>
      </c>
      <c r="P85" s="1355"/>
      <c r="Q85" s="1355"/>
      <c r="R85" s="1355"/>
      <c r="S85" s="1355"/>
      <c r="T85" s="1241" t="s">
        <v>2195</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2196</v>
      </c>
      <c r="P86" s="1355"/>
      <c r="Q86" s="1355"/>
      <c r="R86" s="1355"/>
      <c r="S86" s="1355"/>
      <c r="T86" s="1241" t="s">
        <v>2197</v>
      </c>
      <c r="U86" s="1241"/>
      <c r="V86" s="1241"/>
      <c r="W86" s="1241"/>
      <c r="X86" s="1241"/>
      <c r="Y86" s="1398"/>
      <c r="Z86" s="1244"/>
      <c r="AA86" s="1247"/>
      <c r="AB86" s="1244"/>
      <c r="AC86" s="1244"/>
      <c r="AD86" s="1244"/>
    </row>
    <row customHeight="1" ht="36">
      <c r="A87" s="1243"/>
      <c r="B87" s="1297">
        <v>70</v>
      </c>
      <c r="C87" s="1241" t="s">
        <v>2198</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151</v>
      </c>
      <c r="P87" s="1355"/>
      <c r="Q87" s="1355"/>
      <c r="R87" s="1355"/>
      <c r="S87" s="1355"/>
      <c r="T87" s="1241" t="s">
        <v>2199</v>
      </c>
      <c r="U87" s="1241"/>
      <c r="V87" s="1241"/>
      <c r="W87" s="1241"/>
      <c r="X87" s="1241"/>
      <c r="Y87" s="1398"/>
      <c r="Z87" s="1244"/>
      <c r="AA87" s="1247"/>
      <c r="AB87" s="1244"/>
      <c r="AC87" s="1244"/>
      <c r="AD87" s="1244"/>
    </row>
    <row customHeight="1" ht="18">
      <c r="A88" s="1243"/>
      <c r="B88" s="1297">
        <v>71</v>
      </c>
      <c r="C88" s="1241" t="s">
        <v>2200</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152</v>
      </c>
      <c r="P88" s="1355"/>
      <c r="Q88" s="1355"/>
      <c r="R88" s="1355"/>
      <c r="S88" s="1355"/>
      <c r="T88" s="1241" t="s">
        <v>672</v>
      </c>
      <c r="U88" s="1241"/>
      <c r="V88" s="1241"/>
      <c r="W88" s="1241"/>
      <c r="X88" s="1241"/>
      <c r="Y88" s="1398"/>
      <c r="Z88" s="1244"/>
      <c r="AA88" s="1247"/>
      <c r="AB88" s="1244"/>
      <c r="AC88" s="1244"/>
      <c r="AD88" s="1244"/>
    </row>
    <row customHeight="1" ht="18">
      <c r="A89" s="1243"/>
      <c r="B89" s="1297">
        <v>72</v>
      </c>
      <c r="C89" s="1241" t="s">
        <v>2201</v>
      </c>
      <c r="D89" s="1365" t="s">
        <v>2198</v>
      </c>
      <c r="E89" s="1241" t="s">
        <v>2198</v>
      </c>
      <c r="F89" s="1241" t="s">
        <v>2164</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153</v>
      </c>
      <c r="P89" s="1355" t="s">
        <v>152</v>
      </c>
      <c r="Q89" s="1355" t="s">
        <v>152</v>
      </c>
      <c r="R89" s="1355" t="s">
        <v>150</v>
      </c>
      <c r="S89" s="1355"/>
      <c r="T89" s="1241" t="s">
        <v>680</v>
      </c>
      <c r="U89" s="1241" t="s">
        <v>680</v>
      </c>
      <c r="V89" s="1241" t="s">
        <v>680</v>
      </c>
      <c r="W89" s="1241" t="s">
        <v>680</v>
      </c>
      <c r="X89" s="1241"/>
      <c r="Y89" s="1398"/>
      <c r="Z89" s="1244"/>
      <c r="AA89" s="1247"/>
      <c r="AB89" s="1244"/>
      <c r="AC89" s="1244"/>
      <c r="AD89" s="1244"/>
    </row>
    <row customHeight="1" ht="27">
      <c r="A90" s="1243"/>
      <c r="B90" s="1297">
        <v>73</v>
      </c>
      <c r="C90" s="1241" t="s">
        <v>2202</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154</v>
      </c>
      <c r="P90" s="1355"/>
      <c r="Q90" s="1355"/>
      <c r="R90" s="1355"/>
      <c r="S90" s="1355"/>
      <c r="T90" s="1241" t="s">
        <v>682</v>
      </c>
      <c r="U90" s="1241"/>
      <c r="V90" s="1241"/>
      <c r="W90" s="1241"/>
      <c r="X90" s="1241"/>
      <c r="Y90" s="1398"/>
      <c r="Z90" s="1244"/>
      <c r="AA90" s="1247"/>
      <c r="AB90" s="1244"/>
      <c r="AC90" s="1244"/>
      <c r="AD90" s="1244"/>
    </row>
    <row customHeight="1" ht="18">
      <c r="A91" s="1243"/>
      <c r="B91" s="1297">
        <v>74</v>
      </c>
      <c r="C91" s="1241"/>
      <c r="D91" s="1365" t="s">
        <v>2200</v>
      </c>
      <c r="E91" s="1241" t="s">
        <v>2200</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153</v>
      </c>
      <c r="Q91" s="1355" t="s">
        <v>153</v>
      </c>
      <c r="R91" s="1355"/>
      <c r="S91" s="1355"/>
      <c r="T91" s="1241"/>
      <c r="U91" s="1241" t="s">
        <v>2203</v>
      </c>
      <c r="V91" s="1241" t="s">
        <v>2203</v>
      </c>
      <c r="W91" s="1241"/>
      <c r="X91" s="1241"/>
      <c r="Y91" s="1398"/>
      <c r="Z91" s="1244"/>
      <c r="AA91" s="1247"/>
      <c r="AB91" s="1244"/>
      <c r="AC91" s="1244"/>
      <c r="AD91" s="1244"/>
    </row>
    <row customHeight="1" ht="27">
      <c r="A92" s="1243"/>
      <c r="B92" s="1297">
        <v>75</v>
      </c>
      <c r="C92" s="1241"/>
      <c r="D92" s="1365" t="s">
        <v>2201</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154</v>
      </c>
      <c r="Q92" s="1355"/>
      <c r="R92" s="1355"/>
      <c r="S92" s="1355"/>
      <c r="T92" s="1241"/>
      <c r="U92" s="1241" t="s">
        <v>2204</v>
      </c>
      <c r="V92" s="1241"/>
      <c r="W92" s="1241"/>
      <c r="X92" s="1241"/>
      <c r="Y92" s="1398"/>
      <c r="Z92" s="1244"/>
      <c r="AA92" s="1247" t="s">
        <v>2205</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2111</v>
      </c>
      <c r="Q93" s="1355"/>
      <c r="R93" s="1355"/>
      <c r="S93" s="1355"/>
      <c r="T93" s="1241"/>
      <c r="U93" s="1241" t="s">
        <v>2206</v>
      </c>
      <c r="V93" s="1241"/>
      <c r="W93" s="1241"/>
      <c r="X93" s="1241"/>
      <c r="Y93" s="1398"/>
      <c r="Z93" s="1244"/>
      <c r="AA93" s="1247" t="s">
        <v>2207</v>
      </c>
      <c r="AB93" s="1244"/>
      <c r="AC93" s="1244"/>
      <c r="AD93" s="1244"/>
    </row>
    <row customHeight="1" ht="45">
      <c r="A94" s="1243"/>
      <c r="B94" s="1297">
        <v>77</v>
      </c>
      <c r="C94" s="1241"/>
      <c r="D94" s="1365" t="s">
        <v>2202</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1465</v>
      </c>
      <c r="Q94" s="1355"/>
      <c r="R94" s="1355"/>
      <c r="S94" s="1355"/>
      <c r="T94" s="1241"/>
      <c r="U94" s="1241" t="s">
        <v>2208</v>
      </c>
      <c r="V94" s="1241"/>
      <c r="W94" s="1241"/>
      <c r="X94" s="1241"/>
      <c r="Y94" s="1398"/>
      <c r="Z94" s="1244"/>
      <c r="AA94" s="1247" t="s">
        <v>2209</v>
      </c>
      <c r="AB94" s="1244"/>
      <c r="AC94" s="1244"/>
      <c r="AD94" s="1244"/>
    </row>
    <row customHeight="1" ht="99">
      <c r="A95" s="1243"/>
      <c r="B95" s="1297">
        <v>78</v>
      </c>
      <c r="C95" s="1241" t="s">
        <v>2210</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1465</v>
      </c>
      <c r="P95" s="1355"/>
      <c r="Q95" s="1355"/>
      <c r="R95" s="1355"/>
      <c r="S95" s="1355"/>
      <c r="T95" s="1241" t="s">
        <v>2211</v>
      </c>
      <c r="U95" s="1241"/>
      <c r="V95" s="1241"/>
      <c r="W95" s="1241"/>
      <c r="X95" s="1241"/>
      <c r="Y95" s="1398"/>
      <c r="Z95" s="1244"/>
      <c r="AA95" s="1247"/>
      <c r="AB95" s="1244"/>
      <c r="AC95" s="1244"/>
      <c r="AD95" s="1244"/>
    </row>
    <row customHeight="1" ht="99">
      <c r="A96" s="1243"/>
      <c r="B96" s="1297">
        <v>79</v>
      </c>
      <c r="C96" s="1241" t="s">
        <v>1153</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1471</v>
      </c>
      <c r="P96" s="1355"/>
      <c r="Q96" s="1355"/>
      <c r="R96" s="1355"/>
      <c r="S96" s="1355"/>
      <c r="T96" s="1241" t="s">
        <v>2212</v>
      </c>
      <c r="U96" s="1241"/>
      <c r="V96" s="1241"/>
      <c r="W96" s="1241"/>
      <c r="X96" s="1241"/>
      <c r="Y96" s="1398"/>
      <c r="Z96" s="1244" t="s">
        <v>2213</v>
      </c>
      <c r="AA96" s="1247"/>
      <c r="AB96" s="1244"/>
      <c r="AC96" s="1244"/>
      <c r="AD96" s="1244"/>
    </row>
    <row customHeight="1" ht="63">
      <c r="A97" s="1243"/>
      <c r="B97" s="1297">
        <v>80</v>
      </c>
      <c r="C97" s="1241" t="s">
        <v>2214</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1483</v>
      </c>
      <c r="P97" s="1355"/>
      <c r="Q97" s="1355"/>
      <c r="R97" s="1355"/>
      <c r="S97" s="1355"/>
      <c r="T97" s="1241" t="s">
        <v>2215</v>
      </c>
      <c r="U97" s="1241"/>
      <c r="V97" s="1241"/>
      <c r="W97" s="1241"/>
      <c r="X97" s="1241"/>
      <c r="Y97" s="1398"/>
      <c r="Z97" s="1244" t="s">
        <v>2216</v>
      </c>
      <c r="AA97" s="1247"/>
      <c r="AB97" s="1244"/>
      <c r="AC97" s="1244"/>
      <c r="AD97" s="1244"/>
    </row>
    <row customHeight="1" ht="63">
      <c r="A98" s="1243"/>
      <c r="B98" s="1297">
        <v>81</v>
      </c>
      <c r="C98" s="1241" t="s">
        <v>2217</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1497</v>
      </c>
      <c r="P98" s="1355"/>
      <c r="Q98" s="1355"/>
      <c r="R98" s="1355"/>
      <c r="S98" s="1355"/>
      <c r="T98" s="1241" t="s">
        <v>2218</v>
      </c>
      <c r="U98" s="1241"/>
      <c r="V98" s="1241"/>
      <c r="W98" s="1241"/>
      <c r="X98" s="1241"/>
      <c r="Y98" s="1398"/>
      <c r="Z98" s="1244" t="s">
        <v>2216</v>
      </c>
      <c r="AA98" s="1247"/>
      <c r="AB98" s="1244"/>
      <c r="AC98" s="1244"/>
      <c r="AD98" s="1244"/>
    </row>
    <row customHeight="1" ht="90">
      <c r="A99" s="1243"/>
      <c r="B99" s="1297">
        <v>82</v>
      </c>
      <c r="C99" s="1241" t="s">
        <v>2219</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1509</v>
      </c>
      <c r="P99" s="1355"/>
      <c r="Q99" s="1355"/>
      <c r="R99" s="1355"/>
      <c r="S99" s="1355"/>
      <c r="T99" s="1241" t="s">
        <v>2220</v>
      </c>
      <c r="U99" s="1241"/>
      <c r="V99" s="1241"/>
      <c r="W99" s="1241"/>
      <c r="X99" s="1241"/>
      <c r="Y99" s="1398"/>
      <c r="Z99" s="1244" t="s">
        <v>637</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2221</v>
      </c>
      <c r="P100" s="1355"/>
      <c r="Q100" s="1355"/>
      <c r="R100" s="1355"/>
      <c r="S100" s="1355"/>
      <c r="T100" s="1241" t="s">
        <v>2222</v>
      </c>
      <c r="U100" s="1241"/>
      <c r="V100" s="1241"/>
      <c r="W100" s="1241"/>
      <c r="X100" s="1241"/>
      <c r="Y100" s="1398"/>
      <c r="Z100" s="1244" t="s">
        <v>637</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2223</v>
      </c>
      <c r="P101" s="1355"/>
      <c r="Q101" s="1355"/>
      <c r="R101" s="1355"/>
      <c r="S101" s="1355"/>
      <c r="T101" s="1241" t="s">
        <v>2224</v>
      </c>
      <c r="U101" s="1241"/>
      <c r="V101" s="1241"/>
      <c r="W101" s="1241"/>
      <c r="X101" s="1241"/>
      <c r="Y101" s="1398"/>
      <c r="Z101" s="1244" t="s">
        <v>637</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1662</v>
      </c>
      <c r="B148" s="1243"/>
      <c r="C148" s="1241" t="s">
        <v>2225</v>
      </c>
      <c r="D148" s="1241" t="s">
        <v>1565</v>
      </c>
      <c r="E148" s="1241" t="s">
        <v>1664</v>
      </c>
      <c r="F148" s="1241" t="s">
        <v>2226</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2227</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2228</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1666</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1669</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1673</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C5539-4B16-3428-12E9-1DBB849B866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434" width="10.57421875" hidden="1"/>
    <col min="2" max="2" style="24434" width="11.00390625" hidden="1" customWidth="1"/>
    <col min="3" max="3" style="24434" width="10.57421875" hidden="1"/>
    <col min="4" max="4" style="24434" width="11.8515625" hidden="1" customWidth="1"/>
    <col min="5" max="5" style="24434" width="12.28125" hidden="1" customWidth="1"/>
    <col min="6" max="8" style="26192" width="12.28125" hidden="1" customWidth="1"/>
    <col min="9" max="9" style="26193" width="3.00390625" customWidth="1"/>
    <col min="10" max="11" style="26194" width="3.00390625" customWidth="1"/>
    <col min="12" max="12" style="26195" width="12.00390625" customWidth="1"/>
    <col min="13" max="13" style="24354" width="31.00390625" customWidth="1"/>
    <col min="14" max="14" style="24354" width="1.00390625" customWidth="1"/>
    <col min="15" max="18" style="24354" width="24.00390625" customWidth="1"/>
    <col min="19" max="19" style="24354" width="11.00390625" customWidth="1"/>
    <col min="20" max="20" style="24354" width="3.7109375" customWidth="1"/>
    <col min="21" max="21" style="24354" width="11.00390625" customWidth="1"/>
    <col min="22" max="22" style="24354" width="8.57421875" customWidth="1"/>
    <col min="23" max="23" style="24354" width="4.00390625" customWidth="1"/>
    <col min="24" max="24" style="24354" width="115.00390625" customWidth="1"/>
    <col min="25" max="29" style="24435" width="10.00390625" customWidth="1"/>
    <col min="30" max="30" style="24354"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2229</v>
      </c>
      <c r="M5" s="3001"/>
      <c r="N5" s="3001"/>
      <c r="O5" s="3001"/>
      <c r="P5" s="3001"/>
      <c r="Q5" s="3001"/>
      <c r="R5" s="3001"/>
      <c r="S5" s="3001"/>
      <c r="T5" s="3001"/>
      <c r="U5" s="3001"/>
      <c r="V5" s="1641"/>
      <c r="AD5" s="1553">
        <v>64</v>
      </c>
    </row>
    <row customHeight="1" ht="14.699999999999998">
      <c r="J6" s="774"/>
      <c r="K6" s="774"/>
      <c r="L6" s="3002" t="str">
        <f>IF(org=0,"Не определено",org)</f>
        <v>ООО "Новая Энергетика"</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4561"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4561" customFormat="1" customHeight="1" ht="24">
      <c r="A9" s="1766"/>
      <c r="B9" s="1766"/>
      <c r="C9" s="1766"/>
      <c r="D9" s="1766"/>
      <c r="E9" s="1766"/>
      <c r="F9" s="1766"/>
      <c r="G9" s="1766"/>
      <c r="H9" s="1766"/>
      <c r="L9" s="1674"/>
      <c r="M9" s="693" t="s">
        <v>425</v>
      </c>
      <c r="N9" s="702"/>
      <c r="O9" s="2649" t="str">
        <f>IF(TITLE_DATE_CHANGE_PERIOD="",IF(TITLE_DATE_PR="","",TITLE_DATE_PR),TITLE_DATE_CHANGE_PERIOD)</f>
        <v>45658.66784722222</v>
      </c>
      <c r="P9" s="2649"/>
      <c r="Q9" s="2649"/>
      <c r="R9" s="2649"/>
      <c r="S9" s="2649"/>
      <c r="T9" s="2649"/>
      <c r="U9" s="2649"/>
      <c r="V9" s="724"/>
      <c r="W9" s="724"/>
      <c r="X9" s="678"/>
      <c r="Y9" s="766"/>
      <c r="Z9" s="766"/>
      <c r="AA9" s="766"/>
      <c r="AB9" s="766"/>
      <c r="AC9" s="766"/>
      <c r="AD9" s="816">
        <v>23</v>
      </c>
    </row>
    <row s="24561" customFormat="1" customHeight="1" ht="24">
      <c r="A10" s="1766"/>
      <c r="B10" s="1766"/>
      <c r="C10" s="1766"/>
      <c r="D10" s="1766"/>
      <c r="E10" s="1766"/>
      <c r="F10" s="1766"/>
      <c r="G10" s="1766"/>
      <c r="H10" s="1766"/>
      <c r="L10" s="1648"/>
      <c r="M10" s="693" t="s">
        <v>426</v>
      </c>
      <c r="N10" s="702"/>
      <c r="O10" s="2649" t="str">
        <f>IF(TITLE_NUMBER_PR_CHANGE="",IF(TITLE_NUMBER_PR="","",TITLE_NUMBER_PR),TITLE_NUMBER_PR_CHANGE)</f>
        <v>27/6419</v>
      </c>
      <c r="P10" s="2649"/>
      <c r="Q10" s="2649"/>
      <c r="R10" s="2649"/>
      <c r="S10" s="2649"/>
      <c r="T10" s="2649"/>
      <c r="U10" s="2649"/>
      <c r="V10" s="724"/>
      <c r="W10" s="724"/>
      <c r="X10" s="678"/>
      <c r="Y10" s="766"/>
      <c r="Z10" s="766"/>
      <c r="AA10" s="766"/>
      <c r="AB10" s="766"/>
      <c r="AC10" s="766"/>
      <c r="AD10" s="816">
        <v>23</v>
      </c>
    </row>
    <row s="24561"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4561"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305</v>
      </c>
      <c r="M14" s="2525"/>
      <c r="N14" s="2525"/>
      <c r="O14" s="2525"/>
      <c r="P14" s="2525"/>
      <c r="Q14" s="2525"/>
      <c r="R14" s="2525"/>
      <c r="S14" s="2525"/>
      <c r="T14" s="2525"/>
      <c r="U14" s="2525"/>
      <c r="V14" s="2525"/>
      <c r="W14" s="2525"/>
      <c r="X14" s="2525" t="s">
        <v>306</v>
      </c>
      <c r="AD14" s="1553">
        <v>14</v>
      </c>
    </row>
    <row customHeight="1" ht="14.699999999999998">
      <c r="J15" s="774"/>
      <c r="K15" s="774"/>
      <c r="L15" s="2671" t="s">
        <v>89</v>
      </c>
      <c r="M15" s="2607" t="s">
        <v>431</v>
      </c>
      <c r="N15" s="699"/>
      <c r="O15" s="2672" t="s">
        <v>2230</v>
      </c>
      <c r="P15" s="2673"/>
      <c r="Q15" s="2673"/>
      <c r="R15" s="2673"/>
      <c r="S15" s="2673"/>
      <c r="T15" s="2673"/>
      <c r="U15" s="2674"/>
      <c r="V15" s="2675" t="s">
        <v>433</v>
      </c>
      <c r="W15" s="2678" t="s">
        <v>1150</v>
      </c>
      <c r="X15" s="2525"/>
      <c r="AD15" s="1553">
        <v>14</v>
      </c>
    </row>
    <row customHeight="1" ht="35.699999999999996">
      <c r="J16" s="774"/>
      <c r="K16" s="774"/>
      <c r="L16" s="2671"/>
      <c r="M16" s="2607"/>
      <c r="N16" s="1429"/>
      <c r="O16" s="2658" t="s">
        <v>436</v>
      </c>
      <c r="P16" s="2658" t="s">
        <v>437</v>
      </c>
      <c r="Q16" s="2660" t="s">
        <v>438</v>
      </c>
      <c r="R16" s="2661"/>
      <c r="S16" s="2660" t="s">
        <v>455</v>
      </c>
      <c r="T16" s="2667"/>
      <c r="U16" s="2661"/>
      <c r="V16" s="2676"/>
      <c r="W16" s="2679"/>
      <c r="X16" s="2525"/>
      <c r="AD16" s="1553">
        <v>34</v>
      </c>
    </row>
    <row customHeight="1" ht="35.699999999999996">
      <c r="A17" s="1768" t="s">
        <v>135</v>
      </c>
      <c r="B17" s="1768" t="s">
        <v>136</v>
      </c>
      <c r="C17" s="1768" t="s">
        <v>137</v>
      </c>
      <c r="D17" s="1768" t="s">
        <v>138</v>
      </c>
      <c r="E17" s="1768"/>
      <c r="J17" s="774"/>
      <c r="K17" s="774"/>
      <c r="L17" s="2671"/>
      <c r="M17" s="2607"/>
      <c r="N17" s="700"/>
      <c r="O17" s="2659"/>
      <c r="P17" s="2659"/>
      <c r="Q17" s="1620" t="s">
        <v>447</v>
      </c>
      <c r="R17" s="1620" t="s">
        <v>448</v>
      </c>
      <c r="S17" s="1690" t="s">
        <v>449</v>
      </c>
      <c r="T17" s="2668" t="s">
        <v>450</v>
      </c>
      <c r="U17" s="2669"/>
      <c r="V17" s="2677"/>
      <c r="W17" s="2680"/>
      <c r="X17" s="2525"/>
      <c r="AD17" s="1553">
        <v>34</v>
      </c>
    </row>
    <row s="25006" customFormat="1" customHeight="1" ht="11.549999999999999">
      <c r="A18" s="1768"/>
      <c r="B18" s="1768"/>
      <c r="C18" s="1768"/>
      <c r="D18" s="1768"/>
      <c r="E18" s="1768"/>
      <c r="F18" s="1760"/>
      <c r="G18" s="1760"/>
      <c r="H18" s="1760"/>
      <c r="I18" s="1644"/>
      <c r="J18" s="1645"/>
      <c r="K18" s="1652">
        <v>1</v>
      </c>
      <c r="L18" s="1675" t="s">
        <v>110</v>
      </c>
      <c r="M18" s="1653" t="s">
        <v>111</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175</v>
      </c>
      <c r="B19" s="1761" t="s">
        <v>176</v>
      </c>
      <c r="C19" s="1761" t="s">
        <v>177</v>
      </c>
      <c r="D19" s="1761" t="s">
        <v>178</v>
      </c>
      <c r="E19" s="1761"/>
      <c r="F19" s="1763"/>
      <c r="G19" s="1763"/>
      <c r="H19" s="1763"/>
      <c r="I19" s="759"/>
      <c r="J19" s="758"/>
      <c r="K19" s="753"/>
      <c r="L19" s="1691">
        <f>INDEX(PT_DIFFERENTIATION_NUM_NTAR,MATCH(A19,PT_DIFFERENTIATION_NTAR_ID,0))</f>
        <v>0</v>
      </c>
      <c r="M19" s="696" t="s">
        <v>124</v>
      </c>
      <c r="N19" s="698"/>
      <c r="O19" s="3004" t="str">
        <f>INDEX(PT_DIFFERENTIATION_NTAR,MATCH(A19,PT_DIFFERENTIATION_NTAR_ID,0))</f>
        <v/>
      </c>
      <c r="P19" s="3004"/>
      <c r="Q19" s="3004"/>
      <c r="R19" s="3004"/>
      <c r="S19" s="3004"/>
      <c r="T19" s="3004"/>
      <c r="U19" s="3004"/>
      <c r="V19" s="3004"/>
      <c r="W19" s="3004"/>
      <c r="X19" s="1656" t="s">
        <v>401</v>
      </c>
      <c r="Z19" s="898"/>
      <c r="AA19" s="898" t="str">
        <f>IF(M19="","",M19)</f>
        <v>Наименование тарифа</v>
      </c>
      <c r="AB19" s="898"/>
      <c r="AC19" s="898"/>
      <c r="AD19" s="1553">
        <v>20</v>
      </c>
    </row>
    <row customHeight="1" ht="21">
      <c r="A20" s="1761" t="s">
        <v>175</v>
      </c>
      <c r="B20" s="1761" t="s">
        <v>176</v>
      </c>
      <c r="C20" s="1761" t="s">
        <v>177</v>
      </c>
      <c r="D20" s="1761" t="s">
        <v>178</v>
      </c>
      <c r="E20" s="1761"/>
      <c r="F20" s="1763"/>
      <c r="G20" s="1763"/>
      <c r="H20" s="1763"/>
      <c r="I20" s="1688"/>
      <c r="J20" s="750"/>
      <c r="K20" s="751"/>
      <c r="L20" s="1691" t="str">
        <f>INDEX(PT_DIFFERENTIATION_NUM_TER,MATCH(B19,PT_DIFFERENTIATION_TER_ID,0))</f>
        <v>.</v>
      </c>
      <c r="M20" s="706" t="s">
        <v>402</v>
      </c>
      <c r="N20" s="698"/>
      <c r="O20" s="3004" t="str">
        <f>INDEX(PT_DIFFERENTIATION_TER,MATCH(B19,PT_DIFFERENTIATION_TER_ID,0))</f>
        <v/>
      </c>
      <c r="P20" s="3004"/>
      <c r="Q20" s="3004"/>
      <c r="R20" s="3004"/>
      <c r="S20" s="3004"/>
      <c r="T20" s="3004"/>
      <c r="U20" s="3004"/>
      <c r="V20" s="3004"/>
      <c r="W20" s="3004"/>
      <c r="X20" s="1656" t="s">
        <v>403</v>
      </c>
      <c r="Z20" s="898"/>
      <c r="AA20" s="898" t="str">
        <f>IF(M20="","",M20)</f>
        <v>Территория действия тарифа</v>
      </c>
      <c r="AB20" s="898"/>
      <c r="AC20" s="898"/>
      <c r="AD20" s="1553">
        <v>20</v>
      </c>
    </row>
    <row customHeight="1" ht="24">
      <c r="A21" s="1761" t="s">
        <v>175</v>
      </c>
      <c r="B21" s="1761" t="s">
        <v>176</v>
      </c>
      <c r="C21" s="1761" t="s">
        <v>177</v>
      </c>
      <c r="D21" s="1761" t="s">
        <v>178</v>
      </c>
      <c r="E21" s="1761"/>
      <c r="F21" s="1763"/>
      <c r="G21" s="1763"/>
      <c r="H21" s="1763"/>
      <c r="I21" s="752"/>
      <c r="J21" s="750"/>
      <c r="K21" s="751"/>
      <c r="L21" s="1691" t="str">
        <f>INDEX(PT_DIFFERENTIATION_NUM_CS,MATCH(C19,PT_DIFFERENTIATION_CS_ID,0))</f>
        <v>..</v>
      </c>
      <c r="M21" s="707" t="s">
        <v>404</v>
      </c>
      <c r="N21" s="698"/>
      <c r="O21" s="3004" t="str">
        <f>INDEX(PT_DIFFERENTIATION_CS,MATCH(C19,PT_DIFFERENTIATION_CS_ID,0))</f>
        <v/>
      </c>
      <c r="P21" s="3004"/>
      <c r="Q21" s="3004"/>
      <c r="R21" s="3004"/>
      <c r="S21" s="3004"/>
      <c r="T21" s="3004"/>
      <c r="U21" s="3004"/>
      <c r="V21" s="3004"/>
      <c r="W21" s="3004"/>
      <c r="X21" s="1656" t="s">
        <v>405</v>
      </c>
      <c r="Z21" s="898"/>
      <c r="AA21" s="898" t="str">
        <f>IF(M21="","",M21)</f>
        <v>Наименование системы теплоснабжения </v>
      </c>
      <c r="AB21" s="898"/>
      <c r="AC21" s="898"/>
      <c r="AD21" s="1553">
        <v>23</v>
      </c>
    </row>
    <row customHeight="1" ht="21">
      <c r="A22" s="1761" t="s">
        <v>175</v>
      </c>
      <c r="B22" s="1761" t="s">
        <v>176</v>
      </c>
      <c r="C22" s="1761" t="s">
        <v>177</v>
      </c>
      <c r="D22" s="1761" t="s">
        <v>178</v>
      </c>
      <c r="E22" s="1761"/>
      <c r="F22" s="1763"/>
      <c r="G22" s="1763"/>
      <c r="H22" s="1763"/>
      <c r="I22" s="752"/>
      <c r="J22" s="750"/>
      <c r="K22" s="751"/>
      <c r="L22" s="1691" t="str">
        <f>INDEX(PT_DIFFERENTIATION_NUM_IST_TE,MATCH(D19,PT_DIFFERENTIATION_IST_TE_ID,0))</f>
        <v>...</v>
      </c>
      <c r="M22" s="708" t="s">
        <v>406</v>
      </c>
      <c r="N22" s="698"/>
      <c r="O22" s="3004" t="str">
        <f>INDEX(PT_DIFFERENTIATION_IST_TE,MATCH(D19,PT_DIFFERENTIATION_IST_TE_ID,0))</f>
        <v/>
      </c>
      <c r="P22" s="3004"/>
      <c r="Q22" s="3004"/>
      <c r="R22" s="3004"/>
      <c r="S22" s="3004"/>
      <c r="T22" s="3004"/>
      <c r="U22" s="3004"/>
      <c r="V22" s="3004"/>
      <c r="W22" s="3004"/>
      <c r="X22" s="1656" t="s">
        <v>407</v>
      </c>
      <c r="Z22" s="898"/>
      <c r="AA22" s="898" t="str">
        <f>IF(M22="","",M22)</f>
        <v>Источник тепловой энергии  </v>
      </c>
      <c r="AB22" s="898"/>
      <c r="AC22" s="898"/>
      <c r="AD22" s="1553">
        <v>20</v>
      </c>
    </row>
    <row customHeight="1" ht="96.75">
      <c r="A23" s="1761" t="s">
        <v>175</v>
      </c>
      <c r="B23" s="1761" t="s">
        <v>176</v>
      </c>
      <c r="C23" s="1761" t="s">
        <v>177</v>
      </c>
      <c r="D23" s="1761" t="s">
        <v>178</v>
      </c>
      <c r="E23" s="1761"/>
      <c r="F23" s="3005" t="str">
        <f>L22&amp;".1"</f>
        <v>....1</v>
      </c>
      <c r="I23" s="2655">
        <v>1</v>
      </c>
      <c r="J23" s="1689"/>
      <c r="K23" s="754"/>
      <c r="L23" s="1691" t="str">
        <f>$F$23</f>
        <v>....1</v>
      </c>
      <c r="M23" s="683" t="s">
        <v>409</v>
      </c>
      <c r="N23" s="698"/>
      <c r="O23" s="2703"/>
      <c r="P23" s="2703"/>
      <c r="Q23" s="2703"/>
      <c r="R23" s="2703"/>
      <c r="S23" s="2703"/>
      <c r="T23" s="2703"/>
      <c r="U23" s="2703"/>
      <c r="V23" s="2703"/>
      <c r="W23" s="2703"/>
      <c r="X23" s="1656" t="s">
        <v>410</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175</v>
      </c>
      <c r="B24" s="1761" t="s">
        <v>176</v>
      </c>
      <c r="C24" s="1761" t="s">
        <v>177</v>
      </c>
      <c r="D24" s="1761" t="s">
        <v>178</v>
      </c>
      <c r="E24" s="1761"/>
      <c r="F24" s="3005"/>
      <c r="G24" s="2615" t="str">
        <f>F23&amp;".1"</f>
        <v>....1.1</v>
      </c>
      <c r="I24" s="2655"/>
      <c r="J24" s="2655">
        <v>1</v>
      </c>
      <c r="K24" s="755"/>
      <c r="L24" s="1691" t="str">
        <f>$G$24</f>
        <v>....1.1</v>
      </c>
      <c r="M24" s="684" t="s">
        <v>412</v>
      </c>
      <c r="N24" s="698"/>
      <c r="O24" s="2643"/>
      <c r="P24" s="2644"/>
      <c r="Q24" s="2644"/>
      <c r="R24" s="2644"/>
      <c r="S24" s="2644"/>
      <c r="T24" s="2644"/>
      <c r="U24" s="2644"/>
      <c r="V24" s="2644"/>
      <c r="W24" s="2645"/>
      <c r="X24" s="1656" t="s">
        <v>413</v>
      </c>
      <c r="Z24" s="898"/>
      <c r="AA24" s="898" t="str">
        <f>IF(M24="","",M24)</f>
        <v>Группа потребителей</v>
      </c>
      <c r="AB24" s="898"/>
      <c r="AC24" s="898"/>
      <c r="AD24" s="1553">
        <v>82</v>
      </c>
    </row>
    <row customHeight="1" ht="11.549999999999999">
      <c r="A25" s="1761" t="s">
        <v>175</v>
      </c>
      <c r="B25" s="1761" t="s">
        <v>176</v>
      </c>
      <c r="C25" s="1761" t="s">
        <v>177</v>
      </c>
      <c r="D25" s="1761" t="s">
        <v>178</v>
      </c>
      <c r="E25" s="1761"/>
      <c r="F25" s="3005"/>
      <c r="G25" s="2615"/>
      <c r="H25" s="2615" t="str">
        <f>G24&amp;".1"</f>
        <v>....1.1.1</v>
      </c>
      <c r="I25" s="2655"/>
      <c r="J25" s="2655"/>
      <c r="K25" s="755">
        <v>1</v>
      </c>
      <c r="L25" s="1691" t="str">
        <f>$H$25</f>
        <v>....1.1.1</v>
      </c>
      <c r="M25" s="1745"/>
      <c r="N25" s="698"/>
      <c r="O25" s="1149"/>
      <c r="P25" s="723"/>
      <c r="Q25" s="1149"/>
      <c r="R25" s="1655"/>
      <c r="S25" s="3000"/>
      <c r="T25" s="2505" t="s">
        <v>67</v>
      </c>
      <c r="U25" s="3000"/>
      <c r="V25" s="2505" t="s">
        <v>19</v>
      </c>
      <c r="W25" s="723"/>
      <c r="X25" s="2651" t="s">
        <v>415</v>
      </c>
      <c r="Y25" s="909">
        <f>STRCHECKDATE(O26:W26)</f>
      </c>
      <c r="Z25" s="898"/>
      <c r="AA25" s="898" t="str">
        <f>IF(M25="","",M25)</f>
        <v/>
      </c>
      <c r="AB25" s="898"/>
      <c r="AC25" s="898"/>
      <c r="AD25" s="1553">
        <v>11</v>
      </c>
    </row>
    <row customHeight="1" ht="11.549999999999999">
      <c r="A26" s="1761" t="s">
        <v>175</v>
      </c>
      <c r="B26" s="1761" t="s">
        <v>176</v>
      </c>
      <c r="C26" s="1761" t="s">
        <v>177</v>
      </c>
      <c r="D26" s="1761" t="s">
        <v>178</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175</v>
      </c>
      <c r="B27" s="1761" t="s">
        <v>176</v>
      </c>
      <c r="C27" s="1761" t="s">
        <v>177</v>
      </c>
      <c r="D27" s="1761" t="s">
        <v>178</v>
      </c>
      <c r="E27" s="1761"/>
      <c r="F27" s="3005"/>
      <c r="G27" s="2615"/>
      <c r="I27" s="2655"/>
      <c r="J27" s="2655"/>
      <c r="K27" s="754"/>
      <c r="L27" s="1676"/>
      <c r="M27" s="686" t="s">
        <v>416</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175</v>
      </c>
      <c r="B28" s="1761" t="s">
        <v>176</v>
      </c>
      <c r="C28" s="1761" t="s">
        <v>177</v>
      </c>
      <c r="D28" s="1761" t="s">
        <v>178</v>
      </c>
      <c r="E28" s="1761"/>
      <c r="F28" s="3005"/>
      <c r="I28" s="2655"/>
      <c r="J28" s="1689"/>
      <c r="K28" s="754"/>
      <c r="L28" s="1676"/>
      <c r="M28" s="685" t="s">
        <v>417</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175</v>
      </c>
      <c r="B29" s="1761" t="s">
        <v>176</v>
      </c>
      <c r="C29" s="1761" t="s">
        <v>177</v>
      </c>
      <c r="D29" s="1761" t="s">
        <v>178</v>
      </c>
      <c r="E29" s="1761"/>
      <c r="F29" s="1763"/>
      <c r="G29" s="1763"/>
      <c r="H29" s="935"/>
      <c r="I29" s="758"/>
      <c r="J29" s="773"/>
      <c r="K29" s="753"/>
      <c r="L29" s="1676"/>
      <c r="M29" s="763" t="s">
        <v>418</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175</v>
      </c>
      <c r="B30" s="1761" t="s">
        <v>176</v>
      </c>
      <c r="C30" s="1761" t="s">
        <v>177</v>
      </c>
      <c r="D30" s="1761"/>
      <c r="E30" s="1761" t="s">
        <v>592</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175</v>
      </c>
      <c r="B31" s="1761" t="s">
        <v>176</v>
      </c>
      <c r="C31" s="1761"/>
      <c r="D31" s="1761"/>
      <c r="E31" s="1761" t="s">
        <v>2231</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2232</v>
      </c>
      <c r="B32" s="1761"/>
      <c r="C32" s="1761"/>
      <c r="D32" s="1761"/>
      <c r="E32" s="1761" t="s">
        <v>105</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4495" customFormat="1" customHeight="1" ht="11.549999999999999">
      <c r="A33" s="1761"/>
      <c r="B33" s="1761"/>
      <c r="C33" s="1761"/>
      <c r="D33" s="1761"/>
      <c r="E33" s="1761" t="s">
        <v>166</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809</v>
      </c>
      <c r="M35" s="2683" t="s">
        <v>2233</v>
      </c>
      <c r="N35" s="2683"/>
      <c r="O35" s="2683"/>
      <c r="P35" s="2683"/>
      <c r="Q35" s="2683"/>
      <c r="R35" s="2683"/>
      <c r="S35" s="2683"/>
      <c r="T35" s="2683"/>
      <c r="U35" s="2683"/>
      <c r="V35" s="2683"/>
      <c r="W35" s="2683"/>
      <c r="X35" s="2683"/>
      <c r="AD35" s="1553">
        <v>27</v>
      </c>
    </row>
    <row customHeight="1" ht="109.19999999999999">
      <c r="H36" s="935"/>
      <c r="I36" s="1701"/>
      <c r="M36" s="2683" t="s">
        <v>2234</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83</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D0A8A-B80B-0553-5F16-A0F21BAAB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A25C-1727-CEA6-E513-56D2422C6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0E3D-0A0D-9A1F-266F-0E0868BAC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0952A-7688-DBC5-0073-EB9C8ED43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A1D04-5208-0A8A-8BB7-F6E05EC1C5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EBE5E-7E68-2F69-4A9E-04254AF7D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2DBF-6CA8-F5D1-2106-D113BAAC41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32E1-80AF-860A-5EBF-22127F457A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06CDD-6F8C-AE56-A998-3EFD50142945}" mc:Ignorable="x14ac xr xr2 xr3">
  <dimension ref="A1:E8"/>
  <sheetViews>
    <sheetView topLeftCell="A1" showGridLines="0" workbookViewId="0">
      <selection activeCell="A1" sqref="A1"/>
    </sheetView>
  </sheetViews>
  <sheetFormatPr customHeight="1" defaultRowHeight="11.25"/>
  <cols>
    <col min="1" max="1" style="27893" width="10.57421875" customWidth="1"/>
    <col min="2" max="2" style="27893" width="8.7109375" customWidth="1"/>
    <col min="3" max="3" style="27893" width="18.140625" customWidth="1"/>
    <col min="4" max="4" style="27893" width="12.57421875" customWidth="1"/>
  </cols>
  <sheetData>
    <row customHeight="1" ht="11.25">
      <c r="A1" s="3013" t="s">
        <v>2235</v>
      </c>
      <c r="B1" s="3014" t="s">
        <v>2236</v>
      </c>
      <c r="C1" s="3015" t="s">
        <v>2237</v>
      </c>
      <c r="D1" s="3016"/>
      <c r="E1" s="1234" t="s">
        <v>2238</v>
      </c>
    </row>
    <row customHeight="1" ht="11.25">
      <c r="A2" s="3017"/>
      <c r="B2" s="1163" t="s">
        <v>26</v>
      </c>
      <c r="C2" s="1151"/>
      <c r="D2" s="1162"/>
      <c r="E2" s="1234"/>
    </row>
    <row customHeight="1" ht="11.25">
      <c r="A3" s="3018"/>
      <c r="B3" s="3019" t="s">
        <v>33</v>
      </c>
      <c r="C3" s="1151"/>
      <c r="D3" s="1162"/>
      <c r="E3" s="1234"/>
    </row>
    <row customHeight="1" ht="11.25">
      <c r="A4" s="3020"/>
      <c r="B4" s="1164" t="s">
        <v>1662</v>
      </c>
      <c r="C4" s="1151"/>
      <c r="D4" s="1162"/>
      <c r="E4" s="1234"/>
    </row>
    <row customHeight="1" ht="11.25">
      <c r="A5" s="3021"/>
      <c r="B5" s="1164" t="s">
        <v>1657</v>
      </c>
      <c r="C5" s="3022" t="s">
        <v>2002</v>
      </c>
      <c r="D5" s="3023" t="s">
        <v>2239</v>
      </c>
      <c r="E5" s="1234"/>
    </row>
    <row s="24495" customFormat="1" customHeight="1" ht="11.25">
      <c r="A6" s="3024"/>
      <c r="B6" s="1164" t="s">
        <v>1666</v>
      </c>
      <c r="C6" s="1151"/>
      <c r="D6" s="1162"/>
      <c r="E6" s="1234"/>
    </row>
    <row customHeight="1" ht="11.25">
      <c r="A7" s="3025"/>
      <c r="B7" s="1164" t="s">
        <v>1673</v>
      </c>
      <c r="C7" s="1151"/>
      <c r="D7" s="1162"/>
      <c r="E7" s="1234"/>
    </row>
    <row customHeight="1" ht="11.25">
      <c r="A8" s="1154"/>
      <c r="B8" s="1164" t="s">
        <v>1669</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B66B2-CAB4-E8A8-8A13-AFB4F24A7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C0443-6A8D-434B-3C24-9DF4EB13B2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AB976-0526-FF5D-54BA-3F9C65EF072F}"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4495" width="9.140625"/>
    <col min="3" max="3" style="24495" width="20.7109375" customWidth="1"/>
    <col min="4" max="4" style="24495" width="25.140625" customWidth="1"/>
    <col min="5" max="9" style="24495" width="9.140625"/>
  </cols>
  <sheetData>
    <row customHeight="1" ht="11.25">
      <c r="A1" s="466" t="s">
        <v>2240</v>
      </c>
      <c r="B1" s="466" t="s">
        <v>2241</v>
      </c>
      <c r="C1" s="466" t="s">
        <v>2242</v>
      </c>
      <c r="D1" s="466" t="s">
        <v>2243</v>
      </c>
      <c r="E1" s="466" t="s">
        <v>2244</v>
      </c>
      <c r="F1" s="466" t="s">
        <v>2245</v>
      </c>
      <c r="G1" s="466" t="s">
        <v>2246</v>
      </c>
      <c r="H1" s="466" t="s">
        <v>2247</v>
      </c>
      <c r="I1" s="466" t="s">
        <v>2248</v>
      </c>
    </row>
    <row customHeight="1" ht="11.25">
      <c r="A2" s="6382" t="s">
        <v>2249</v>
      </c>
      <c r="B2" s="6382" t="s">
        <v>16</v>
      </c>
      <c r="C2" s="6382" t="s">
        <v>28</v>
      </c>
      <c r="D2" s="6382" t="s">
        <v>2250</v>
      </c>
      <c r="E2" s="6382" t="s">
        <v>2251</v>
      </c>
      <c r="F2" s="6382" t="s">
        <v>2252</v>
      </c>
      <c r="G2" s="6382" t="s">
        <v>28</v>
      </c>
      <c r="H2" s="6382" t="s">
        <v>28</v>
      </c>
      <c r="I2" s="6382" t="s">
        <v>813</v>
      </c>
    </row>
    <row customHeight="1" ht="11.25">
      <c r="A3" s="6382" t="s">
        <v>2249</v>
      </c>
      <c r="B3" s="6382" t="s">
        <v>16</v>
      </c>
      <c r="C3" s="6382" t="s">
        <v>2253</v>
      </c>
      <c r="D3" s="6382" t="s">
        <v>2254</v>
      </c>
      <c r="E3" s="6382" t="s">
        <v>2255</v>
      </c>
      <c r="F3" s="6382" t="s">
        <v>2256</v>
      </c>
      <c r="G3" s="6382" t="s">
        <v>28</v>
      </c>
      <c r="H3" s="6382" t="s">
        <v>28</v>
      </c>
      <c r="I3" s="6382" t="s">
        <v>813</v>
      </c>
    </row>
    <row customHeight="1" ht="11.25">
      <c r="A4" s="6382" t="s">
        <v>2249</v>
      </c>
      <c r="B4" s="6382" t="s">
        <v>16</v>
      </c>
      <c r="C4" s="6382" t="s">
        <v>2257</v>
      </c>
      <c r="D4" s="6382" t="s">
        <v>2258</v>
      </c>
      <c r="E4" s="6382" t="s">
        <v>2259</v>
      </c>
      <c r="F4" s="6382" t="s">
        <v>2260</v>
      </c>
      <c r="G4" s="6382" t="s">
        <v>28</v>
      </c>
      <c r="H4" s="6382" t="s">
        <v>28</v>
      </c>
      <c r="I4" s="6382" t="s">
        <v>813</v>
      </c>
    </row>
    <row customHeight="1" ht="11.25">
      <c r="A5" s="6382" t="s">
        <v>2249</v>
      </c>
      <c r="B5" s="6382" t="s">
        <v>16</v>
      </c>
      <c r="C5" s="6382" t="s">
        <v>2261</v>
      </c>
      <c r="D5" s="6382" t="s">
        <v>2262</v>
      </c>
      <c r="E5" s="6382" t="s">
        <v>2263</v>
      </c>
      <c r="F5" s="6382" t="s">
        <v>2264</v>
      </c>
      <c r="G5" s="6382" t="s">
        <v>28</v>
      </c>
      <c r="H5" s="6382" t="s">
        <v>28</v>
      </c>
      <c r="I5" s="6382" t="s">
        <v>813</v>
      </c>
    </row>
    <row customHeight="1" ht="11.25">
      <c r="A6" s="6382" t="s">
        <v>2249</v>
      </c>
      <c r="B6" s="6382" t="s">
        <v>16</v>
      </c>
      <c r="C6" s="6382" t="s">
        <v>2265</v>
      </c>
      <c r="D6" s="6382" t="s">
        <v>2266</v>
      </c>
      <c r="E6" s="6382" t="s">
        <v>2267</v>
      </c>
      <c r="F6" s="6382" t="s">
        <v>2268</v>
      </c>
      <c r="G6" s="6382" t="s">
        <v>28</v>
      </c>
      <c r="H6" s="6382" t="s">
        <v>28</v>
      </c>
      <c r="I6" s="6382" t="s">
        <v>813</v>
      </c>
    </row>
    <row customHeight="1" ht="11.25">
      <c r="A7" s="6382" t="s">
        <v>2249</v>
      </c>
      <c r="B7" s="6382" t="s">
        <v>16</v>
      </c>
      <c r="C7" s="6382" t="s">
        <v>2269</v>
      </c>
      <c r="D7" s="6382" t="s">
        <v>2266</v>
      </c>
      <c r="E7" s="6382" t="s">
        <v>2267</v>
      </c>
      <c r="F7" s="6382" t="s">
        <v>2270</v>
      </c>
      <c r="G7" s="6382" t="s">
        <v>2271</v>
      </c>
      <c r="H7" s="6382" t="s">
        <v>28</v>
      </c>
      <c r="I7" s="6382" t="s">
        <v>813</v>
      </c>
    </row>
    <row customHeight="1" ht="11.25">
      <c r="A8" s="6382" t="s">
        <v>2249</v>
      </c>
      <c r="B8" s="6382" t="s">
        <v>16</v>
      </c>
      <c r="C8" s="6382" t="s">
        <v>2272</v>
      </c>
      <c r="D8" s="6382" t="s">
        <v>2273</v>
      </c>
      <c r="E8" s="6382" t="s">
        <v>2267</v>
      </c>
      <c r="F8" s="6382" t="s">
        <v>2274</v>
      </c>
      <c r="G8" s="6382" t="s">
        <v>28</v>
      </c>
      <c r="H8" s="6382" t="s">
        <v>28</v>
      </c>
      <c r="I8" s="6382" t="s">
        <v>813</v>
      </c>
    </row>
    <row customHeight="1" ht="11.25">
      <c r="A9" s="6382" t="s">
        <v>2249</v>
      </c>
      <c r="B9" s="6382" t="s">
        <v>16</v>
      </c>
      <c r="C9" s="6382" t="s">
        <v>2275</v>
      </c>
      <c r="D9" s="6382" t="s">
        <v>2276</v>
      </c>
      <c r="E9" s="6382" t="s">
        <v>2267</v>
      </c>
      <c r="F9" s="6382" t="s">
        <v>2277</v>
      </c>
      <c r="G9" s="6382" t="s">
        <v>28</v>
      </c>
      <c r="H9" s="6382" t="s">
        <v>28</v>
      </c>
      <c r="I9" s="6382" t="s">
        <v>813</v>
      </c>
    </row>
    <row customHeight="1" ht="11.25">
      <c r="A10" s="6382" t="s">
        <v>2249</v>
      </c>
      <c r="B10" s="6382" t="s">
        <v>16</v>
      </c>
      <c r="C10" s="6382" t="s">
        <v>2278</v>
      </c>
      <c r="D10" s="6382" t="s">
        <v>2279</v>
      </c>
      <c r="E10" s="6382" t="s">
        <v>2280</v>
      </c>
      <c r="F10" s="6382" t="s">
        <v>2281</v>
      </c>
      <c r="G10" s="6382" t="s">
        <v>28</v>
      </c>
      <c r="H10" s="6382" t="s">
        <v>28</v>
      </c>
      <c r="I10" s="6382" t="s">
        <v>813</v>
      </c>
    </row>
    <row customHeight="1" ht="11.25">
      <c r="A11" s="6382" t="s">
        <v>2249</v>
      </c>
      <c r="B11" s="6382" t="s">
        <v>16</v>
      </c>
      <c r="C11" s="6382" t="s">
        <v>2282</v>
      </c>
      <c r="D11" s="6382" t="s">
        <v>2283</v>
      </c>
      <c r="E11" s="6382" t="s">
        <v>2284</v>
      </c>
      <c r="F11" s="6382" t="s">
        <v>2285</v>
      </c>
      <c r="G11" s="6382" t="s">
        <v>28</v>
      </c>
      <c r="H11" s="6382" t="s">
        <v>28</v>
      </c>
      <c r="I11" s="6382" t="s">
        <v>813</v>
      </c>
    </row>
    <row customHeight="1" ht="11.25">
      <c r="A12" s="6382" t="s">
        <v>2249</v>
      </c>
      <c r="B12" s="6382" t="s">
        <v>16</v>
      </c>
      <c r="C12" s="6382" t="s">
        <v>2286</v>
      </c>
      <c r="D12" s="6382" t="s">
        <v>2287</v>
      </c>
      <c r="E12" s="6382" t="s">
        <v>2288</v>
      </c>
      <c r="F12" s="6382" t="s">
        <v>2289</v>
      </c>
      <c r="G12" s="6382" t="s">
        <v>28</v>
      </c>
      <c r="H12" s="6382" t="s">
        <v>28</v>
      </c>
      <c r="I12" s="6382" t="s">
        <v>813</v>
      </c>
    </row>
    <row customHeight="1" ht="11.25">
      <c r="A13" s="6382" t="s">
        <v>2249</v>
      </c>
      <c r="B13" s="6382" t="s">
        <v>16</v>
      </c>
      <c r="C13" s="6382" t="s">
        <v>2290</v>
      </c>
      <c r="D13" s="6382" t="s">
        <v>2291</v>
      </c>
      <c r="E13" s="6382" t="s">
        <v>2292</v>
      </c>
      <c r="F13" s="6382" t="s">
        <v>2293</v>
      </c>
      <c r="G13" s="6382" t="s">
        <v>2294</v>
      </c>
      <c r="H13" s="6382" t="s">
        <v>28</v>
      </c>
      <c r="I13" s="6382" t="s">
        <v>813</v>
      </c>
    </row>
    <row customHeight="1" ht="11.25">
      <c r="A14" s="6382" t="s">
        <v>2249</v>
      </c>
      <c r="B14" s="6382" t="s">
        <v>16</v>
      </c>
      <c r="C14" s="6382" t="s">
        <v>2295</v>
      </c>
      <c r="D14" s="6382" t="s">
        <v>2296</v>
      </c>
      <c r="E14" s="6382" t="s">
        <v>2297</v>
      </c>
      <c r="F14" s="6382" t="s">
        <v>2260</v>
      </c>
      <c r="G14" s="6382" t="s">
        <v>28</v>
      </c>
      <c r="H14" s="6382" t="s">
        <v>28</v>
      </c>
      <c r="I14" s="6382" t="s">
        <v>813</v>
      </c>
    </row>
    <row customHeight="1" ht="11.25">
      <c r="A15" s="6382" t="s">
        <v>2249</v>
      </c>
      <c r="B15" s="6382" t="s">
        <v>16</v>
      </c>
      <c r="C15" s="6382" t="s">
        <v>2298</v>
      </c>
      <c r="D15" s="6382" t="s">
        <v>2299</v>
      </c>
      <c r="E15" s="6382" t="s">
        <v>2300</v>
      </c>
      <c r="F15" s="6382" t="s">
        <v>2301</v>
      </c>
      <c r="G15" s="6382" t="s">
        <v>28</v>
      </c>
      <c r="H15" s="6382" t="s">
        <v>28</v>
      </c>
      <c r="I15" s="6382" t="s">
        <v>813</v>
      </c>
    </row>
    <row customHeight="1" ht="11.25">
      <c r="A16" s="6382" t="s">
        <v>2249</v>
      </c>
      <c r="B16" s="6382" t="s">
        <v>16</v>
      </c>
      <c r="C16" s="6382" t="s">
        <v>2302</v>
      </c>
      <c r="D16" s="6382" t="s">
        <v>2303</v>
      </c>
      <c r="E16" s="6382" t="s">
        <v>2304</v>
      </c>
      <c r="F16" s="6382" t="s">
        <v>2305</v>
      </c>
      <c r="G16" s="6382" t="s">
        <v>2306</v>
      </c>
      <c r="H16" s="6382" t="s">
        <v>28</v>
      </c>
      <c r="I16" s="6382" t="s">
        <v>813</v>
      </c>
    </row>
    <row customHeight="1" ht="11.25">
      <c r="A17" s="6382" t="s">
        <v>2249</v>
      </c>
      <c r="B17" s="6382" t="s">
        <v>16</v>
      </c>
      <c r="C17" s="6382" t="s">
        <v>2307</v>
      </c>
      <c r="D17" s="6382" t="s">
        <v>2308</v>
      </c>
      <c r="E17" s="6382" t="s">
        <v>2309</v>
      </c>
      <c r="F17" s="6382" t="s">
        <v>2310</v>
      </c>
      <c r="G17" s="6382" t="s">
        <v>2311</v>
      </c>
      <c r="H17" s="6382" t="s">
        <v>28</v>
      </c>
      <c r="I17" s="6382" t="s">
        <v>813</v>
      </c>
    </row>
    <row customHeight="1" ht="11.25">
      <c r="A18" s="6382" t="s">
        <v>2249</v>
      </c>
      <c r="B18" s="6382" t="s">
        <v>16</v>
      </c>
      <c r="C18" s="6382" t="s">
        <v>2312</v>
      </c>
      <c r="D18" s="6382" t="s">
        <v>2313</v>
      </c>
      <c r="E18" s="6382" t="s">
        <v>2314</v>
      </c>
      <c r="F18" s="6382" t="s">
        <v>2281</v>
      </c>
      <c r="G18" s="6382" t="s">
        <v>28</v>
      </c>
      <c r="H18" s="6382" t="s">
        <v>28</v>
      </c>
      <c r="I18" s="6382" t="s">
        <v>813</v>
      </c>
    </row>
    <row customHeight="1" ht="11.25">
      <c r="A19" s="6382" t="s">
        <v>2249</v>
      </c>
      <c r="B19" s="6382" t="s">
        <v>16</v>
      </c>
      <c r="C19" s="6382" t="s">
        <v>2315</v>
      </c>
      <c r="D19" s="6382" t="s">
        <v>2316</v>
      </c>
      <c r="E19" s="6382" t="s">
        <v>2317</v>
      </c>
      <c r="F19" s="6382" t="s">
        <v>2318</v>
      </c>
      <c r="G19" s="6382" t="s">
        <v>28</v>
      </c>
      <c r="H19" s="6382" t="s">
        <v>28</v>
      </c>
      <c r="I19" s="6382" t="s">
        <v>813</v>
      </c>
    </row>
    <row customHeight="1" ht="11.25">
      <c r="A20" s="6382" t="s">
        <v>2249</v>
      </c>
      <c r="B20" s="6382" t="s">
        <v>16</v>
      </c>
      <c r="C20" s="6382" t="s">
        <v>2319</v>
      </c>
      <c r="D20" s="6382" t="s">
        <v>2320</v>
      </c>
      <c r="E20" s="6382" t="s">
        <v>2321</v>
      </c>
      <c r="F20" s="6382" t="s">
        <v>2289</v>
      </c>
      <c r="G20" s="6382" t="s">
        <v>2322</v>
      </c>
      <c r="H20" s="6382" t="s">
        <v>28</v>
      </c>
      <c r="I20" s="6382" t="s">
        <v>813</v>
      </c>
    </row>
    <row customHeight="1" ht="11.25">
      <c r="A21" s="6382" t="s">
        <v>2249</v>
      </c>
      <c r="B21" s="6382" t="s">
        <v>16</v>
      </c>
      <c r="C21" s="6382" t="s">
        <v>2323</v>
      </c>
      <c r="D21" s="6382" t="s">
        <v>2324</v>
      </c>
      <c r="E21" s="6382" t="s">
        <v>2325</v>
      </c>
      <c r="F21" s="6382" t="s">
        <v>2326</v>
      </c>
      <c r="G21" s="6382" t="s">
        <v>28</v>
      </c>
      <c r="H21" s="6382" t="s">
        <v>28</v>
      </c>
      <c r="I21" s="6382" t="s">
        <v>813</v>
      </c>
    </row>
    <row customHeight="1" ht="11.25">
      <c r="A22" s="6382" t="s">
        <v>2249</v>
      </c>
      <c r="B22" s="6382" t="s">
        <v>16</v>
      </c>
      <c r="C22" s="6382" t="s">
        <v>2327</v>
      </c>
      <c r="D22" s="6382" t="s">
        <v>2328</v>
      </c>
      <c r="E22" s="6382" t="s">
        <v>2329</v>
      </c>
      <c r="F22" s="6382" t="s">
        <v>2252</v>
      </c>
      <c r="G22" s="6382" t="s">
        <v>2330</v>
      </c>
      <c r="H22" s="6382" t="s">
        <v>28</v>
      </c>
      <c r="I22" s="6382" t="s">
        <v>813</v>
      </c>
    </row>
    <row customHeight="1" ht="11.25">
      <c r="A23" s="6382" t="s">
        <v>2249</v>
      </c>
      <c r="B23" s="6382" t="s">
        <v>16</v>
      </c>
      <c r="C23" s="6382" t="s">
        <v>2331</v>
      </c>
      <c r="D23" s="6382" t="s">
        <v>2332</v>
      </c>
      <c r="E23" s="6382" t="s">
        <v>2333</v>
      </c>
      <c r="F23" s="6382" t="s">
        <v>2334</v>
      </c>
      <c r="G23" s="6382" t="s">
        <v>28</v>
      </c>
      <c r="H23" s="6382" t="s">
        <v>28</v>
      </c>
      <c r="I23" s="6382" t="s">
        <v>813</v>
      </c>
    </row>
    <row customHeight="1" ht="11.25">
      <c r="A24" s="6382" t="s">
        <v>2249</v>
      </c>
      <c r="B24" s="6382" t="s">
        <v>16</v>
      </c>
      <c r="C24" s="6382" t="s">
        <v>2335</v>
      </c>
      <c r="D24" s="6382" t="s">
        <v>2336</v>
      </c>
      <c r="E24" s="6382" t="s">
        <v>2337</v>
      </c>
      <c r="F24" s="6382" t="s">
        <v>2289</v>
      </c>
      <c r="G24" s="6382" t="s">
        <v>28</v>
      </c>
      <c r="H24" s="6382" t="s">
        <v>28</v>
      </c>
      <c r="I24" s="6382" t="s">
        <v>813</v>
      </c>
    </row>
    <row customHeight="1" ht="11.25">
      <c r="A25" s="6382" t="s">
        <v>2249</v>
      </c>
      <c r="B25" s="6382" t="s">
        <v>16</v>
      </c>
      <c r="C25" s="6382" t="s">
        <v>2338</v>
      </c>
      <c r="D25" s="6382" t="s">
        <v>2339</v>
      </c>
      <c r="E25" s="6382" t="s">
        <v>2340</v>
      </c>
      <c r="F25" s="6382" t="s">
        <v>2252</v>
      </c>
      <c r="G25" s="6382" t="s">
        <v>28</v>
      </c>
      <c r="H25" s="6382" t="s">
        <v>28</v>
      </c>
      <c r="I25" s="6382" t="s">
        <v>813</v>
      </c>
    </row>
    <row customHeight="1" ht="11.25">
      <c r="A26" s="6382" t="s">
        <v>2249</v>
      </c>
      <c r="B26" s="6382" t="s">
        <v>16</v>
      </c>
      <c r="C26" s="6382" t="s">
        <v>2341</v>
      </c>
      <c r="D26" s="6382" t="s">
        <v>2342</v>
      </c>
      <c r="E26" s="6382" t="s">
        <v>2343</v>
      </c>
      <c r="F26" s="6382" t="s">
        <v>2344</v>
      </c>
      <c r="G26" s="6382" t="s">
        <v>28</v>
      </c>
      <c r="H26" s="6382" t="s">
        <v>28</v>
      </c>
      <c r="I26" s="6382" t="s">
        <v>813</v>
      </c>
    </row>
    <row customHeight="1" ht="11.25">
      <c r="A27" s="6382" t="s">
        <v>2249</v>
      </c>
      <c r="B27" s="6382" t="s">
        <v>16</v>
      </c>
      <c r="C27" s="6382" t="s">
        <v>2345</v>
      </c>
      <c r="D27" s="6382" t="s">
        <v>2346</v>
      </c>
      <c r="E27" s="6382" t="s">
        <v>2347</v>
      </c>
      <c r="F27" s="6382" t="s">
        <v>2348</v>
      </c>
      <c r="G27" s="6382" t="s">
        <v>28</v>
      </c>
      <c r="H27" s="6382" t="s">
        <v>28</v>
      </c>
      <c r="I27" s="6382" t="s">
        <v>813</v>
      </c>
    </row>
    <row customHeight="1" ht="11.25">
      <c r="A28" s="6382" t="s">
        <v>2249</v>
      </c>
      <c r="B28" s="6382" t="s">
        <v>16</v>
      </c>
      <c r="C28" s="6382" t="s">
        <v>2349</v>
      </c>
      <c r="D28" s="6382" t="s">
        <v>2350</v>
      </c>
      <c r="E28" s="6382" t="s">
        <v>2347</v>
      </c>
      <c r="F28" s="6382" t="s">
        <v>2351</v>
      </c>
      <c r="G28" s="6382" t="s">
        <v>28</v>
      </c>
      <c r="H28" s="6382" t="s">
        <v>28</v>
      </c>
      <c r="I28" s="6382" t="s">
        <v>813</v>
      </c>
    </row>
    <row customHeight="1" ht="11.25">
      <c r="A29" s="6382" t="s">
        <v>2249</v>
      </c>
      <c r="B29" s="6382" t="s">
        <v>16</v>
      </c>
      <c r="C29" s="6382" t="s">
        <v>2352</v>
      </c>
      <c r="D29" s="6382" t="s">
        <v>2353</v>
      </c>
      <c r="E29" s="6382" t="s">
        <v>2354</v>
      </c>
      <c r="F29" s="6382" t="s">
        <v>2355</v>
      </c>
      <c r="G29" s="6382" t="s">
        <v>28</v>
      </c>
      <c r="H29" s="6382" t="s">
        <v>28</v>
      </c>
      <c r="I29" s="6382" t="s">
        <v>813</v>
      </c>
    </row>
    <row customHeight="1" ht="11.25">
      <c r="A30" s="6382" t="s">
        <v>2249</v>
      </c>
      <c r="B30" s="6382" t="s">
        <v>16</v>
      </c>
      <c r="C30" s="6382" t="s">
        <v>2356</v>
      </c>
      <c r="D30" s="6382" t="s">
        <v>2357</v>
      </c>
      <c r="E30" s="6382" t="s">
        <v>2358</v>
      </c>
      <c r="F30" s="6382" t="s">
        <v>2318</v>
      </c>
      <c r="G30" s="6382" t="s">
        <v>2359</v>
      </c>
      <c r="H30" s="6382" t="s">
        <v>28</v>
      </c>
      <c r="I30" s="6382" t="s">
        <v>813</v>
      </c>
    </row>
    <row customHeight="1" ht="11.25">
      <c r="A31" s="6382" t="s">
        <v>2249</v>
      </c>
      <c r="B31" s="6382" t="s">
        <v>16</v>
      </c>
      <c r="C31" s="6382" t="s">
        <v>2360</v>
      </c>
      <c r="D31" s="6382" t="s">
        <v>2361</v>
      </c>
      <c r="E31" s="6382" t="s">
        <v>2362</v>
      </c>
      <c r="F31" s="6382" t="s">
        <v>2301</v>
      </c>
      <c r="G31" s="6382" t="s">
        <v>28</v>
      </c>
      <c r="H31" s="6382" t="s">
        <v>28</v>
      </c>
      <c r="I31" s="6382" t="s">
        <v>813</v>
      </c>
    </row>
    <row customHeight="1" ht="11.25">
      <c r="A32" s="6382" t="s">
        <v>2249</v>
      </c>
      <c r="B32" s="6382" t="s">
        <v>16</v>
      </c>
      <c r="C32" s="6382" t="s">
        <v>2363</v>
      </c>
      <c r="D32" s="6382" t="s">
        <v>2364</v>
      </c>
      <c r="E32" s="6382" t="s">
        <v>2365</v>
      </c>
      <c r="F32" s="6382" t="s">
        <v>2289</v>
      </c>
      <c r="G32" s="6382" t="s">
        <v>28</v>
      </c>
      <c r="H32" s="6382" t="s">
        <v>28</v>
      </c>
      <c r="I32" s="6382" t="s">
        <v>813</v>
      </c>
    </row>
    <row customHeight="1" ht="11.25">
      <c r="A33" s="6382" t="s">
        <v>2249</v>
      </c>
      <c r="B33" s="6382" t="s">
        <v>16</v>
      </c>
      <c r="C33" s="6382" t="s">
        <v>2366</v>
      </c>
      <c r="D33" s="6382" t="s">
        <v>2367</v>
      </c>
      <c r="E33" s="6382" t="s">
        <v>2368</v>
      </c>
      <c r="F33" s="6382" t="s">
        <v>581</v>
      </c>
      <c r="G33" s="6382" t="s">
        <v>2369</v>
      </c>
      <c r="H33" s="6382" t="s">
        <v>28</v>
      </c>
      <c r="I33" s="6382" t="s">
        <v>813</v>
      </c>
    </row>
    <row customHeight="1" ht="11.25">
      <c r="A34" s="6382" t="s">
        <v>2249</v>
      </c>
      <c r="B34" s="6382" t="s">
        <v>16</v>
      </c>
      <c r="C34" s="6382" t="s">
        <v>2370</v>
      </c>
      <c r="D34" s="6382" t="s">
        <v>2371</v>
      </c>
      <c r="E34" s="6382" t="s">
        <v>2372</v>
      </c>
      <c r="F34" s="6382" t="s">
        <v>2289</v>
      </c>
      <c r="G34" s="6382" t="s">
        <v>28</v>
      </c>
      <c r="H34" s="6382" t="s">
        <v>28</v>
      </c>
      <c r="I34" s="6382" t="s">
        <v>813</v>
      </c>
    </row>
    <row customHeight="1" ht="11.25">
      <c r="A35" s="6382" t="s">
        <v>2249</v>
      </c>
      <c r="B35" s="6382" t="s">
        <v>16</v>
      </c>
      <c r="C35" s="6382" t="s">
        <v>2373</v>
      </c>
      <c r="D35" s="6382" t="s">
        <v>2374</v>
      </c>
      <c r="E35" s="6382" t="s">
        <v>2375</v>
      </c>
      <c r="F35" s="6382" t="s">
        <v>2376</v>
      </c>
      <c r="G35" s="6382" t="s">
        <v>2377</v>
      </c>
      <c r="H35" s="6382" t="s">
        <v>28</v>
      </c>
      <c r="I35" s="6382" t="s">
        <v>813</v>
      </c>
    </row>
    <row customHeight="1" ht="11.25">
      <c r="A36" s="6382" t="s">
        <v>2249</v>
      </c>
      <c r="B36" s="6382" t="s">
        <v>16</v>
      </c>
      <c r="C36" s="6382" t="s">
        <v>2378</v>
      </c>
      <c r="D36" s="6382" t="s">
        <v>2379</v>
      </c>
      <c r="E36" s="6382" t="s">
        <v>2380</v>
      </c>
      <c r="F36" s="6382" t="s">
        <v>2355</v>
      </c>
      <c r="G36" s="6382" t="s">
        <v>28</v>
      </c>
      <c r="H36" s="6382" t="s">
        <v>28</v>
      </c>
      <c r="I36" s="6382" t="s">
        <v>813</v>
      </c>
    </row>
    <row customHeight="1" ht="11.25">
      <c r="A37" s="6382" t="s">
        <v>2249</v>
      </c>
      <c r="B37" s="6382" t="s">
        <v>16</v>
      </c>
      <c r="C37" s="6382" t="s">
        <v>2381</v>
      </c>
      <c r="D37" s="6382" t="s">
        <v>2382</v>
      </c>
      <c r="E37" s="6382" t="s">
        <v>2383</v>
      </c>
      <c r="F37" s="6382" t="s">
        <v>2384</v>
      </c>
      <c r="G37" s="6382" t="s">
        <v>28</v>
      </c>
      <c r="H37" s="6382" t="s">
        <v>28</v>
      </c>
      <c r="I37" s="6382" t="s">
        <v>813</v>
      </c>
    </row>
    <row customHeight="1" ht="11.25">
      <c r="A38" s="6382" t="s">
        <v>2249</v>
      </c>
      <c r="B38" s="6382" t="s">
        <v>16</v>
      </c>
      <c r="C38" s="6382" t="s">
        <v>2385</v>
      </c>
      <c r="D38" s="6382" t="s">
        <v>2386</v>
      </c>
      <c r="E38" s="6382" t="s">
        <v>2387</v>
      </c>
      <c r="F38" s="6382" t="s">
        <v>2355</v>
      </c>
      <c r="G38" s="6382" t="s">
        <v>28</v>
      </c>
      <c r="H38" s="6382" t="s">
        <v>28</v>
      </c>
      <c r="I38" s="6382" t="s">
        <v>813</v>
      </c>
    </row>
    <row customHeight="1" ht="11.25">
      <c r="A39" s="6382" t="s">
        <v>2249</v>
      </c>
      <c r="B39" s="6382" t="s">
        <v>16</v>
      </c>
      <c r="C39" s="6382" t="s">
        <v>2388</v>
      </c>
      <c r="D39" s="6382" t="s">
        <v>2389</v>
      </c>
      <c r="E39" s="6382" t="s">
        <v>2390</v>
      </c>
      <c r="F39" s="6382" t="s">
        <v>2289</v>
      </c>
      <c r="G39" s="6382" t="s">
        <v>28</v>
      </c>
      <c r="H39" s="6382" t="s">
        <v>28</v>
      </c>
      <c r="I39" s="6382" t="s">
        <v>813</v>
      </c>
    </row>
    <row customHeight="1" ht="11.25">
      <c r="A40" s="6382" t="s">
        <v>2249</v>
      </c>
      <c r="B40" s="6382" t="s">
        <v>16</v>
      </c>
      <c r="C40" s="6382" t="s">
        <v>2391</v>
      </c>
      <c r="D40" s="6382" t="s">
        <v>2392</v>
      </c>
      <c r="E40" s="6382" t="s">
        <v>2393</v>
      </c>
      <c r="F40" s="6382" t="s">
        <v>2394</v>
      </c>
      <c r="G40" s="6382" t="s">
        <v>28</v>
      </c>
      <c r="H40" s="6382" t="s">
        <v>28</v>
      </c>
      <c r="I40" s="6382" t="s">
        <v>813</v>
      </c>
    </row>
    <row customHeight="1" ht="11.25">
      <c r="A41" s="6382" t="s">
        <v>2249</v>
      </c>
      <c r="B41" s="6382" t="s">
        <v>16</v>
      </c>
      <c r="C41" s="6382" t="s">
        <v>2395</v>
      </c>
      <c r="D41" s="6382" t="s">
        <v>2396</v>
      </c>
      <c r="E41" s="6382" t="s">
        <v>2397</v>
      </c>
      <c r="F41" s="6382" t="s">
        <v>2394</v>
      </c>
      <c r="G41" s="6382" t="s">
        <v>28</v>
      </c>
      <c r="H41" s="6382" t="s">
        <v>28</v>
      </c>
      <c r="I41" s="6382" t="s">
        <v>813</v>
      </c>
    </row>
    <row customHeight="1" ht="11.25">
      <c r="A42" s="6382" t="s">
        <v>2249</v>
      </c>
      <c r="B42" s="6382" t="s">
        <v>16</v>
      </c>
      <c r="C42" s="6382" t="s">
        <v>2398</v>
      </c>
      <c r="D42" s="6382" t="s">
        <v>2399</v>
      </c>
      <c r="E42" s="6382" t="s">
        <v>2400</v>
      </c>
      <c r="F42" s="6382" t="s">
        <v>2260</v>
      </c>
      <c r="G42" s="6382" t="s">
        <v>2401</v>
      </c>
      <c r="H42" s="6382" t="s">
        <v>28</v>
      </c>
      <c r="I42" s="6382" t="s">
        <v>813</v>
      </c>
    </row>
    <row customHeight="1" ht="11.25">
      <c r="A43" s="6382" t="s">
        <v>2249</v>
      </c>
      <c r="B43" s="6382" t="s">
        <v>16</v>
      </c>
      <c r="C43" s="6382" t="s">
        <v>2402</v>
      </c>
      <c r="D43" s="6382" t="s">
        <v>2403</v>
      </c>
      <c r="E43" s="6382" t="s">
        <v>2404</v>
      </c>
      <c r="F43" s="6382" t="s">
        <v>2405</v>
      </c>
      <c r="G43" s="6382" t="s">
        <v>28</v>
      </c>
      <c r="H43" s="6382" t="s">
        <v>28</v>
      </c>
      <c r="I43" s="6382" t="s">
        <v>813</v>
      </c>
    </row>
    <row customHeight="1" ht="11.25">
      <c r="A44" s="6382" t="s">
        <v>2249</v>
      </c>
      <c r="B44" s="6382" t="s">
        <v>16</v>
      </c>
      <c r="C44" s="6382" t="s">
        <v>2406</v>
      </c>
      <c r="D44" s="6382" t="s">
        <v>2407</v>
      </c>
      <c r="E44" s="6382" t="s">
        <v>2408</v>
      </c>
      <c r="F44" s="6382" t="s">
        <v>2281</v>
      </c>
      <c r="G44" s="6382" t="s">
        <v>28</v>
      </c>
      <c r="H44" s="6382" t="s">
        <v>28</v>
      </c>
      <c r="I44" s="6382" t="s">
        <v>813</v>
      </c>
    </row>
    <row customHeight="1" ht="11.25">
      <c r="A45" s="6382" t="s">
        <v>2249</v>
      </c>
      <c r="B45" s="6382" t="s">
        <v>16</v>
      </c>
      <c r="C45" s="6382" t="s">
        <v>2409</v>
      </c>
      <c r="D45" s="6382" t="s">
        <v>2410</v>
      </c>
      <c r="E45" s="6382" t="s">
        <v>2411</v>
      </c>
      <c r="F45" s="6382" t="s">
        <v>2412</v>
      </c>
      <c r="G45" s="6382" t="s">
        <v>28</v>
      </c>
      <c r="H45" s="6382" t="s">
        <v>28</v>
      </c>
      <c r="I45" s="6382" t="s">
        <v>813</v>
      </c>
    </row>
    <row customHeight="1" ht="11.25">
      <c r="A46" s="6382" t="s">
        <v>2249</v>
      </c>
      <c r="B46" s="6382" t="s">
        <v>16</v>
      </c>
      <c r="C46" s="6382" t="s">
        <v>2413</v>
      </c>
      <c r="D46" s="6382" t="s">
        <v>2414</v>
      </c>
      <c r="E46" s="6382" t="s">
        <v>2415</v>
      </c>
      <c r="F46" s="6382" t="s">
        <v>2416</v>
      </c>
      <c r="G46" s="6382" t="s">
        <v>28</v>
      </c>
      <c r="H46" s="6382" t="s">
        <v>28</v>
      </c>
      <c r="I46" s="6382" t="s">
        <v>813</v>
      </c>
    </row>
    <row customHeight="1" ht="11.25">
      <c r="A47" s="6382" t="s">
        <v>2249</v>
      </c>
      <c r="B47" s="6382" t="s">
        <v>16</v>
      </c>
      <c r="C47" s="6382" t="s">
        <v>2417</v>
      </c>
      <c r="D47" s="6382" t="s">
        <v>2418</v>
      </c>
      <c r="E47" s="6382" t="s">
        <v>2419</v>
      </c>
      <c r="F47" s="6382" t="s">
        <v>2416</v>
      </c>
      <c r="G47" s="6382" t="s">
        <v>28</v>
      </c>
      <c r="H47" s="6382" t="s">
        <v>28</v>
      </c>
      <c r="I47" s="6382" t="s">
        <v>813</v>
      </c>
    </row>
    <row customHeight="1" ht="11.25">
      <c r="A48" s="6382" t="s">
        <v>2249</v>
      </c>
      <c r="B48" s="6382" t="s">
        <v>16</v>
      </c>
      <c r="C48" s="6382" t="s">
        <v>2420</v>
      </c>
      <c r="D48" s="6382" t="s">
        <v>2421</v>
      </c>
      <c r="E48" s="6382" t="s">
        <v>2422</v>
      </c>
      <c r="F48" s="6382" t="s">
        <v>2423</v>
      </c>
      <c r="G48" s="6382" t="s">
        <v>28</v>
      </c>
      <c r="H48" s="6382" t="s">
        <v>28</v>
      </c>
      <c r="I48" s="6382" t="s">
        <v>813</v>
      </c>
    </row>
    <row customHeight="1" ht="11.25">
      <c r="A49" s="6382" t="s">
        <v>2249</v>
      </c>
      <c r="B49" s="6382" t="s">
        <v>16</v>
      </c>
      <c r="C49" s="6382" t="s">
        <v>2424</v>
      </c>
      <c r="D49" s="6382" t="s">
        <v>2425</v>
      </c>
      <c r="E49" s="6382" t="s">
        <v>2426</v>
      </c>
      <c r="F49" s="6382" t="s">
        <v>2289</v>
      </c>
      <c r="G49" s="6382" t="s">
        <v>28</v>
      </c>
      <c r="H49" s="6382" t="s">
        <v>28</v>
      </c>
      <c r="I49" s="6382" t="s">
        <v>813</v>
      </c>
    </row>
    <row customHeight="1" ht="11.25">
      <c r="A50" s="6382" t="s">
        <v>2249</v>
      </c>
      <c r="B50" s="6382" t="s">
        <v>16</v>
      </c>
      <c r="C50" s="6382" t="s">
        <v>2427</v>
      </c>
      <c r="D50" s="6382" t="s">
        <v>2428</v>
      </c>
      <c r="E50" s="6382" t="s">
        <v>2429</v>
      </c>
      <c r="F50" s="6382" t="s">
        <v>2412</v>
      </c>
      <c r="G50" s="6382" t="s">
        <v>28</v>
      </c>
      <c r="H50" s="6382" t="s">
        <v>28</v>
      </c>
      <c r="I50" s="6382" t="s">
        <v>813</v>
      </c>
    </row>
    <row customHeight="1" ht="11.25">
      <c r="A51" s="6382" t="s">
        <v>2249</v>
      </c>
      <c r="B51" s="6382" t="s">
        <v>16</v>
      </c>
      <c r="C51" s="6382" t="s">
        <v>2430</v>
      </c>
      <c r="D51" s="6382" t="s">
        <v>2431</v>
      </c>
      <c r="E51" s="6382" t="s">
        <v>2432</v>
      </c>
      <c r="F51" s="6382" t="s">
        <v>2433</v>
      </c>
      <c r="G51" s="6382" t="s">
        <v>28</v>
      </c>
      <c r="H51" s="6382" t="s">
        <v>28</v>
      </c>
      <c r="I51" s="6382" t="s">
        <v>813</v>
      </c>
    </row>
    <row customHeight="1" ht="11.25">
      <c r="A52" s="6382" t="s">
        <v>2249</v>
      </c>
      <c r="B52" s="6382" t="s">
        <v>16</v>
      </c>
      <c r="C52" s="6382" t="s">
        <v>2434</v>
      </c>
      <c r="D52" s="6382" t="s">
        <v>2435</v>
      </c>
      <c r="E52" s="6382" t="s">
        <v>2436</v>
      </c>
      <c r="F52" s="6382" t="s">
        <v>2394</v>
      </c>
      <c r="G52" s="6382" t="s">
        <v>28</v>
      </c>
      <c r="H52" s="6382" t="s">
        <v>28</v>
      </c>
      <c r="I52" s="6382" t="s">
        <v>813</v>
      </c>
    </row>
    <row customHeight="1" ht="11.25">
      <c r="A53" s="6382" t="s">
        <v>2249</v>
      </c>
      <c r="B53" s="6382" t="s">
        <v>16</v>
      </c>
      <c r="C53" s="6382" t="s">
        <v>2437</v>
      </c>
      <c r="D53" s="6382" t="s">
        <v>2438</v>
      </c>
      <c r="E53" s="6382" t="s">
        <v>2439</v>
      </c>
      <c r="F53" s="6382" t="s">
        <v>2440</v>
      </c>
      <c r="G53" s="6382" t="s">
        <v>28</v>
      </c>
      <c r="H53" s="6382" t="s">
        <v>28</v>
      </c>
      <c r="I53" s="6382" t="s">
        <v>813</v>
      </c>
    </row>
    <row customHeight="1" ht="11.25">
      <c r="A54" s="6382" t="s">
        <v>2249</v>
      </c>
      <c r="B54" s="6382" t="s">
        <v>16</v>
      </c>
      <c r="C54" s="6382" t="s">
        <v>2441</v>
      </c>
      <c r="D54" s="6382" t="s">
        <v>2442</v>
      </c>
      <c r="E54" s="6382" t="s">
        <v>2443</v>
      </c>
      <c r="F54" s="6382" t="s">
        <v>2301</v>
      </c>
      <c r="G54" s="6382" t="s">
        <v>28</v>
      </c>
      <c r="H54" s="6382" t="s">
        <v>28</v>
      </c>
      <c r="I54" s="6382" t="s">
        <v>813</v>
      </c>
    </row>
    <row customHeight="1" ht="11.25">
      <c r="A55" s="6382" t="s">
        <v>2249</v>
      </c>
      <c r="B55" s="6382" t="s">
        <v>16</v>
      </c>
      <c r="C55" s="6382" t="s">
        <v>2444</v>
      </c>
      <c r="D55" s="6382" t="s">
        <v>2445</v>
      </c>
      <c r="E55" s="6382" t="s">
        <v>2446</v>
      </c>
      <c r="F55" s="6382" t="s">
        <v>2447</v>
      </c>
      <c r="G55" s="6382" t="s">
        <v>28</v>
      </c>
      <c r="H55" s="6382" t="s">
        <v>28</v>
      </c>
      <c r="I55" s="6382" t="s">
        <v>813</v>
      </c>
    </row>
    <row customHeight="1" ht="11.25">
      <c r="A56" s="6382" t="s">
        <v>2249</v>
      </c>
      <c r="B56" s="6382" t="s">
        <v>16</v>
      </c>
      <c r="C56" s="6382" t="s">
        <v>2448</v>
      </c>
      <c r="D56" s="6382" t="s">
        <v>2449</v>
      </c>
      <c r="E56" s="6382" t="s">
        <v>2267</v>
      </c>
      <c r="F56" s="6382" t="s">
        <v>2450</v>
      </c>
      <c r="G56" s="6382" t="s">
        <v>28</v>
      </c>
      <c r="H56" s="6382" t="s">
        <v>28</v>
      </c>
      <c r="I56" s="6382" t="s">
        <v>813</v>
      </c>
    </row>
    <row customHeight="1" ht="11.25">
      <c r="A57" s="6382" t="s">
        <v>2249</v>
      </c>
      <c r="B57" s="6382" t="s">
        <v>16</v>
      </c>
      <c r="C57" s="6382" t="s">
        <v>2451</v>
      </c>
      <c r="D57" s="6382" t="s">
        <v>2452</v>
      </c>
      <c r="E57" s="6382" t="s">
        <v>2453</v>
      </c>
      <c r="F57" s="6382" t="s">
        <v>2454</v>
      </c>
      <c r="G57" s="6382" t="s">
        <v>28</v>
      </c>
      <c r="H57" s="6382" t="s">
        <v>28</v>
      </c>
      <c r="I57" s="6382" t="s">
        <v>813</v>
      </c>
    </row>
    <row customHeight="1" ht="11.25">
      <c r="A58" s="6382" t="s">
        <v>2249</v>
      </c>
      <c r="B58" s="6382" t="s">
        <v>16</v>
      </c>
      <c r="C58" s="6382" t="s">
        <v>2455</v>
      </c>
      <c r="D58" s="6382" t="s">
        <v>2456</v>
      </c>
      <c r="E58" s="6382" t="s">
        <v>2457</v>
      </c>
      <c r="F58" s="6382" t="s">
        <v>2454</v>
      </c>
      <c r="G58" s="6382" t="s">
        <v>28</v>
      </c>
      <c r="H58" s="6382" t="s">
        <v>28</v>
      </c>
      <c r="I58" s="6382" t="s">
        <v>813</v>
      </c>
    </row>
    <row customHeight="1" ht="11.25">
      <c r="A59" s="6382" t="s">
        <v>2249</v>
      </c>
      <c r="B59" s="6382" t="s">
        <v>16</v>
      </c>
      <c r="C59" s="6382" t="s">
        <v>2458</v>
      </c>
      <c r="D59" s="6382" t="s">
        <v>2459</v>
      </c>
      <c r="E59" s="6382" t="s">
        <v>2460</v>
      </c>
      <c r="F59" s="6382" t="s">
        <v>2416</v>
      </c>
      <c r="G59" s="6382" t="s">
        <v>28</v>
      </c>
      <c r="H59" s="6382" t="s">
        <v>28</v>
      </c>
      <c r="I59" s="6382" t="s">
        <v>813</v>
      </c>
    </row>
    <row customHeight="1" ht="11.25">
      <c r="A60" s="6382" t="s">
        <v>2249</v>
      </c>
      <c r="B60" s="6382" t="s">
        <v>16</v>
      </c>
      <c r="C60" s="6382" t="s">
        <v>2461</v>
      </c>
      <c r="D60" s="6382" t="s">
        <v>2462</v>
      </c>
      <c r="E60" s="6382" t="s">
        <v>2463</v>
      </c>
      <c r="F60" s="6382" t="s">
        <v>2289</v>
      </c>
      <c r="G60" s="6382" t="s">
        <v>28</v>
      </c>
      <c r="H60" s="6382" t="s">
        <v>28</v>
      </c>
      <c r="I60" s="6382" t="s">
        <v>813</v>
      </c>
    </row>
    <row customHeight="1" ht="11.25">
      <c r="A61" s="6382" t="s">
        <v>2249</v>
      </c>
      <c r="B61" s="6382" t="s">
        <v>16</v>
      </c>
      <c r="C61" s="6382" t="s">
        <v>2464</v>
      </c>
      <c r="D61" s="6382" t="s">
        <v>2465</v>
      </c>
      <c r="E61" s="6382" t="s">
        <v>2347</v>
      </c>
      <c r="F61" s="6382" t="s">
        <v>2466</v>
      </c>
      <c r="G61" s="6382" t="s">
        <v>28</v>
      </c>
      <c r="H61" s="6382" t="s">
        <v>28</v>
      </c>
      <c r="I61" s="6382" t="s">
        <v>813</v>
      </c>
    </row>
    <row customHeight="1" ht="11.25">
      <c r="A62" s="6382" t="s">
        <v>2249</v>
      </c>
      <c r="B62" s="6382" t="s">
        <v>16</v>
      </c>
      <c r="C62" s="6382" t="s">
        <v>2467</v>
      </c>
      <c r="D62" s="6382" t="s">
        <v>2468</v>
      </c>
      <c r="E62" s="6382" t="s">
        <v>2469</v>
      </c>
      <c r="F62" s="6382" t="s">
        <v>2416</v>
      </c>
      <c r="G62" s="6382" t="s">
        <v>28</v>
      </c>
      <c r="H62" s="6382" t="s">
        <v>28</v>
      </c>
      <c r="I62" s="6382" t="s">
        <v>813</v>
      </c>
    </row>
    <row customHeight="1" ht="11.25">
      <c r="A63" s="6382" t="s">
        <v>2249</v>
      </c>
      <c r="B63" s="6382" t="s">
        <v>16</v>
      </c>
      <c r="C63" s="6382" t="s">
        <v>2470</v>
      </c>
      <c r="D63" s="6382" t="s">
        <v>2471</v>
      </c>
      <c r="E63" s="6382" t="s">
        <v>2472</v>
      </c>
      <c r="F63" s="6382" t="s">
        <v>2270</v>
      </c>
      <c r="G63" s="6382" t="s">
        <v>28</v>
      </c>
      <c r="H63" s="6382" t="s">
        <v>28</v>
      </c>
      <c r="I63" s="6382" t="s">
        <v>813</v>
      </c>
    </row>
    <row customHeight="1" ht="11.25">
      <c r="A64" s="6382" t="s">
        <v>2249</v>
      </c>
      <c r="B64" s="6382" t="s">
        <v>16</v>
      </c>
      <c r="C64" s="6382" t="s">
        <v>2473</v>
      </c>
      <c r="D64" s="6382" t="s">
        <v>2474</v>
      </c>
      <c r="E64" s="6382" t="s">
        <v>2475</v>
      </c>
      <c r="F64" s="6382" t="s">
        <v>2301</v>
      </c>
      <c r="G64" s="6382" t="s">
        <v>28</v>
      </c>
      <c r="H64" s="6382" t="s">
        <v>28</v>
      </c>
      <c r="I64" s="6382" t="s">
        <v>813</v>
      </c>
    </row>
    <row customHeight="1" ht="11.25">
      <c r="A65" s="6382" t="s">
        <v>2249</v>
      </c>
      <c r="B65" s="6382" t="s">
        <v>16</v>
      </c>
      <c r="C65" s="6382" t="s">
        <v>2476</v>
      </c>
      <c r="D65" s="6382" t="s">
        <v>2477</v>
      </c>
      <c r="E65" s="6382" t="s">
        <v>2478</v>
      </c>
      <c r="F65" s="6382" t="s">
        <v>2256</v>
      </c>
      <c r="G65" s="6382" t="s">
        <v>28</v>
      </c>
      <c r="H65" s="6382" t="s">
        <v>28</v>
      </c>
      <c r="I65" s="6382" t="s">
        <v>813</v>
      </c>
    </row>
    <row customHeight="1" ht="11.25">
      <c r="A66" s="6382" t="s">
        <v>2249</v>
      </c>
      <c r="B66" s="6382" t="s">
        <v>16</v>
      </c>
      <c r="C66" s="6382" t="s">
        <v>2479</v>
      </c>
      <c r="D66" s="6382" t="s">
        <v>2480</v>
      </c>
      <c r="E66" s="6382" t="s">
        <v>2481</v>
      </c>
      <c r="F66" s="6382" t="s">
        <v>2394</v>
      </c>
      <c r="G66" s="6382" t="s">
        <v>28</v>
      </c>
      <c r="H66" s="6382" t="s">
        <v>28</v>
      </c>
      <c r="I66" s="6382" t="s">
        <v>813</v>
      </c>
    </row>
    <row customHeight="1" ht="11.25">
      <c r="A67" s="6382" t="s">
        <v>2249</v>
      </c>
      <c r="B67" s="6382" t="s">
        <v>16</v>
      </c>
      <c r="C67" s="6382" t="s">
        <v>2482</v>
      </c>
      <c r="D67" s="6382" t="s">
        <v>2483</v>
      </c>
      <c r="E67" s="6382" t="s">
        <v>2484</v>
      </c>
      <c r="F67" s="6382" t="s">
        <v>2485</v>
      </c>
      <c r="G67" s="6382" t="s">
        <v>2486</v>
      </c>
      <c r="H67" s="6382" t="s">
        <v>28</v>
      </c>
      <c r="I67" s="6382" t="s">
        <v>813</v>
      </c>
    </row>
    <row customHeight="1" ht="11.25">
      <c r="A68" s="6382" t="s">
        <v>2249</v>
      </c>
      <c r="B68" s="6382" t="s">
        <v>16</v>
      </c>
      <c r="C68" s="6382" t="s">
        <v>2487</v>
      </c>
      <c r="D68" s="6382" t="s">
        <v>2488</v>
      </c>
      <c r="E68" s="6382" t="s">
        <v>2489</v>
      </c>
      <c r="F68" s="6382" t="s">
        <v>2256</v>
      </c>
      <c r="G68" s="6382" t="s">
        <v>2490</v>
      </c>
      <c r="H68" s="6382" t="s">
        <v>28</v>
      </c>
      <c r="I68" s="6382" t="s">
        <v>813</v>
      </c>
    </row>
    <row customHeight="1" ht="11.25">
      <c r="A69" s="6382" t="s">
        <v>2249</v>
      </c>
      <c r="B69" s="6382" t="s">
        <v>16</v>
      </c>
      <c r="C69" s="6382" t="s">
        <v>2491</v>
      </c>
      <c r="D69" s="6382" t="s">
        <v>2492</v>
      </c>
      <c r="E69" s="6382" t="s">
        <v>2493</v>
      </c>
      <c r="F69" s="6382" t="s">
        <v>2256</v>
      </c>
      <c r="G69" s="6382" t="s">
        <v>2494</v>
      </c>
      <c r="H69" s="6382" t="s">
        <v>28</v>
      </c>
      <c r="I69" s="6382" t="s">
        <v>813</v>
      </c>
    </row>
    <row customHeight="1" ht="11.25">
      <c r="A70" s="6382" t="s">
        <v>2249</v>
      </c>
      <c r="B70" s="6382" t="s">
        <v>16</v>
      </c>
      <c r="C70" s="6382" t="s">
        <v>2495</v>
      </c>
      <c r="D70" s="6382" t="s">
        <v>2496</v>
      </c>
      <c r="E70" s="6382" t="s">
        <v>2497</v>
      </c>
      <c r="F70" s="6382" t="s">
        <v>2498</v>
      </c>
      <c r="G70" s="6382" t="s">
        <v>28</v>
      </c>
      <c r="H70" s="6382" t="s">
        <v>28</v>
      </c>
      <c r="I70" s="6382" t="s">
        <v>813</v>
      </c>
    </row>
    <row customHeight="1" ht="11.25">
      <c r="A71" s="6382" t="s">
        <v>2249</v>
      </c>
      <c r="B71" s="6382" t="s">
        <v>16</v>
      </c>
      <c r="C71" s="6382" t="s">
        <v>2499</v>
      </c>
      <c r="D71" s="6382" t="s">
        <v>2500</v>
      </c>
      <c r="E71" s="6382" t="s">
        <v>2501</v>
      </c>
      <c r="F71" s="6382" t="s">
        <v>2485</v>
      </c>
      <c r="G71" s="6382" t="s">
        <v>28</v>
      </c>
      <c r="H71" s="6382" t="s">
        <v>28</v>
      </c>
      <c r="I71" s="6382" t="s">
        <v>813</v>
      </c>
    </row>
    <row customHeight="1" ht="11.25">
      <c r="A72" s="6382" t="s">
        <v>2249</v>
      </c>
      <c r="B72" s="6382" t="s">
        <v>16</v>
      </c>
      <c r="C72" s="6382" t="s">
        <v>2502</v>
      </c>
      <c r="D72" s="6382" t="s">
        <v>2503</v>
      </c>
      <c r="E72" s="6382" t="s">
        <v>2504</v>
      </c>
      <c r="F72" s="6382" t="s">
        <v>2301</v>
      </c>
      <c r="G72" s="6382" t="s">
        <v>28</v>
      </c>
      <c r="H72" s="6382" t="s">
        <v>28</v>
      </c>
      <c r="I72" s="6382" t="s">
        <v>813</v>
      </c>
    </row>
    <row customHeight="1" ht="11.25">
      <c r="A73" s="6382" t="s">
        <v>2249</v>
      </c>
      <c r="B73" s="6382" t="s">
        <v>16</v>
      </c>
      <c r="C73" s="6382" t="s">
        <v>2505</v>
      </c>
      <c r="D73" s="6382" t="s">
        <v>2506</v>
      </c>
      <c r="E73" s="6382" t="s">
        <v>2507</v>
      </c>
      <c r="F73" s="6382" t="s">
        <v>2485</v>
      </c>
      <c r="G73" s="6382" t="s">
        <v>28</v>
      </c>
      <c r="H73" s="6382" t="s">
        <v>28</v>
      </c>
      <c r="I73" s="6382" t="s">
        <v>813</v>
      </c>
    </row>
    <row customHeight="1" ht="11.25">
      <c r="A74" s="6382" t="s">
        <v>2249</v>
      </c>
      <c r="B74" s="6382" t="s">
        <v>16</v>
      </c>
      <c r="C74" s="6382" t="s">
        <v>2508</v>
      </c>
      <c r="D74" s="6382" t="s">
        <v>2509</v>
      </c>
      <c r="E74" s="6382" t="s">
        <v>2510</v>
      </c>
      <c r="F74" s="6382" t="s">
        <v>2384</v>
      </c>
      <c r="G74" s="6382" t="s">
        <v>2511</v>
      </c>
      <c r="H74" s="6382" t="s">
        <v>28</v>
      </c>
      <c r="I74" s="6382" t="s">
        <v>813</v>
      </c>
    </row>
    <row customHeight="1" ht="11.25">
      <c r="A75" s="6382" t="s">
        <v>2249</v>
      </c>
      <c r="B75" s="6382" t="s">
        <v>16</v>
      </c>
      <c r="C75" s="6382" t="s">
        <v>2512</v>
      </c>
      <c r="D75" s="6382" t="s">
        <v>2513</v>
      </c>
      <c r="E75" s="6382" t="s">
        <v>2514</v>
      </c>
      <c r="F75" s="6382" t="s">
        <v>2515</v>
      </c>
      <c r="G75" s="6382" t="s">
        <v>2516</v>
      </c>
      <c r="H75" s="6382" t="s">
        <v>28</v>
      </c>
      <c r="I75" s="6382" t="s">
        <v>813</v>
      </c>
    </row>
    <row customHeight="1" ht="11.25">
      <c r="A76" s="6382" t="s">
        <v>2249</v>
      </c>
      <c r="B76" s="6382" t="s">
        <v>16</v>
      </c>
      <c r="C76" s="6382" t="s">
        <v>2517</v>
      </c>
      <c r="D76" s="6382" t="s">
        <v>2518</v>
      </c>
      <c r="E76" s="6382" t="s">
        <v>2519</v>
      </c>
      <c r="F76" s="6382" t="s">
        <v>2485</v>
      </c>
      <c r="G76" s="6382" t="s">
        <v>28</v>
      </c>
      <c r="H76" s="6382" t="s">
        <v>28</v>
      </c>
      <c r="I76" s="6382" t="s">
        <v>813</v>
      </c>
    </row>
    <row customHeight="1" ht="11.25">
      <c r="A77" s="6382" t="s">
        <v>2249</v>
      </c>
      <c r="B77" s="6382" t="s">
        <v>16</v>
      </c>
      <c r="C77" s="6382" t="s">
        <v>2520</v>
      </c>
      <c r="D77" s="6382" t="s">
        <v>2521</v>
      </c>
      <c r="E77" s="6382" t="s">
        <v>2522</v>
      </c>
      <c r="F77" s="6382" t="s">
        <v>2485</v>
      </c>
      <c r="G77" s="6382" t="s">
        <v>28</v>
      </c>
      <c r="H77" s="6382" t="s">
        <v>28</v>
      </c>
      <c r="I77" s="6382" t="s">
        <v>813</v>
      </c>
    </row>
    <row customHeight="1" ht="11.25">
      <c r="A78" s="6382" t="s">
        <v>2249</v>
      </c>
      <c r="B78" s="6382" t="s">
        <v>16</v>
      </c>
      <c r="C78" s="6382" t="s">
        <v>13</v>
      </c>
      <c r="D78" s="6382" t="s">
        <v>47</v>
      </c>
      <c r="E78" s="6382" t="s">
        <v>50</v>
      </c>
      <c r="F78" s="6382" t="s">
        <v>52</v>
      </c>
      <c r="G78" s="6382" t="s">
        <v>28</v>
      </c>
      <c r="H78" s="6382" t="s">
        <v>28</v>
      </c>
      <c r="I78" s="6382" t="s">
        <v>813</v>
      </c>
    </row>
    <row customHeight="1" ht="11.25">
      <c r="A79" s="6382" t="s">
        <v>2249</v>
      </c>
      <c r="B79" s="6382" t="s">
        <v>16</v>
      </c>
      <c r="C79" s="6382" t="s">
        <v>2523</v>
      </c>
      <c r="D79" s="6382" t="s">
        <v>2524</v>
      </c>
      <c r="E79" s="6382" t="s">
        <v>2525</v>
      </c>
      <c r="F79" s="6382" t="s">
        <v>2252</v>
      </c>
      <c r="G79" s="6382" t="s">
        <v>28</v>
      </c>
      <c r="H79" s="6382" t="s">
        <v>28</v>
      </c>
      <c r="I79" s="6382" t="s">
        <v>813</v>
      </c>
    </row>
    <row customHeight="1" ht="11.25">
      <c r="A80" s="6382" t="s">
        <v>2249</v>
      </c>
      <c r="B80" s="6382" t="s">
        <v>16</v>
      </c>
      <c r="C80" s="6382" t="s">
        <v>2526</v>
      </c>
      <c r="D80" s="6382" t="s">
        <v>2527</v>
      </c>
      <c r="E80" s="6382" t="s">
        <v>2528</v>
      </c>
      <c r="F80" s="6382" t="s">
        <v>2289</v>
      </c>
      <c r="G80" s="6382" t="s">
        <v>28</v>
      </c>
      <c r="H80" s="6382" t="s">
        <v>28</v>
      </c>
      <c r="I80" s="6382" t="s">
        <v>813</v>
      </c>
    </row>
    <row customHeight="1" ht="11.25">
      <c r="A81" s="6382" t="s">
        <v>2249</v>
      </c>
      <c r="B81" s="6382" t="s">
        <v>16</v>
      </c>
      <c r="C81" s="6382" t="s">
        <v>2529</v>
      </c>
      <c r="D81" s="6382" t="s">
        <v>2530</v>
      </c>
      <c r="E81" s="6382" t="s">
        <v>2531</v>
      </c>
      <c r="F81" s="6382" t="s">
        <v>2256</v>
      </c>
      <c r="G81" s="6382" t="s">
        <v>28</v>
      </c>
      <c r="H81" s="6382" t="s">
        <v>28</v>
      </c>
      <c r="I81" s="6382" t="s">
        <v>813</v>
      </c>
    </row>
    <row customHeight="1" ht="11.25">
      <c r="A82" s="6382" t="s">
        <v>2249</v>
      </c>
      <c r="B82" s="6382" t="s">
        <v>16</v>
      </c>
      <c r="C82" s="6382" t="s">
        <v>2532</v>
      </c>
      <c r="D82" s="6382" t="s">
        <v>2533</v>
      </c>
      <c r="E82" s="6382" t="s">
        <v>2534</v>
      </c>
      <c r="F82" s="6382" t="s">
        <v>2535</v>
      </c>
      <c r="G82" s="6382" t="s">
        <v>2536</v>
      </c>
      <c r="H82" s="6382" t="s">
        <v>28</v>
      </c>
      <c r="I82" s="6382" t="s">
        <v>813</v>
      </c>
    </row>
    <row customHeight="1" ht="11.25">
      <c r="A83" s="6382" t="s">
        <v>2249</v>
      </c>
      <c r="B83" s="6382" t="s">
        <v>16</v>
      </c>
      <c r="C83" s="6382" t="s">
        <v>2537</v>
      </c>
      <c r="D83" s="6382" t="s">
        <v>2538</v>
      </c>
      <c r="E83" s="6382" t="s">
        <v>2539</v>
      </c>
      <c r="F83" s="6382" t="s">
        <v>2281</v>
      </c>
      <c r="G83" s="6382" t="s">
        <v>2540</v>
      </c>
      <c r="H83" s="6382" t="s">
        <v>28</v>
      </c>
      <c r="I83" s="6382" t="s">
        <v>813</v>
      </c>
    </row>
    <row customHeight="1" ht="11.25">
      <c r="A84" s="6382" t="s">
        <v>2249</v>
      </c>
      <c r="B84" s="6382" t="s">
        <v>16</v>
      </c>
      <c r="C84" s="6382" t="s">
        <v>2541</v>
      </c>
      <c r="D84" s="6382" t="s">
        <v>2542</v>
      </c>
      <c r="E84" s="6382" t="s">
        <v>2543</v>
      </c>
      <c r="F84" s="6382" t="s">
        <v>52</v>
      </c>
      <c r="G84" s="6382" t="s">
        <v>28</v>
      </c>
      <c r="H84" s="6382" t="s">
        <v>28</v>
      </c>
      <c r="I84" s="6382" t="s">
        <v>813</v>
      </c>
    </row>
    <row customHeight="1" ht="11.25">
      <c r="A85" s="6382" t="s">
        <v>2249</v>
      </c>
      <c r="B85" s="6382" t="s">
        <v>16</v>
      </c>
      <c r="C85" s="6382" t="s">
        <v>2544</v>
      </c>
      <c r="D85" s="6382" t="s">
        <v>2545</v>
      </c>
      <c r="E85" s="6382" t="s">
        <v>2546</v>
      </c>
      <c r="F85" s="6382" t="s">
        <v>2454</v>
      </c>
      <c r="G85" s="6382" t="s">
        <v>2547</v>
      </c>
      <c r="H85" s="6382" t="s">
        <v>28</v>
      </c>
      <c r="I85" s="6382" t="s">
        <v>813</v>
      </c>
    </row>
    <row customHeight="1" ht="11.25">
      <c r="A86" s="6382" t="s">
        <v>2249</v>
      </c>
      <c r="B86" s="6382" t="s">
        <v>16</v>
      </c>
      <c r="C86" s="6382" t="s">
        <v>2548</v>
      </c>
      <c r="D86" s="6382" t="s">
        <v>2549</v>
      </c>
      <c r="E86" s="6382" t="s">
        <v>2550</v>
      </c>
      <c r="F86" s="6382" t="s">
        <v>2310</v>
      </c>
      <c r="G86" s="6382" t="s">
        <v>28</v>
      </c>
      <c r="H86" s="6382" t="s">
        <v>28</v>
      </c>
      <c r="I86" s="6382" t="s">
        <v>813</v>
      </c>
    </row>
    <row customHeight="1" ht="11.25">
      <c r="A87" s="6382" t="s">
        <v>2249</v>
      </c>
      <c r="B87" s="6382" t="s">
        <v>16</v>
      </c>
      <c r="C87" s="6382" t="s">
        <v>2551</v>
      </c>
      <c r="D87" s="6382" t="s">
        <v>2552</v>
      </c>
      <c r="E87" s="6382" t="s">
        <v>2553</v>
      </c>
      <c r="F87" s="6382" t="s">
        <v>2289</v>
      </c>
      <c r="G87" s="6382" t="s">
        <v>28</v>
      </c>
      <c r="H87" s="6382" t="s">
        <v>28</v>
      </c>
      <c r="I87" s="6382" t="s">
        <v>813</v>
      </c>
    </row>
    <row customHeight="1" ht="11.25">
      <c r="A88" s="6382" t="s">
        <v>2249</v>
      </c>
      <c r="B88" s="6382" t="s">
        <v>16</v>
      </c>
      <c r="C88" s="6382" t="s">
        <v>2554</v>
      </c>
      <c r="D88" s="6382" t="s">
        <v>2555</v>
      </c>
      <c r="E88" s="6382" t="s">
        <v>2556</v>
      </c>
      <c r="F88" s="6382" t="s">
        <v>2433</v>
      </c>
      <c r="G88" s="6382" t="s">
        <v>28</v>
      </c>
      <c r="H88" s="6382" t="s">
        <v>28</v>
      </c>
      <c r="I88" s="6382" t="s">
        <v>813</v>
      </c>
    </row>
    <row customHeight="1" ht="11.25">
      <c r="A89" s="6382" t="s">
        <v>2249</v>
      </c>
      <c r="B89" s="6382" t="s">
        <v>16</v>
      </c>
      <c r="C89" s="6382" t="s">
        <v>2557</v>
      </c>
      <c r="D89" s="6382" t="s">
        <v>2558</v>
      </c>
      <c r="E89" s="6382" t="s">
        <v>2559</v>
      </c>
      <c r="F89" s="6382" t="s">
        <v>2256</v>
      </c>
      <c r="G89" s="6382" t="s">
        <v>28</v>
      </c>
      <c r="H89" s="6382" t="s">
        <v>28</v>
      </c>
      <c r="I89" s="6382" t="s">
        <v>813</v>
      </c>
    </row>
    <row customHeight="1" ht="11.25">
      <c r="A90" s="6382" t="s">
        <v>2249</v>
      </c>
      <c r="B90" s="6382" t="s">
        <v>16</v>
      </c>
      <c r="C90" s="6382" t="s">
        <v>2560</v>
      </c>
      <c r="D90" s="6382" t="s">
        <v>2561</v>
      </c>
      <c r="E90" s="6382" t="s">
        <v>2562</v>
      </c>
      <c r="F90" s="6382" t="s">
        <v>2256</v>
      </c>
      <c r="G90" s="6382" t="s">
        <v>28</v>
      </c>
      <c r="H90" s="6382" t="s">
        <v>28</v>
      </c>
      <c r="I90" s="6382" t="s">
        <v>813</v>
      </c>
    </row>
    <row customHeight="1" ht="11.25">
      <c r="A91" s="6382" t="s">
        <v>2249</v>
      </c>
      <c r="B91" s="6382" t="s">
        <v>16</v>
      </c>
      <c r="C91" s="6382" t="s">
        <v>2563</v>
      </c>
      <c r="D91" s="6382" t="s">
        <v>2564</v>
      </c>
      <c r="E91" s="6382" t="s">
        <v>2565</v>
      </c>
      <c r="F91" s="6382" t="s">
        <v>2433</v>
      </c>
      <c r="G91" s="6382" t="s">
        <v>2311</v>
      </c>
      <c r="H91" s="6382" t="s">
        <v>28</v>
      </c>
      <c r="I91" s="6382" t="s">
        <v>813</v>
      </c>
    </row>
    <row customHeight="1" ht="11.25">
      <c r="A92" s="6382" t="s">
        <v>2249</v>
      </c>
      <c r="B92" s="6382" t="s">
        <v>16</v>
      </c>
      <c r="C92" s="6382" t="s">
        <v>2566</v>
      </c>
      <c r="D92" s="6382" t="s">
        <v>2567</v>
      </c>
      <c r="E92" s="6382" t="s">
        <v>2568</v>
      </c>
      <c r="F92" s="6382" t="s">
        <v>2569</v>
      </c>
      <c r="G92" s="6382" t="s">
        <v>28</v>
      </c>
      <c r="H92" s="6382" t="s">
        <v>28</v>
      </c>
      <c r="I92" s="6382" t="s">
        <v>813</v>
      </c>
    </row>
    <row customHeight="1" ht="11.25">
      <c r="A93" s="6382" t="s">
        <v>2249</v>
      </c>
      <c r="B93" s="6382" t="s">
        <v>16</v>
      </c>
      <c r="C93" s="6382" t="s">
        <v>2570</v>
      </c>
      <c r="D93" s="6382" t="s">
        <v>2571</v>
      </c>
      <c r="E93" s="6382" t="s">
        <v>2572</v>
      </c>
      <c r="F93" s="6382" t="s">
        <v>2318</v>
      </c>
      <c r="G93" s="6382" t="s">
        <v>28</v>
      </c>
      <c r="H93" s="6382" t="s">
        <v>28</v>
      </c>
      <c r="I93" s="6382" t="s">
        <v>813</v>
      </c>
    </row>
    <row customHeight="1" ht="11.25">
      <c r="A94" s="6382" t="s">
        <v>2249</v>
      </c>
      <c r="B94" s="6382" t="s">
        <v>16</v>
      </c>
      <c r="C94" s="6382" t="s">
        <v>2573</v>
      </c>
      <c r="D94" s="6382" t="s">
        <v>2574</v>
      </c>
      <c r="E94" s="6382" t="s">
        <v>2575</v>
      </c>
      <c r="F94" s="6382" t="s">
        <v>2576</v>
      </c>
      <c r="G94" s="6382" t="s">
        <v>28</v>
      </c>
      <c r="H94" s="6382" t="s">
        <v>28</v>
      </c>
      <c r="I94" s="6382" t="s">
        <v>813</v>
      </c>
    </row>
    <row customHeight="1" ht="11.25">
      <c r="A95" s="6382" t="s">
        <v>2249</v>
      </c>
      <c r="B95" s="6382" t="s">
        <v>16</v>
      </c>
      <c r="C95" s="6382" t="s">
        <v>2577</v>
      </c>
      <c r="D95" s="6382" t="s">
        <v>2578</v>
      </c>
      <c r="E95" s="6382" t="s">
        <v>2579</v>
      </c>
      <c r="F95" s="6382" t="s">
        <v>2301</v>
      </c>
      <c r="G95" s="6382" t="s">
        <v>28</v>
      </c>
      <c r="H95" s="6382" t="s">
        <v>28</v>
      </c>
      <c r="I95" s="6382" t="s">
        <v>813</v>
      </c>
    </row>
    <row customHeight="1" ht="11.25">
      <c r="A96" s="6382" t="s">
        <v>2249</v>
      </c>
      <c r="B96" s="6382" t="s">
        <v>16</v>
      </c>
      <c r="C96" s="6382" t="s">
        <v>2580</v>
      </c>
      <c r="D96" s="6382" t="s">
        <v>2581</v>
      </c>
      <c r="E96" s="6382" t="s">
        <v>2582</v>
      </c>
      <c r="F96" s="6382" t="s">
        <v>2256</v>
      </c>
      <c r="G96" s="6382" t="s">
        <v>28</v>
      </c>
      <c r="H96" s="6382" t="s">
        <v>28</v>
      </c>
      <c r="I96" s="6382" t="s">
        <v>813</v>
      </c>
    </row>
    <row customHeight="1" ht="11.25">
      <c r="A97" s="6382" t="s">
        <v>2249</v>
      </c>
      <c r="B97" s="6382" t="s">
        <v>16</v>
      </c>
      <c r="C97" s="6382" t="s">
        <v>2583</v>
      </c>
      <c r="D97" s="6382" t="s">
        <v>2584</v>
      </c>
      <c r="E97" s="6382" t="s">
        <v>2585</v>
      </c>
      <c r="F97" s="6382" t="s">
        <v>2318</v>
      </c>
      <c r="G97" s="6382" t="s">
        <v>2586</v>
      </c>
      <c r="H97" s="6382" t="s">
        <v>28</v>
      </c>
      <c r="I97" s="6382" t="s">
        <v>813</v>
      </c>
    </row>
    <row customHeight="1" ht="11.25">
      <c r="A98" s="6382" t="s">
        <v>2249</v>
      </c>
      <c r="B98" s="6382" t="s">
        <v>16</v>
      </c>
      <c r="C98" s="6382" t="s">
        <v>2587</v>
      </c>
      <c r="D98" s="6382" t="s">
        <v>2588</v>
      </c>
      <c r="E98" s="6382" t="s">
        <v>2589</v>
      </c>
      <c r="F98" s="6382" t="s">
        <v>2590</v>
      </c>
      <c r="G98" s="6382" t="s">
        <v>28</v>
      </c>
      <c r="H98" s="6382" t="s">
        <v>28</v>
      </c>
      <c r="I98" s="6382" t="s">
        <v>813</v>
      </c>
    </row>
    <row customHeight="1" ht="11.25">
      <c r="A99" s="6382" t="s">
        <v>2249</v>
      </c>
      <c r="B99" s="6382" t="s">
        <v>16</v>
      </c>
      <c r="C99" s="6382" t="s">
        <v>2591</v>
      </c>
      <c r="D99" s="6382" t="s">
        <v>2592</v>
      </c>
      <c r="E99" s="6382" t="s">
        <v>2593</v>
      </c>
      <c r="F99" s="6382" t="s">
        <v>2252</v>
      </c>
      <c r="G99" s="6382" t="s">
        <v>28</v>
      </c>
      <c r="H99" s="6382" t="s">
        <v>28</v>
      </c>
      <c r="I99" s="6382" t="s">
        <v>813</v>
      </c>
    </row>
    <row customHeight="1" ht="11.25">
      <c r="A100" s="6382" t="s">
        <v>2249</v>
      </c>
      <c r="B100" s="6382" t="s">
        <v>16</v>
      </c>
      <c r="C100" s="6382" t="s">
        <v>2594</v>
      </c>
      <c r="D100" s="6382" t="s">
        <v>2595</v>
      </c>
      <c r="E100" s="6382" t="s">
        <v>2596</v>
      </c>
      <c r="F100" s="6382" t="s">
        <v>2264</v>
      </c>
      <c r="G100" s="6382" t="s">
        <v>28</v>
      </c>
      <c r="H100" s="6382" t="s">
        <v>28</v>
      </c>
      <c r="I100" s="6382" t="s">
        <v>813</v>
      </c>
    </row>
    <row customHeight="1" ht="11.25">
      <c r="A101" s="6382" t="s">
        <v>2249</v>
      </c>
      <c r="B101" s="6382" t="s">
        <v>16</v>
      </c>
      <c r="C101" s="6382" t="s">
        <v>2597</v>
      </c>
      <c r="D101" s="6382" t="s">
        <v>2598</v>
      </c>
      <c r="E101" s="6382" t="s">
        <v>2599</v>
      </c>
      <c r="F101" s="6382" t="s">
        <v>2256</v>
      </c>
      <c r="G101" s="6382" t="s">
        <v>28</v>
      </c>
      <c r="H101" s="6382" t="s">
        <v>28</v>
      </c>
      <c r="I101" s="6382" t="s">
        <v>813</v>
      </c>
    </row>
    <row customHeight="1" ht="11.25">
      <c r="A102" s="6382" t="s">
        <v>2249</v>
      </c>
      <c r="B102" s="6382" t="s">
        <v>16</v>
      </c>
      <c r="C102" s="6382" t="s">
        <v>2600</v>
      </c>
      <c r="D102" s="6382" t="s">
        <v>2601</v>
      </c>
      <c r="E102" s="6382" t="s">
        <v>2602</v>
      </c>
      <c r="F102" s="6382" t="s">
        <v>2603</v>
      </c>
      <c r="G102" s="6382" t="s">
        <v>2604</v>
      </c>
      <c r="H102" s="6382" t="s">
        <v>28</v>
      </c>
      <c r="I102" s="6382" t="s">
        <v>813</v>
      </c>
    </row>
    <row customHeight="1" ht="11.25">
      <c r="A103" s="6382" t="s">
        <v>2249</v>
      </c>
      <c r="B103" s="6382" t="s">
        <v>16</v>
      </c>
      <c r="C103" s="6382" t="s">
        <v>2605</v>
      </c>
      <c r="D103" s="6382" t="s">
        <v>2606</v>
      </c>
      <c r="E103" s="6382" t="s">
        <v>2607</v>
      </c>
      <c r="F103" s="6382" t="s">
        <v>2576</v>
      </c>
      <c r="G103" s="6382" t="s">
        <v>2608</v>
      </c>
      <c r="H103" s="6382" t="s">
        <v>28</v>
      </c>
      <c r="I103" s="6382" t="s">
        <v>813</v>
      </c>
    </row>
    <row customHeight="1" ht="11.25">
      <c r="A104" s="6382" t="s">
        <v>2249</v>
      </c>
      <c r="B104" s="6382" t="s">
        <v>16</v>
      </c>
      <c r="C104" s="6382" t="s">
        <v>2609</v>
      </c>
      <c r="D104" s="6382" t="s">
        <v>2610</v>
      </c>
      <c r="E104" s="6382" t="s">
        <v>2611</v>
      </c>
      <c r="F104" s="6382" t="s">
        <v>2301</v>
      </c>
      <c r="G104" s="6382" t="s">
        <v>2612</v>
      </c>
      <c r="H104" s="6382" t="s">
        <v>28</v>
      </c>
      <c r="I104" s="6382" t="s">
        <v>813</v>
      </c>
    </row>
    <row customHeight="1" ht="11.25">
      <c r="A105" s="6382" t="s">
        <v>2249</v>
      </c>
      <c r="B105" s="6382" t="s">
        <v>16</v>
      </c>
      <c r="C105" s="6382" t="s">
        <v>2613</v>
      </c>
      <c r="D105" s="6382" t="s">
        <v>2614</v>
      </c>
      <c r="E105" s="6382" t="s">
        <v>2615</v>
      </c>
      <c r="F105" s="6382" t="s">
        <v>2616</v>
      </c>
      <c r="G105" s="6382" t="s">
        <v>28</v>
      </c>
      <c r="H105" s="6382" t="s">
        <v>28</v>
      </c>
      <c r="I105" s="6382" t="s">
        <v>813</v>
      </c>
    </row>
    <row customHeight="1" ht="11.25">
      <c r="A106" s="6382" t="s">
        <v>2249</v>
      </c>
      <c r="B106" s="6382" t="s">
        <v>16</v>
      </c>
      <c r="C106" s="6382" t="s">
        <v>2617</v>
      </c>
      <c r="D106" s="6382" t="s">
        <v>2618</v>
      </c>
      <c r="E106" s="6382" t="s">
        <v>2619</v>
      </c>
      <c r="F106" s="6382" t="s">
        <v>2252</v>
      </c>
      <c r="G106" s="6382" t="s">
        <v>28</v>
      </c>
      <c r="H106" s="6382" t="s">
        <v>28</v>
      </c>
      <c r="I106" s="6382" t="s">
        <v>813</v>
      </c>
    </row>
    <row customHeight="1" ht="11.25">
      <c r="A107" s="6382" t="s">
        <v>2249</v>
      </c>
      <c r="B107" s="6382" t="s">
        <v>16</v>
      </c>
      <c r="C107" s="6382" t="s">
        <v>2620</v>
      </c>
      <c r="D107" s="6382" t="s">
        <v>2621</v>
      </c>
      <c r="E107" s="6382" t="s">
        <v>2347</v>
      </c>
      <c r="F107" s="6382" t="s">
        <v>2622</v>
      </c>
      <c r="G107" s="6382" t="s">
        <v>28</v>
      </c>
      <c r="H107" s="6382" t="s">
        <v>28</v>
      </c>
      <c r="I107" s="6382" t="s">
        <v>813</v>
      </c>
    </row>
    <row customHeight="1" ht="11.25">
      <c r="A108" s="6382" t="s">
        <v>2249</v>
      </c>
      <c r="B108" s="6382" t="s">
        <v>16</v>
      </c>
      <c r="C108" s="6382" t="s">
        <v>2623</v>
      </c>
      <c r="D108" s="6382" t="s">
        <v>2624</v>
      </c>
      <c r="E108" s="6382" t="s">
        <v>2625</v>
      </c>
      <c r="F108" s="6382" t="s">
        <v>2454</v>
      </c>
      <c r="G108" s="6382" t="s">
        <v>28</v>
      </c>
      <c r="H108" s="6382" t="s">
        <v>28</v>
      </c>
      <c r="I108" s="6382" t="s">
        <v>813</v>
      </c>
    </row>
    <row customHeight="1" ht="11.25">
      <c r="A109" s="6382" t="s">
        <v>2249</v>
      </c>
      <c r="B109" s="6382" t="s">
        <v>16</v>
      </c>
      <c r="C109" s="6382" t="s">
        <v>2626</v>
      </c>
      <c r="D109" s="6382" t="s">
        <v>2627</v>
      </c>
      <c r="E109" s="6382" t="s">
        <v>2628</v>
      </c>
      <c r="F109" s="6382" t="s">
        <v>2629</v>
      </c>
      <c r="G109" s="6382" t="s">
        <v>2630</v>
      </c>
      <c r="H109" s="6382" t="s">
        <v>28</v>
      </c>
      <c r="I109" s="6382" t="s">
        <v>813</v>
      </c>
    </row>
    <row customHeight="1" ht="11.25">
      <c r="A110" s="6382" t="s">
        <v>2249</v>
      </c>
      <c r="B110" s="6382" t="s">
        <v>16</v>
      </c>
      <c r="C110" s="6382" t="s">
        <v>2631</v>
      </c>
      <c r="D110" s="6382" t="s">
        <v>2632</v>
      </c>
      <c r="E110" s="6382" t="s">
        <v>2633</v>
      </c>
      <c r="F110" s="6382" t="s">
        <v>2454</v>
      </c>
      <c r="G110" s="6382" t="s">
        <v>28</v>
      </c>
      <c r="H110" s="6382" t="s">
        <v>28</v>
      </c>
      <c r="I110" s="6382" t="s">
        <v>813</v>
      </c>
    </row>
    <row customHeight="1" ht="11.25">
      <c r="A111" s="6382" t="s">
        <v>2249</v>
      </c>
      <c r="B111" s="6382" t="s">
        <v>16</v>
      </c>
      <c r="C111" s="6382" t="s">
        <v>2634</v>
      </c>
      <c r="D111" s="6382" t="s">
        <v>2635</v>
      </c>
      <c r="E111" s="6382" t="s">
        <v>2636</v>
      </c>
      <c r="F111" s="6382" t="s">
        <v>2394</v>
      </c>
      <c r="G111" s="6382" t="s">
        <v>28</v>
      </c>
      <c r="H111" s="6382" t="s">
        <v>28</v>
      </c>
      <c r="I111" s="6382" t="s">
        <v>813</v>
      </c>
    </row>
    <row customHeight="1" ht="11.25">
      <c r="A112" s="6382" t="s">
        <v>2249</v>
      </c>
      <c r="B112" s="6382" t="s">
        <v>16</v>
      </c>
      <c r="C112" s="6382" t="s">
        <v>2637</v>
      </c>
      <c r="D112" s="6382" t="s">
        <v>2638</v>
      </c>
      <c r="E112" s="6382" t="s">
        <v>2639</v>
      </c>
      <c r="F112" s="6382" t="s">
        <v>2384</v>
      </c>
      <c r="G112" s="6382" t="s">
        <v>28</v>
      </c>
      <c r="H112" s="6382" t="s">
        <v>28</v>
      </c>
      <c r="I112" s="6382" t="s">
        <v>813</v>
      </c>
    </row>
    <row customHeight="1" ht="11.25">
      <c r="A113" s="6382" t="s">
        <v>2249</v>
      </c>
      <c r="B113" s="6382" t="s">
        <v>16</v>
      </c>
      <c r="C113" s="6382" t="s">
        <v>2640</v>
      </c>
      <c r="D113" s="6382" t="s">
        <v>2641</v>
      </c>
      <c r="E113" s="6382" t="s">
        <v>2642</v>
      </c>
      <c r="F113" s="6382" t="s">
        <v>2260</v>
      </c>
      <c r="G113" s="6382" t="s">
        <v>28</v>
      </c>
      <c r="H113" s="6382" t="s">
        <v>28</v>
      </c>
      <c r="I113" s="6382" t="s">
        <v>813</v>
      </c>
    </row>
    <row customHeight="1" ht="11.25">
      <c r="A114" s="6382" t="s">
        <v>2249</v>
      </c>
      <c r="B114" s="6382" t="s">
        <v>16</v>
      </c>
      <c r="C114" s="6382" t="s">
        <v>2643</v>
      </c>
      <c r="D114" s="6382" t="s">
        <v>2644</v>
      </c>
      <c r="E114" s="6382" t="s">
        <v>2645</v>
      </c>
      <c r="F114" s="6382" t="s">
        <v>2646</v>
      </c>
      <c r="G114" s="6382" t="s">
        <v>28</v>
      </c>
      <c r="H114" s="6382" t="s">
        <v>28</v>
      </c>
      <c r="I114" s="6382" t="s">
        <v>813</v>
      </c>
    </row>
    <row customHeight="1" ht="11.25">
      <c r="A115" s="6382" t="s">
        <v>2249</v>
      </c>
      <c r="B115" s="6382" t="s">
        <v>16</v>
      </c>
      <c r="C115" s="6382" t="s">
        <v>2647</v>
      </c>
      <c r="D115" s="6382" t="s">
        <v>2648</v>
      </c>
      <c r="E115" s="6382" t="s">
        <v>2649</v>
      </c>
      <c r="F115" s="6382" t="s">
        <v>2310</v>
      </c>
      <c r="G115" s="6382" t="s">
        <v>28</v>
      </c>
      <c r="H115" s="6382" t="s">
        <v>28</v>
      </c>
      <c r="I115" s="6382" t="s">
        <v>813</v>
      </c>
    </row>
    <row customHeight="1" ht="11.25">
      <c r="A116" s="6382" t="s">
        <v>2249</v>
      </c>
      <c r="B116" s="6382" t="s">
        <v>16</v>
      </c>
      <c r="C116" s="6382" t="s">
        <v>2650</v>
      </c>
      <c r="D116" s="6382" t="s">
        <v>2651</v>
      </c>
      <c r="E116" s="6382" t="s">
        <v>2652</v>
      </c>
      <c r="F116" s="6382" t="s">
        <v>2289</v>
      </c>
      <c r="G116" s="6382" t="s">
        <v>28</v>
      </c>
      <c r="H116" s="6382" t="s">
        <v>28</v>
      </c>
      <c r="I116" s="6382" t="s">
        <v>813</v>
      </c>
    </row>
    <row customHeight="1" ht="11.25">
      <c r="A117" s="6382" t="s">
        <v>2249</v>
      </c>
      <c r="B117" s="6382" t="s">
        <v>16</v>
      </c>
      <c r="C117" s="6382" t="s">
        <v>2653</v>
      </c>
      <c r="D117" s="6382" t="s">
        <v>2654</v>
      </c>
      <c r="E117" s="6382" t="s">
        <v>2655</v>
      </c>
      <c r="F117" s="6382" t="s">
        <v>2394</v>
      </c>
      <c r="G117" s="6382" t="s">
        <v>28</v>
      </c>
      <c r="H117" s="6382" t="s">
        <v>28</v>
      </c>
      <c r="I117" s="6382" t="s">
        <v>813</v>
      </c>
    </row>
    <row customHeight="1" ht="11.25">
      <c r="A118" s="6382" t="s">
        <v>2249</v>
      </c>
      <c r="B118" s="6382" t="s">
        <v>16</v>
      </c>
      <c r="C118" s="6382" t="s">
        <v>2656</v>
      </c>
      <c r="D118" s="6382" t="s">
        <v>2657</v>
      </c>
      <c r="E118" s="6382" t="s">
        <v>2658</v>
      </c>
      <c r="F118" s="6382" t="s">
        <v>2289</v>
      </c>
      <c r="G118" s="6382" t="s">
        <v>28</v>
      </c>
      <c r="H118" s="6382" t="s">
        <v>28</v>
      </c>
      <c r="I118" s="6382" t="s">
        <v>813</v>
      </c>
    </row>
    <row customHeight="1" ht="11.25">
      <c r="A119" s="6382" t="s">
        <v>2249</v>
      </c>
      <c r="B119" s="6382" t="s">
        <v>16</v>
      </c>
      <c r="C119" s="6382" t="s">
        <v>2659</v>
      </c>
      <c r="D119" s="6382" t="s">
        <v>2660</v>
      </c>
      <c r="E119" s="6382" t="s">
        <v>2661</v>
      </c>
      <c r="F119" s="6382" t="s">
        <v>2289</v>
      </c>
      <c r="G119" s="6382" t="s">
        <v>28</v>
      </c>
      <c r="H119" s="6382" t="s">
        <v>28</v>
      </c>
      <c r="I119" s="6382" t="s">
        <v>813</v>
      </c>
    </row>
    <row customHeight="1" ht="11.25">
      <c r="A120" s="6382" t="s">
        <v>2249</v>
      </c>
      <c r="B120" s="6382" t="s">
        <v>16</v>
      </c>
      <c r="C120" s="6382" t="s">
        <v>2662</v>
      </c>
      <c r="D120" s="6382" t="s">
        <v>2663</v>
      </c>
      <c r="E120" s="6382" t="s">
        <v>2664</v>
      </c>
      <c r="F120" s="6382" t="s">
        <v>2454</v>
      </c>
      <c r="G120" s="6382" t="s">
        <v>28</v>
      </c>
      <c r="H120" s="6382" t="s">
        <v>28</v>
      </c>
      <c r="I120" s="6382" t="s">
        <v>813</v>
      </c>
    </row>
    <row customHeight="1" ht="11.25">
      <c r="A121" s="6382" t="s">
        <v>2249</v>
      </c>
      <c r="B121" s="6382" t="s">
        <v>16</v>
      </c>
      <c r="C121" s="6382" t="s">
        <v>2665</v>
      </c>
      <c r="D121" s="6382" t="s">
        <v>2666</v>
      </c>
      <c r="E121" s="6382" t="s">
        <v>2667</v>
      </c>
      <c r="F121" s="6382" t="s">
        <v>2668</v>
      </c>
      <c r="G121" s="6382" t="s">
        <v>28</v>
      </c>
      <c r="H121" s="6382" t="s">
        <v>28</v>
      </c>
      <c r="I121" s="6382" t="s">
        <v>813</v>
      </c>
    </row>
    <row customHeight="1" ht="11.25">
      <c r="A122" s="6382" t="s">
        <v>2249</v>
      </c>
      <c r="B122" s="6382" t="s">
        <v>16</v>
      </c>
      <c r="C122" s="6382" t="s">
        <v>2669</v>
      </c>
      <c r="D122" s="6382" t="s">
        <v>2670</v>
      </c>
      <c r="E122" s="6382" t="s">
        <v>2671</v>
      </c>
      <c r="F122" s="6382" t="s">
        <v>2672</v>
      </c>
      <c r="G122" s="6382" t="s">
        <v>28</v>
      </c>
      <c r="H122" s="6382" t="s">
        <v>28</v>
      </c>
      <c r="I122" s="6382" t="s">
        <v>813</v>
      </c>
    </row>
    <row customHeight="1" ht="11.25">
      <c r="A123" s="6382" t="s">
        <v>2249</v>
      </c>
      <c r="B123" s="6382" t="s">
        <v>16</v>
      </c>
      <c r="C123" s="6382" t="s">
        <v>2673</v>
      </c>
      <c r="D123" s="6382" t="s">
        <v>2674</v>
      </c>
      <c r="E123" s="6382" t="s">
        <v>2675</v>
      </c>
      <c r="F123" s="6382" t="s">
        <v>2281</v>
      </c>
      <c r="G123" s="6382" t="s">
        <v>28</v>
      </c>
      <c r="H123" s="6382" t="s">
        <v>28</v>
      </c>
      <c r="I123" s="6382" t="s">
        <v>813</v>
      </c>
    </row>
    <row customHeight="1" ht="11.25">
      <c r="A124" s="6382" t="s">
        <v>2249</v>
      </c>
      <c r="B124" s="6382" t="s">
        <v>16</v>
      </c>
      <c r="C124" s="6382" t="s">
        <v>2676</v>
      </c>
      <c r="D124" s="6382" t="s">
        <v>2677</v>
      </c>
      <c r="E124" s="6382" t="s">
        <v>2678</v>
      </c>
      <c r="F124" s="6382" t="s">
        <v>2285</v>
      </c>
      <c r="G124" s="6382" t="s">
        <v>28</v>
      </c>
      <c r="H124" s="6382" t="s">
        <v>28</v>
      </c>
      <c r="I124" s="6382" t="s">
        <v>813</v>
      </c>
    </row>
    <row customHeight="1" ht="11.25">
      <c r="A125" s="6382" t="s">
        <v>2249</v>
      </c>
      <c r="B125" s="6382" t="s">
        <v>16</v>
      </c>
      <c r="C125" s="6382" t="s">
        <v>28</v>
      </c>
      <c r="D125" s="6382" t="s">
        <v>2250</v>
      </c>
      <c r="E125" s="6382" t="s">
        <v>2251</v>
      </c>
      <c r="F125" s="6382" t="s">
        <v>2252</v>
      </c>
      <c r="G125" s="6382" t="s">
        <v>28</v>
      </c>
      <c r="H125" s="6382" t="s">
        <v>28</v>
      </c>
      <c r="I125" s="6382" t="s">
        <v>899</v>
      </c>
    </row>
    <row customHeight="1" ht="11.25">
      <c r="A126" s="6382" t="s">
        <v>2249</v>
      </c>
      <c r="B126" s="6382" t="s">
        <v>16</v>
      </c>
      <c r="C126" s="6382" t="s">
        <v>2261</v>
      </c>
      <c r="D126" s="6382" t="s">
        <v>2262</v>
      </c>
      <c r="E126" s="6382" t="s">
        <v>2263</v>
      </c>
      <c r="F126" s="6382" t="s">
        <v>2264</v>
      </c>
      <c r="G126" s="6382" t="s">
        <v>28</v>
      </c>
      <c r="H126" s="6382" t="s">
        <v>28</v>
      </c>
      <c r="I126" s="6382" t="s">
        <v>899</v>
      </c>
    </row>
    <row customHeight="1" ht="11.25">
      <c r="A127" s="6382" t="s">
        <v>2249</v>
      </c>
      <c r="B127" s="6382" t="s">
        <v>16</v>
      </c>
      <c r="C127" s="6382" t="s">
        <v>2265</v>
      </c>
      <c r="D127" s="6382" t="s">
        <v>2266</v>
      </c>
      <c r="E127" s="6382" t="s">
        <v>2267</v>
      </c>
      <c r="F127" s="6382" t="s">
        <v>2268</v>
      </c>
      <c r="G127" s="6382" t="s">
        <v>28</v>
      </c>
      <c r="H127" s="6382" t="s">
        <v>28</v>
      </c>
      <c r="I127" s="6382" t="s">
        <v>899</v>
      </c>
    </row>
    <row customHeight="1" ht="11.25">
      <c r="A128" s="6382" t="s">
        <v>2249</v>
      </c>
      <c r="B128" s="6382" t="s">
        <v>16</v>
      </c>
      <c r="C128" s="6382" t="s">
        <v>2272</v>
      </c>
      <c r="D128" s="6382" t="s">
        <v>2273</v>
      </c>
      <c r="E128" s="6382" t="s">
        <v>2267</v>
      </c>
      <c r="F128" s="6382" t="s">
        <v>2274</v>
      </c>
      <c r="G128" s="6382" t="s">
        <v>28</v>
      </c>
      <c r="H128" s="6382" t="s">
        <v>28</v>
      </c>
      <c r="I128" s="6382" t="s">
        <v>899</v>
      </c>
    </row>
    <row customHeight="1" ht="11.25">
      <c r="A129" s="6382" t="s">
        <v>2249</v>
      </c>
      <c r="B129" s="6382" t="s">
        <v>16</v>
      </c>
      <c r="C129" s="6382" t="s">
        <v>2275</v>
      </c>
      <c r="D129" s="6382" t="s">
        <v>2276</v>
      </c>
      <c r="E129" s="6382" t="s">
        <v>2267</v>
      </c>
      <c r="F129" s="6382" t="s">
        <v>2277</v>
      </c>
      <c r="G129" s="6382" t="s">
        <v>28</v>
      </c>
      <c r="H129" s="6382" t="s">
        <v>28</v>
      </c>
      <c r="I129" s="6382" t="s">
        <v>899</v>
      </c>
    </row>
    <row customHeight="1" ht="11.25">
      <c r="A130" s="6382" t="s">
        <v>2249</v>
      </c>
      <c r="B130" s="6382" t="s">
        <v>16</v>
      </c>
      <c r="C130" s="6382" t="s">
        <v>2282</v>
      </c>
      <c r="D130" s="6382" t="s">
        <v>2283</v>
      </c>
      <c r="E130" s="6382" t="s">
        <v>2284</v>
      </c>
      <c r="F130" s="6382" t="s">
        <v>2285</v>
      </c>
      <c r="G130" s="6382" t="s">
        <v>28</v>
      </c>
      <c r="H130" s="6382" t="s">
        <v>28</v>
      </c>
      <c r="I130" s="6382" t="s">
        <v>899</v>
      </c>
    </row>
    <row customHeight="1" ht="11.25">
      <c r="A131" s="6382" t="s">
        <v>2249</v>
      </c>
      <c r="B131" s="6382" t="s">
        <v>16</v>
      </c>
      <c r="C131" s="6382" t="s">
        <v>2290</v>
      </c>
      <c r="D131" s="6382" t="s">
        <v>2291</v>
      </c>
      <c r="E131" s="6382" t="s">
        <v>2292</v>
      </c>
      <c r="F131" s="6382" t="s">
        <v>2293</v>
      </c>
      <c r="G131" s="6382" t="s">
        <v>2294</v>
      </c>
      <c r="H131" s="6382" t="s">
        <v>28</v>
      </c>
      <c r="I131" s="6382" t="s">
        <v>899</v>
      </c>
    </row>
    <row customHeight="1" ht="11.25">
      <c r="A132" s="6382" t="s">
        <v>2249</v>
      </c>
      <c r="B132" s="6382" t="s">
        <v>16</v>
      </c>
      <c r="C132" s="6382" t="s">
        <v>2307</v>
      </c>
      <c r="D132" s="6382" t="s">
        <v>2308</v>
      </c>
      <c r="E132" s="6382" t="s">
        <v>2309</v>
      </c>
      <c r="F132" s="6382" t="s">
        <v>2310</v>
      </c>
      <c r="G132" s="6382" t="s">
        <v>2311</v>
      </c>
      <c r="H132" s="6382" t="s">
        <v>28</v>
      </c>
      <c r="I132" s="6382" t="s">
        <v>899</v>
      </c>
    </row>
    <row customHeight="1" ht="11.25">
      <c r="A133" s="6382" t="s">
        <v>2249</v>
      </c>
      <c r="B133" s="6382" t="s">
        <v>16</v>
      </c>
      <c r="C133" s="6382" t="s">
        <v>2312</v>
      </c>
      <c r="D133" s="6382" t="s">
        <v>2313</v>
      </c>
      <c r="E133" s="6382" t="s">
        <v>2314</v>
      </c>
      <c r="F133" s="6382" t="s">
        <v>2281</v>
      </c>
      <c r="G133" s="6382" t="s">
        <v>28</v>
      </c>
      <c r="H133" s="6382" t="s">
        <v>28</v>
      </c>
      <c r="I133" s="6382" t="s">
        <v>899</v>
      </c>
    </row>
    <row customHeight="1" ht="11.25">
      <c r="A134" s="6382" t="s">
        <v>2249</v>
      </c>
      <c r="B134" s="6382" t="s">
        <v>16</v>
      </c>
      <c r="C134" s="6382" t="s">
        <v>2319</v>
      </c>
      <c r="D134" s="6382" t="s">
        <v>2320</v>
      </c>
      <c r="E134" s="6382" t="s">
        <v>2321</v>
      </c>
      <c r="F134" s="6382" t="s">
        <v>2289</v>
      </c>
      <c r="G134" s="6382" t="s">
        <v>2322</v>
      </c>
      <c r="H134" s="6382" t="s">
        <v>28</v>
      </c>
      <c r="I134" s="6382" t="s">
        <v>899</v>
      </c>
    </row>
    <row customHeight="1" ht="11.25">
      <c r="A135" s="6382" t="s">
        <v>2249</v>
      </c>
      <c r="B135" s="6382" t="s">
        <v>16</v>
      </c>
      <c r="C135" s="6382" t="s">
        <v>2331</v>
      </c>
      <c r="D135" s="6382" t="s">
        <v>2332</v>
      </c>
      <c r="E135" s="6382" t="s">
        <v>2333</v>
      </c>
      <c r="F135" s="6382" t="s">
        <v>2334</v>
      </c>
      <c r="G135" s="6382" t="s">
        <v>28</v>
      </c>
      <c r="H135" s="6382" t="s">
        <v>28</v>
      </c>
      <c r="I135" s="6382" t="s">
        <v>899</v>
      </c>
    </row>
    <row customHeight="1" ht="11.25">
      <c r="A136" s="6382" t="s">
        <v>2249</v>
      </c>
      <c r="B136" s="6382" t="s">
        <v>16</v>
      </c>
      <c r="C136" s="6382" t="s">
        <v>2349</v>
      </c>
      <c r="D136" s="6382" t="s">
        <v>2350</v>
      </c>
      <c r="E136" s="6382" t="s">
        <v>2347</v>
      </c>
      <c r="F136" s="6382" t="s">
        <v>2351</v>
      </c>
      <c r="G136" s="6382" t="s">
        <v>28</v>
      </c>
      <c r="H136" s="6382" t="s">
        <v>28</v>
      </c>
      <c r="I136" s="6382" t="s">
        <v>899</v>
      </c>
    </row>
    <row customHeight="1" ht="11.25">
      <c r="A137" s="6382" t="s">
        <v>2249</v>
      </c>
      <c r="B137" s="6382" t="s">
        <v>16</v>
      </c>
      <c r="C137" s="6382" t="s">
        <v>2679</v>
      </c>
      <c r="D137" s="6382" t="s">
        <v>2396</v>
      </c>
      <c r="E137" s="6382" t="s">
        <v>2397</v>
      </c>
      <c r="F137" s="6382" t="s">
        <v>2680</v>
      </c>
      <c r="G137" s="6382" t="s">
        <v>28</v>
      </c>
      <c r="H137" s="6382" t="s">
        <v>28</v>
      </c>
      <c r="I137" s="6382" t="s">
        <v>899</v>
      </c>
    </row>
    <row customHeight="1" ht="11.25">
      <c r="A138" s="6382" t="s">
        <v>2249</v>
      </c>
      <c r="B138" s="6382" t="s">
        <v>16</v>
      </c>
      <c r="C138" s="6382" t="s">
        <v>2681</v>
      </c>
      <c r="D138" s="6382" t="s">
        <v>2396</v>
      </c>
      <c r="E138" s="6382" t="s">
        <v>2397</v>
      </c>
      <c r="F138" s="6382" t="s">
        <v>2682</v>
      </c>
      <c r="G138" s="6382" t="s">
        <v>28</v>
      </c>
      <c r="H138" s="6382" t="s">
        <v>28</v>
      </c>
      <c r="I138" s="6382" t="s">
        <v>899</v>
      </c>
    </row>
    <row customHeight="1" ht="11.25">
      <c r="A139" s="6382" t="s">
        <v>2249</v>
      </c>
      <c r="B139" s="6382" t="s">
        <v>16</v>
      </c>
      <c r="C139" s="6382" t="s">
        <v>2683</v>
      </c>
      <c r="D139" s="6382" t="s">
        <v>2396</v>
      </c>
      <c r="E139" s="6382" t="s">
        <v>2397</v>
      </c>
      <c r="F139" s="6382" t="s">
        <v>2684</v>
      </c>
      <c r="G139" s="6382" t="s">
        <v>28</v>
      </c>
      <c r="H139" s="6382" t="s">
        <v>28</v>
      </c>
      <c r="I139" s="6382" t="s">
        <v>899</v>
      </c>
    </row>
    <row customHeight="1" ht="11.25">
      <c r="A140" s="6382" t="s">
        <v>2249</v>
      </c>
      <c r="B140" s="6382" t="s">
        <v>16</v>
      </c>
      <c r="C140" s="6382" t="s">
        <v>2685</v>
      </c>
      <c r="D140" s="6382" t="s">
        <v>2396</v>
      </c>
      <c r="E140" s="6382" t="s">
        <v>2397</v>
      </c>
      <c r="F140" s="6382" t="s">
        <v>2686</v>
      </c>
      <c r="G140" s="6382" t="s">
        <v>28</v>
      </c>
      <c r="H140" s="6382" t="s">
        <v>28</v>
      </c>
      <c r="I140" s="6382" t="s">
        <v>899</v>
      </c>
    </row>
    <row customHeight="1" ht="11.25">
      <c r="A141" s="6382" t="s">
        <v>2249</v>
      </c>
      <c r="B141" s="6382" t="s">
        <v>16</v>
      </c>
      <c r="C141" s="6382" t="s">
        <v>2687</v>
      </c>
      <c r="D141" s="6382" t="s">
        <v>2396</v>
      </c>
      <c r="E141" s="6382" t="s">
        <v>2397</v>
      </c>
      <c r="F141" s="6382" t="s">
        <v>2688</v>
      </c>
      <c r="G141" s="6382" t="s">
        <v>28</v>
      </c>
      <c r="H141" s="6382" t="s">
        <v>28</v>
      </c>
      <c r="I141" s="6382" t="s">
        <v>899</v>
      </c>
    </row>
    <row customHeight="1" ht="11.25">
      <c r="A142" s="6382" t="s">
        <v>2249</v>
      </c>
      <c r="B142" s="6382" t="s">
        <v>16</v>
      </c>
      <c r="C142" s="6382" t="s">
        <v>2689</v>
      </c>
      <c r="D142" s="6382" t="s">
        <v>2396</v>
      </c>
      <c r="E142" s="6382" t="s">
        <v>2397</v>
      </c>
      <c r="F142" s="6382" t="s">
        <v>2690</v>
      </c>
      <c r="G142" s="6382" t="s">
        <v>28</v>
      </c>
      <c r="H142" s="6382" t="s">
        <v>28</v>
      </c>
      <c r="I142" s="6382" t="s">
        <v>899</v>
      </c>
    </row>
    <row customHeight="1" ht="11.25">
      <c r="A143" s="6382" t="s">
        <v>2249</v>
      </c>
      <c r="B143" s="6382" t="s">
        <v>16</v>
      </c>
      <c r="C143" s="6382" t="s">
        <v>2691</v>
      </c>
      <c r="D143" s="6382" t="s">
        <v>2396</v>
      </c>
      <c r="E143" s="6382" t="s">
        <v>2397</v>
      </c>
      <c r="F143" s="6382" t="s">
        <v>2692</v>
      </c>
      <c r="G143" s="6382" t="s">
        <v>28</v>
      </c>
      <c r="H143" s="6382" t="s">
        <v>28</v>
      </c>
      <c r="I143" s="6382" t="s">
        <v>899</v>
      </c>
    </row>
    <row customHeight="1" ht="11.25">
      <c r="A144" s="6382" t="s">
        <v>2249</v>
      </c>
      <c r="B144" s="6382" t="s">
        <v>16</v>
      </c>
      <c r="C144" s="6382" t="s">
        <v>2693</v>
      </c>
      <c r="D144" s="6382" t="s">
        <v>2396</v>
      </c>
      <c r="E144" s="6382" t="s">
        <v>2397</v>
      </c>
      <c r="F144" s="6382" t="s">
        <v>2694</v>
      </c>
      <c r="G144" s="6382" t="s">
        <v>28</v>
      </c>
      <c r="H144" s="6382" t="s">
        <v>28</v>
      </c>
      <c r="I144" s="6382" t="s">
        <v>899</v>
      </c>
    </row>
    <row customHeight="1" ht="11.25">
      <c r="A145" s="6382" t="s">
        <v>2249</v>
      </c>
      <c r="B145" s="6382" t="s">
        <v>16</v>
      </c>
      <c r="C145" s="6382" t="s">
        <v>2395</v>
      </c>
      <c r="D145" s="6382" t="s">
        <v>2396</v>
      </c>
      <c r="E145" s="6382" t="s">
        <v>2397</v>
      </c>
      <c r="F145" s="6382" t="s">
        <v>2394</v>
      </c>
      <c r="G145" s="6382" t="s">
        <v>28</v>
      </c>
      <c r="H145" s="6382" t="s">
        <v>28</v>
      </c>
      <c r="I145" s="6382" t="s">
        <v>899</v>
      </c>
    </row>
    <row customHeight="1" ht="11.25">
      <c r="A146" s="6382" t="s">
        <v>2249</v>
      </c>
      <c r="B146" s="6382" t="s">
        <v>16</v>
      </c>
      <c r="C146" s="6382" t="s">
        <v>2695</v>
      </c>
      <c r="D146" s="6382" t="s">
        <v>2696</v>
      </c>
      <c r="E146" s="6382" t="s">
        <v>2397</v>
      </c>
      <c r="F146" s="6382" t="s">
        <v>2697</v>
      </c>
      <c r="G146" s="6382" t="s">
        <v>28</v>
      </c>
      <c r="H146" s="6382" t="s">
        <v>28</v>
      </c>
      <c r="I146" s="6382" t="s">
        <v>899</v>
      </c>
    </row>
    <row customHeight="1" ht="11.25">
      <c r="A147" s="6382" t="s">
        <v>2249</v>
      </c>
      <c r="B147" s="6382" t="s">
        <v>16</v>
      </c>
      <c r="C147" s="6382" t="s">
        <v>2406</v>
      </c>
      <c r="D147" s="6382" t="s">
        <v>2407</v>
      </c>
      <c r="E147" s="6382" t="s">
        <v>2408</v>
      </c>
      <c r="F147" s="6382" t="s">
        <v>2281</v>
      </c>
      <c r="G147" s="6382" t="s">
        <v>28</v>
      </c>
      <c r="H147" s="6382" t="s">
        <v>28</v>
      </c>
      <c r="I147" s="6382" t="s">
        <v>899</v>
      </c>
    </row>
    <row customHeight="1" ht="11.25">
      <c r="A148" s="6382" t="s">
        <v>2249</v>
      </c>
      <c r="B148" s="6382" t="s">
        <v>16</v>
      </c>
      <c r="C148" s="6382" t="s">
        <v>2413</v>
      </c>
      <c r="D148" s="6382" t="s">
        <v>2414</v>
      </c>
      <c r="E148" s="6382" t="s">
        <v>2415</v>
      </c>
      <c r="F148" s="6382" t="s">
        <v>2416</v>
      </c>
      <c r="G148" s="6382" t="s">
        <v>28</v>
      </c>
      <c r="H148" s="6382" t="s">
        <v>28</v>
      </c>
      <c r="I148" s="6382" t="s">
        <v>899</v>
      </c>
    </row>
    <row customHeight="1" ht="11.25">
      <c r="A149" s="6382" t="s">
        <v>2249</v>
      </c>
      <c r="B149" s="6382" t="s">
        <v>16</v>
      </c>
      <c r="C149" s="6382" t="s">
        <v>2434</v>
      </c>
      <c r="D149" s="6382" t="s">
        <v>2435</v>
      </c>
      <c r="E149" s="6382" t="s">
        <v>2436</v>
      </c>
      <c r="F149" s="6382" t="s">
        <v>2394</v>
      </c>
      <c r="G149" s="6382" t="s">
        <v>28</v>
      </c>
      <c r="H149" s="6382" t="s">
        <v>28</v>
      </c>
      <c r="I149" s="6382" t="s">
        <v>899</v>
      </c>
    </row>
    <row customHeight="1" ht="11.25">
      <c r="A150" s="6382" t="s">
        <v>2249</v>
      </c>
      <c r="B150" s="6382" t="s">
        <v>16</v>
      </c>
      <c r="C150" s="6382" t="s">
        <v>2461</v>
      </c>
      <c r="D150" s="6382" t="s">
        <v>2462</v>
      </c>
      <c r="E150" s="6382" t="s">
        <v>2463</v>
      </c>
      <c r="F150" s="6382" t="s">
        <v>2289</v>
      </c>
      <c r="G150" s="6382" t="s">
        <v>28</v>
      </c>
      <c r="H150" s="6382" t="s">
        <v>28</v>
      </c>
      <c r="I150" s="6382" t="s">
        <v>899</v>
      </c>
    </row>
    <row customHeight="1" ht="11.25">
      <c r="A151" s="6382" t="s">
        <v>2249</v>
      </c>
      <c r="B151" s="6382" t="s">
        <v>16</v>
      </c>
      <c r="C151" s="6382" t="s">
        <v>2464</v>
      </c>
      <c r="D151" s="6382" t="s">
        <v>2465</v>
      </c>
      <c r="E151" s="6382" t="s">
        <v>2347</v>
      </c>
      <c r="F151" s="6382" t="s">
        <v>2466</v>
      </c>
      <c r="G151" s="6382" t="s">
        <v>28</v>
      </c>
      <c r="H151" s="6382" t="s">
        <v>28</v>
      </c>
      <c r="I151" s="6382" t="s">
        <v>899</v>
      </c>
    </row>
    <row customHeight="1" ht="11.25">
      <c r="A152" s="6382" t="s">
        <v>2249</v>
      </c>
      <c r="B152" s="6382" t="s">
        <v>16</v>
      </c>
      <c r="C152" s="6382" t="s">
        <v>2512</v>
      </c>
      <c r="D152" s="6382" t="s">
        <v>2513</v>
      </c>
      <c r="E152" s="6382" t="s">
        <v>2514</v>
      </c>
      <c r="F152" s="6382" t="s">
        <v>2515</v>
      </c>
      <c r="G152" s="6382" t="s">
        <v>2516</v>
      </c>
      <c r="H152" s="6382" t="s">
        <v>28</v>
      </c>
      <c r="I152" s="6382" t="s">
        <v>899</v>
      </c>
    </row>
    <row customHeight="1" ht="11.25">
      <c r="A153" s="6382" t="s">
        <v>2249</v>
      </c>
      <c r="B153" s="6382" t="s">
        <v>16</v>
      </c>
      <c r="C153" s="6382" t="s">
        <v>13</v>
      </c>
      <c r="D153" s="6382" t="s">
        <v>47</v>
      </c>
      <c r="E153" s="6382" t="s">
        <v>50</v>
      </c>
      <c r="F153" s="6382" t="s">
        <v>52</v>
      </c>
      <c r="G153" s="6382" t="s">
        <v>28</v>
      </c>
      <c r="H153" s="6382" t="s">
        <v>28</v>
      </c>
      <c r="I153" s="6382" t="s">
        <v>899</v>
      </c>
    </row>
    <row customHeight="1" ht="11.25">
      <c r="A154" s="6382" t="s">
        <v>2249</v>
      </c>
      <c r="B154" s="6382" t="s">
        <v>16</v>
      </c>
      <c r="C154" s="6382" t="s">
        <v>2566</v>
      </c>
      <c r="D154" s="6382" t="s">
        <v>2567</v>
      </c>
      <c r="E154" s="6382" t="s">
        <v>2568</v>
      </c>
      <c r="F154" s="6382" t="s">
        <v>2569</v>
      </c>
      <c r="G154" s="6382" t="s">
        <v>28</v>
      </c>
      <c r="H154" s="6382" t="s">
        <v>28</v>
      </c>
      <c r="I154" s="6382" t="s">
        <v>899</v>
      </c>
    </row>
    <row customHeight="1" ht="11.25">
      <c r="A155" s="6382" t="s">
        <v>2249</v>
      </c>
      <c r="B155" s="6382" t="s">
        <v>16</v>
      </c>
      <c r="C155" s="6382" t="s">
        <v>2617</v>
      </c>
      <c r="D155" s="6382" t="s">
        <v>2618</v>
      </c>
      <c r="E155" s="6382" t="s">
        <v>2619</v>
      </c>
      <c r="F155" s="6382" t="s">
        <v>2252</v>
      </c>
      <c r="G155" s="6382" t="s">
        <v>28</v>
      </c>
      <c r="H155" s="6382" t="s">
        <v>28</v>
      </c>
      <c r="I155" s="6382" t="s">
        <v>899</v>
      </c>
    </row>
    <row customHeight="1" ht="11.25">
      <c r="A156" s="6382" t="s">
        <v>2249</v>
      </c>
      <c r="B156" s="6382" t="s">
        <v>16</v>
      </c>
      <c r="C156" s="6382" t="s">
        <v>2623</v>
      </c>
      <c r="D156" s="6382" t="s">
        <v>2624</v>
      </c>
      <c r="E156" s="6382" t="s">
        <v>2625</v>
      </c>
      <c r="F156" s="6382" t="s">
        <v>2454</v>
      </c>
      <c r="G156" s="6382" t="s">
        <v>28</v>
      </c>
      <c r="H156" s="6382" t="s">
        <v>28</v>
      </c>
      <c r="I156" s="6382" t="s">
        <v>899</v>
      </c>
    </row>
    <row customHeight="1" ht="11.25">
      <c r="A157" s="6382" t="s">
        <v>2249</v>
      </c>
      <c r="B157" s="6382" t="s">
        <v>16</v>
      </c>
      <c r="C157" s="6382" t="s">
        <v>2626</v>
      </c>
      <c r="D157" s="6382" t="s">
        <v>2627</v>
      </c>
      <c r="E157" s="6382" t="s">
        <v>2628</v>
      </c>
      <c r="F157" s="6382" t="s">
        <v>2629</v>
      </c>
      <c r="G157" s="6382" t="s">
        <v>2630</v>
      </c>
      <c r="H157" s="6382" t="s">
        <v>28</v>
      </c>
      <c r="I157" s="6382" t="s">
        <v>899</v>
      </c>
    </row>
    <row customHeight="1" ht="11.25">
      <c r="A158" s="6382" t="s">
        <v>2249</v>
      </c>
      <c r="B158" s="6382" t="s">
        <v>16</v>
      </c>
      <c r="C158" s="6382" t="s">
        <v>2662</v>
      </c>
      <c r="D158" s="6382" t="s">
        <v>2663</v>
      </c>
      <c r="E158" s="6382" t="s">
        <v>2664</v>
      </c>
      <c r="F158" s="6382" t="s">
        <v>2454</v>
      </c>
      <c r="G158" s="6382" t="s">
        <v>28</v>
      </c>
      <c r="H158" s="6382" t="s">
        <v>28</v>
      </c>
      <c r="I158" s="6382" t="s">
        <v>899</v>
      </c>
    </row>
    <row customHeight="1" ht="11.25">
      <c r="A159" s="6382" t="s">
        <v>2249</v>
      </c>
      <c r="B159" s="6382" t="s">
        <v>16</v>
      </c>
      <c r="C159" s="6382" t="s">
        <v>2673</v>
      </c>
      <c r="D159" s="6382" t="s">
        <v>2674</v>
      </c>
      <c r="E159" s="6382" t="s">
        <v>2675</v>
      </c>
      <c r="F159" s="6382" t="s">
        <v>2281</v>
      </c>
      <c r="G159" s="6382" t="s">
        <v>28</v>
      </c>
      <c r="H159" s="6382" t="s">
        <v>28</v>
      </c>
      <c r="I159" s="6382" t="s">
        <v>899</v>
      </c>
    </row>
    <row customHeight="1" ht="11.25">
      <c r="A160" s="6382" t="s">
        <v>2249</v>
      </c>
      <c r="B160" s="6382" t="s">
        <v>16</v>
      </c>
      <c r="C160" s="6382" t="s">
        <v>28</v>
      </c>
      <c r="D160" s="6382" t="s">
        <v>2250</v>
      </c>
      <c r="E160" s="6382" t="s">
        <v>2251</v>
      </c>
      <c r="F160" s="6382" t="s">
        <v>2252</v>
      </c>
      <c r="G160" s="6382" t="s">
        <v>28</v>
      </c>
      <c r="H160" s="6382" t="s">
        <v>28</v>
      </c>
      <c r="I160" s="6382" t="s">
        <v>859</v>
      </c>
    </row>
    <row customHeight="1" ht="11.25">
      <c r="A161" s="6382" t="s">
        <v>2249</v>
      </c>
      <c r="B161" s="6382" t="s">
        <v>16</v>
      </c>
      <c r="C161" s="6382" t="s">
        <v>2253</v>
      </c>
      <c r="D161" s="6382" t="s">
        <v>2254</v>
      </c>
      <c r="E161" s="6382" t="s">
        <v>2255</v>
      </c>
      <c r="F161" s="6382" t="s">
        <v>2256</v>
      </c>
      <c r="G161" s="6382" t="s">
        <v>28</v>
      </c>
      <c r="H161" s="6382" t="s">
        <v>28</v>
      </c>
      <c r="I161" s="6382" t="s">
        <v>859</v>
      </c>
    </row>
    <row customHeight="1" ht="11.25">
      <c r="A162" s="6382" t="s">
        <v>2249</v>
      </c>
      <c r="B162" s="6382" t="s">
        <v>16</v>
      </c>
      <c r="C162" s="6382" t="s">
        <v>2261</v>
      </c>
      <c r="D162" s="6382" t="s">
        <v>2262</v>
      </c>
      <c r="E162" s="6382" t="s">
        <v>2263</v>
      </c>
      <c r="F162" s="6382" t="s">
        <v>2264</v>
      </c>
      <c r="G162" s="6382" t="s">
        <v>28</v>
      </c>
      <c r="H162" s="6382" t="s">
        <v>28</v>
      </c>
      <c r="I162" s="6382" t="s">
        <v>859</v>
      </c>
    </row>
    <row customHeight="1" ht="11.25">
      <c r="A163" s="6382" t="s">
        <v>2249</v>
      </c>
      <c r="B163" s="6382" t="s">
        <v>16</v>
      </c>
      <c r="C163" s="6382" t="s">
        <v>2265</v>
      </c>
      <c r="D163" s="6382" t="s">
        <v>2266</v>
      </c>
      <c r="E163" s="6382" t="s">
        <v>2267</v>
      </c>
      <c r="F163" s="6382" t="s">
        <v>2268</v>
      </c>
      <c r="G163" s="6382" t="s">
        <v>28</v>
      </c>
      <c r="H163" s="6382" t="s">
        <v>28</v>
      </c>
      <c r="I163" s="6382" t="s">
        <v>859</v>
      </c>
    </row>
    <row customHeight="1" ht="11.25">
      <c r="A164" s="6382" t="s">
        <v>2249</v>
      </c>
      <c r="B164" s="6382" t="s">
        <v>16</v>
      </c>
      <c r="C164" s="6382" t="s">
        <v>2269</v>
      </c>
      <c r="D164" s="6382" t="s">
        <v>2266</v>
      </c>
      <c r="E164" s="6382" t="s">
        <v>2267</v>
      </c>
      <c r="F164" s="6382" t="s">
        <v>2270</v>
      </c>
      <c r="G164" s="6382" t="s">
        <v>2271</v>
      </c>
      <c r="H164" s="6382" t="s">
        <v>28</v>
      </c>
      <c r="I164" s="6382" t="s">
        <v>859</v>
      </c>
    </row>
    <row customHeight="1" ht="11.25">
      <c r="A165" s="6382" t="s">
        <v>2249</v>
      </c>
      <c r="B165" s="6382" t="s">
        <v>16</v>
      </c>
      <c r="C165" s="6382" t="s">
        <v>2275</v>
      </c>
      <c r="D165" s="6382" t="s">
        <v>2276</v>
      </c>
      <c r="E165" s="6382" t="s">
        <v>2267</v>
      </c>
      <c r="F165" s="6382" t="s">
        <v>2277</v>
      </c>
      <c r="G165" s="6382" t="s">
        <v>28</v>
      </c>
      <c r="H165" s="6382" t="s">
        <v>28</v>
      </c>
      <c r="I165" s="6382" t="s">
        <v>859</v>
      </c>
    </row>
    <row customHeight="1" ht="11.25">
      <c r="A166" s="6382" t="s">
        <v>2249</v>
      </c>
      <c r="B166" s="6382" t="s">
        <v>16</v>
      </c>
      <c r="C166" s="6382" t="s">
        <v>2278</v>
      </c>
      <c r="D166" s="6382" t="s">
        <v>2279</v>
      </c>
      <c r="E166" s="6382" t="s">
        <v>2280</v>
      </c>
      <c r="F166" s="6382" t="s">
        <v>2281</v>
      </c>
      <c r="G166" s="6382" t="s">
        <v>28</v>
      </c>
      <c r="H166" s="6382" t="s">
        <v>28</v>
      </c>
      <c r="I166" s="6382" t="s">
        <v>859</v>
      </c>
    </row>
    <row customHeight="1" ht="11.25">
      <c r="A167" s="6382" t="s">
        <v>2249</v>
      </c>
      <c r="B167" s="6382" t="s">
        <v>16</v>
      </c>
      <c r="C167" s="6382" t="s">
        <v>2286</v>
      </c>
      <c r="D167" s="6382" t="s">
        <v>2287</v>
      </c>
      <c r="E167" s="6382" t="s">
        <v>2288</v>
      </c>
      <c r="F167" s="6382" t="s">
        <v>2289</v>
      </c>
      <c r="G167" s="6382" t="s">
        <v>28</v>
      </c>
      <c r="H167" s="6382" t="s">
        <v>28</v>
      </c>
      <c r="I167" s="6382" t="s">
        <v>859</v>
      </c>
    </row>
    <row customHeight="1" ht="11.25">
      <c r="A168" s="6382" t="s">
        <v>2249</v>
      </c>
      <c r="B168" s="6382" t="s">
        <v>16</v>
      </c>
      <c r="C168" s="6382" t="s">
        <v>2698</v>
      </c>
      <c r="D168" s="6382" t="s">
        <v>2699</v>
      </c>
      <c r="E168" s="6382" t="s">
        <v>2700</v>
      </c>
      <c r="F168" s="6382" t="s">
        <v>2498</v>
      </c>
      <c r="G168" s="6382" t="s">
        <v>2701</v>
      </c>
      <c r="H168" s="6382" t="s">
        <v>28</v>
      </c>
      <c r="I168" s="6382" t="s">
        <v>859</v>
      </c>
    </row>
    <row customHeight="1" ht="11.25">
      <c r="A169" s="6382" t="s">
        <v>2249</v>
      </c>
      <c r="B169" s="6382" t="s">
        <v>16</v>
      </c>
      <c r="C169" s="6382" t="s">
        <v>2295</v>
      </c>
      <c r="D169" s="6382" t="s">
        <v>2296</v>
      </c>
      <c r="E169" s="6382" t="s">
        <v>2297</v>
      </c>
      <c r="F169" s="6382" t="s">
        <v>2260</v>
      </c>
      <c r="G169" s="6382" t="s">
        <v>28</v>
      </c>
      <c r="H169" s="6382" t="s">
        <v>28</v>
      </c>
      <c r="I169" s="6382" t="s">
        <v>859</v>
      </c>
    </row>
    <row customHeight="1" ht="11.25">
      <c r="A170" s="6382" t="s">
        <v>2249</v>
      </c>
      <c r="B170" s="6382" t="s">
        <v>16</v>
      </c>
      <c r="C170" s="6382" t="s">
        <v>2702</v>
      </c>
      <c r="D170" s="6382" t="s">
        <v>2703</v>
      </c>
      <c r="E170" s="6382" t="s">
        <v>2704</v>
      </c>
      <c r="F170" s="6382" t="s">
        <v>2281</v>
      </c>
      <c r="G170" s="6382" t="s">
        <v>2705</v>
      </c>
      <c r="H170" s="6382" t="s">
        <v>28</v>
      </c>
      <c r="I170" s="6382" t="s">
        <v>859</v>
      </c>
    </row>
    <row customHeight="1" ht="11.25">
      <c r="A171" s="6382" t="s">
        <v>2249</v>
      </c>
      <c r="B171" s="6382" t="s">
        <v>16</v>
      </c>
      <c r="C171" s="6382" t="s">
        <v>2307</v>
      </c>
      <c r="D171" s="6382" t="s">
        <v>2308</v>
      </c>
      <c r="E171" s="6382" t="s">
        <v>2309</v>
      </c>
      <c r="F171" s="6382" t="s">
        <v>2310</v>
      </c>
      <c r="G171" s="6382" t="s">
        <v>2311</v>
      </c>
      <c r="H171" s="6382" t="s">
        <v>28</v>
      </c>
      <c r="I171" s="6382" t="s">
        <v>859</v>
      </c>
    </row>
    <row customHeight="1" ht="11.25">
      <c r="A172" s="6382" t="s">
        <v>2249</v>
      </c>
      <c r="B172" s="6382" t="s">
        <v>16</v>
      </c>
      <c r="C172" s="6382" t="s">
        <v>2706</v>
      </c>
      <c r="D172" s="6382" t="s">
        <v>2707</v>
      </c>
      <c r="E172" s="6382" t="s">
        <v>2708</v>
      </c>
      <c r="F172" s="6382" t="s">
        <v>2260</v>
      </c>
      <c r="G172" s="6382" t="s">
        <v>28</v>
      </c>
      <c r="H172" s="6382" t="s">
        <v>28</v>
      </c>
      <c r="I172" s="6382" t="s">
        <v>859</v>
      </c>
    </row>
    <row customHeight="1" ht="11.25">
      <c r="A173" s="6382" t="s">
        <v>2249</v>
      </c>
      <c r="B173" s="6382" t="s">
        <v>16</v>
      </c>
      <c r="C173" s="6382" t="s">
        <v>2315</v>
      </c>
      <c r="D173" s="6382" t="s">
        <v>2316</v>
      </c>
      <c r="E173" s="6382" t="s">
        <v>2317</v>
      </c>
      <c r="F173" s="6382" t="s">
        <v>2318</v>
      </c>
      <c r="G173" s="6382" t="s">
        <v>28</v>
      </c>
      <c r="H173" s="6382" t="s">
        <v>28</v>
      </c>
      <c r="I173" s="6382" t="s">
        <v>859</v>
      </c>
    </row>
    <row customHeight="1" ht="11.25">
      <c r="A174" s="6382" t="s">
        <v>2249</v>
      </c>
      <c r="B174" s="6382" t="s">
        <v>16</v>
      </c>
      <c r="C174" s="6382" t="s">
        <v>2709</v>
      </c>
      <c r="D174" s="6382" t="s">
        <v>2710</v>
      </c>
      <c r="E174" s="6382" t="s">
        <v>2711</v>
      </c>
      <c r="F174" s="6382" t="s">
        <v>2672</v>
      </c>
      <c r="G174" s="6382" t="s">
        <v>2712</v>
      </c>
      <c r="H174" s="6382" t="s">
        <v>28</v>
      </c>
      <c r="I174" s="6382" t="s">
        <v>859</v>
      </c>
    </row>
    <row customHeight="1" ht="11.25">
      <c r="A175" s="6382" t="s">
        <v>2249</v>
      </c>
      <c r="B175" s="6382" t="s">
        <v>16</v>
      </c>
      <c r="C175" s="6382" t="s">
        <v>2327</v>
      </c>
      <c r="D175" s="6382" t="s">
        <v>2328</v>
      </c>
      <c r="E175" s="6382" t="s">
        <v>2329</v>
      </c>
      <c r="F175" s="6382" t="s">
        <v>2252</v>
      </c>
      <c r="G175" s="6382" t="s">
        <v>2330</v>
      </c>
      <c r="H175" s="6382" t="s">
        <v>28</v>
      </c>
      <c r="I175" s="6382" t="s">
        <v>859</v>
      </c>
    </row>
    <row customHeight="1" ht="11.25">
      <c r="A176" s="6382" t="s">
        <v>2249</v>
      </c>
      <c r="B176" s="6382" t="s">
        <v>16</v>
      </c>
      <c r="C176" s="6382" t="s">
        <v>2713</v>
      </c>
      <c r="D176" s="6382" t="s">
        <v>2714</v>
      </c>
      <c r="E176" s="6382" t="s">
        <v>2715</v>
      </c>
      <c r="F176" s="6382" t="s">
        <v>2716</v>
      </c>
      <c r="G176" s="6382" t="s">
        <v>28</v>
      </c>
      <c r="H176" s="6382" t="s">
        <v>28</v>
      </c>
      <c r="I176" s="6382" t="s">
        <v>859</v>
      </c>
    </row>
    <row customHeight="1" ht="11.25">
      <c r="A177" s="6382" t="s">
        <v>2249</v>
      </c>
      <c r="B177" s="6382" t="s">
        <v>16</v>
      </c>
      <c r="C177" s="6382" t="s">
        <v>2349</v>
      </c>
      <c r="D177" s="6382" t="s">
        <v>2350</v>
      </c>
      <c r="E177" s="6382" t="s">
        <v>2347</v>
      </c>
      <c r="F177" s="6382" t="s">
        <v>2351</v>
      </c>
      <c r="G177" s="6382" t="s">
        <v>28</v>
      </c>
      <c r="H177" s="6382" t="s">
        <v>28</v>
      </c>
      <c r="I177" s="6382" t="s">
        <v>859</v>
      </c>
    </row>
    <row customHeight="1" ht="11.25">
      <c r="A178" s="6382" t="s">
        <v>2249</v>
      </c>
      <c r="B178" s="6382" t="s">
        <v>16</v>
      </c>
      <c r="C178" s="6382" t="s">
        <v>2717</v>
      </c>
      <c r="D178" s="6382" t="s">
        <v>2718</v>
      </c>
      <c r="E178" s="6382" t="s">
        <v>2719</v>
      </c>
      <c r="F178" s="6382" t="s">
        <v>2384</v>
      </c>
      <c r="G178" s="6382" t="s">
        <v>28</v>
      </c>
      <c r="H178" s="6382" t="s">
        <v>28</v>
      </c>
      <c r="I178" s="6382" t="s">
        <v>859</v>
      </c>
    </row>
    <row customHeight="1" ht="11.25">
      <c r="A179" s="6382" t="s">
        <v>2249</v>
      </c>
      <c r="B179" s="6382" t="s">
        <v>16</v>
      </c>
      <c r="C179" s="6382" t="s">
        <v>2360</v>
      </c>
      <c r="D179" s="6382" t="s">
        <v>2361</v>
      </c>
      <c r="E179" s="6382" t="s">
        <v>2362</v>
      </c>
      <c r="F179" s="6382" t="s">
        <v>2301</v>
      </c>
      <c r="G179" s="6382" t="s">
        <v>28</v>
      </c>
      <c r="H179" s="6382" t="s">
        <v>28</v>
      </c>
      <c r="I179" s="6382" t="s">
        <v>859</v>
      </c>
    </row>
    <row customHeight="1" ht="11.25">
      <c r="A180" s="6382" t="s">
        <v>2249</v>
      </c>
      <c r="B180" s="6382" t="s">
        <v>16</v>
      </c>
      <c r="C180" s="6382" t="s">
        <v>2720</v>
      </c>
      <c r="D180" s="6382" t="s">
        <v>2721</v>
      </c>
      <c r="E180" s="6382" t="s">
        <v>2722</v>
      </c>
      <c r="F180" s="6382" t="s">
        <v>581</v>
      </c>
      <c r="G180" s="6382" t="s">
        <v>28</v>
      </c>
      <c r="H180" s="6382" t="s">
        <v>28</v>
      </c>
      <c r="I180" s="6382" t="s">
        <v>859</v>
      </c>
    </row>
    <row customHeight="1" ht="11.25">
      <c r="A181" s="6382" t="s">
        <v>2249</v>
      </c>
      <c r="B181" s="6382" t="s">
        <v>16</v>
      </c>
      <c r="C181" s="6382" t="s">
        <v>2723</v>
      </c>
      <c r="D181" s="6382" t="s">
        <v>2724</v>
      </c>
      <c r="E181" s="6382" t="s">
        <v>2725</v>
      </c>
      <c r="F181" s="6382" t="s">
        <v>581</v>
      </c>
      <c r="G181" s="6382" t="s">
        <v>28</v>
      </c>
      <c r="H181" s="6382" t="s">
        <v>28</v>
      </c>
      <c r="I181" s="6382" t="s">
        <v>859</v>
      </c>
    </row>
    <row customHeight="1" ht="11.25">
      <c r="A182" s="6382" t="s">
        <v>2249</v>
      </c>
      <c r="B182" s="6382" t="s">
        <v>16</v>
      </c>
      <c r="C182" s="6382" t="s">
        <v>2726</v>
      </c>
      <c r="D182" s="6382" t="s">
        <v>2727</v>
      </c>
      <c r="E182" s="6382" t="s">
        <v>2728</v>
      </c>
      <c r="F182" s="6382" t="s">
        <v>581</v>
      </c>
      <c r="G182" s="6382" t="s">
        <v>28</v>
      </c>
      <c r="H182" s="6382" t="s">
        <v>28</v>
      </c>
      <c r="I182" s="6382" t="s">
        <v>859</v>
      </c>
    </row>
    <row customHeight="1" ht="11.25">
      <c r="A183" s="6382" t="s">
        <v>2249</v>
      </c>
      <c r="B183" s="6382" t="s">
        <v>16</v>
      </c>
      <c r="C183" s="6382" t="s">
        <v>2385</v>
      </c>
      <c r="D183" s="6382" t="s">
        <v>2386</v>
      </c>
      <c r="E183" s="6382" t="s">
        <v>2387</v>
      </c>
      <c r="F183" s="6382" t="s">
        <v>2355</v>
      </c>
      <c r="G183" s="6382" t="s">
        <v>28</v>
      </c>
      <c r="H183" s="6382" t="s">
        <v>28</v>
      </c>
      <c r="I183" s="6382" t="s">
        <v>859</v>
      </c>
    </row>
    <row customHeight="1" ht="11.25">
      <c r="A184" s="6382" t="s">
        <v>2249</v>
      </c>
      <c r="B184" s="6382" t="s">
        <v>16</v>
      </c>
      <c r="C184" s="6382" t="s">
        <v>2729</v>
      </c>
      <c r="D184" s="6382" t="s">
        <v>2396</v>
      </c>
      <c r="E184" s="6382" t="s">
        <v>2397</v>
      </c>
      <c r="F184" s="6382" t="s">
        <v>2730</v>
      </c>
      <c r="G184" s="6382" t="s">
        <v>28</v>
      </c>
      <c r="H184" s="6382" t="s">
        <v>28</v>
      </c>
      <c r="I184" s="6382" t="s">
        <v>859</v>
      </c>
    </row>
    <row customHeight="1" ht="11.25">
      <c r="A185" s="6382" t="s">
        <v>2249</v>
      </c>
      <c r="B185" s="6382" t="s">
        <v>16</v>
      </c>
      <c r="C185" s="6382" t="s">
        <v>2679</v>
      </c>
      <c r="D185" s="6382" t="s">
        <v>2396</v>
      </c>
      <c r="E185" s="6382" t="s">
        <v>2397</v>
      </c>
      <c r="F185" s="6382" t="s">
        <v>2680</v>
      </c>
      <c r="G185" s="6382" t="s">
        <v>28</v>
      </c>
      <c r="H185" s="6382" t="s">
        <v>28</v>
      </c>
      <c r="I185" s="6382" t="s">
        <v>859</v>
      </c>
    </row>
    <row customHeight="1" ht="11.25">
      <c r="A186" s="6382" t="s">
        <v>2249</v>
      </c>
      <c r="B186" s="6382" t="s">
        <v>16</v>
      </c>
      <c r="C186" s="6382" t="s">
        <v>2681</v>
      </c>
      <c r="D186" s="6382" t="s">
        <v>2396</v>
      </c>
      <c r="E186" s="6382" t="s">
        <v>2397</v>
      </c>
      <c r="F186" s="6382" t="s">
        <v>2682</v>
      </c>
      <c r="G186" s="6382" t="s">
        <v>28</v>
      </c>
      <c r="H186" s="6382" t="s">
        <v>28</v>
      </c>
      <c r="I186" s="6382" t="s">
        <v>859</v>
      </c>
    </row>
    <row customHeight="1" ht="11.25">
      <c r="A187" s="6382" t="s">
        <v>2249</v>
      </c>
      <c r="B187" s="6382" t="s">
        <v>16</v>
      </c>
      <c r="C187" s="6382" t="s">
        <v>2683</v>
      </c>
      <c r="D187" s="6382" t="s">
        <v>2396</v>
      </c>
      <c r="E187" s="6382" t="s">
        <v>2397</v>
      </c>
      <c r="F187" s="6382" t="s">
        <v>2684</v>
      </c>
      <c r="G187" s="6382" t="s">
        <v>28</v>
      </c>
      <c r="H187" s="6382" t="s">
        <v>28</v>
      </c>
      <c r="I187" s="6382" t="s">
        <v>859</v>
      </c>
    </row>
    <row customHeight="1" ht="11.25">
      <c r="A188" s="6382" t="s">
        <v>2249</v>
      </c>
      <c r="B188" s="6382" t="s">
        <v>16</v>
      </c>
      <c r="C188" s="6382" t="s">
        <v>2731</v>
      </c>
      <c r="D188" s="6382" t="s">
        <v>2396</v>
      </c>
      <c r="E188" s="6382" t="s">
        <v>2397</v>
      </c>
      <c r="F188" s="6382" t="s">
        <v>2732</v>
      </c>
      <c r="G188" s="6382" t="s">
        <v>28</v>
      </c>
      <c r="H188" s="6382" t="s">
        <v>28</v>
      </c>
      <c r="I188" s="6382" t="s">
        <v>859</v>
      </c>
    </row>
    <row customHeight="1" ht="11.25">
      <c r="A189" s="6382" t="s">
        <v>2249</v>
      </c>
      <c r="B189" s="6382" t="s">
        <v>16</v>
      </c>
      <c r="C189" s="6382" t="s">
        <v>2685</v>
      </c>
      <c r="D189" s="6382" t="s">
        <v>2396</v>
      </c>
      <c r="E189" s="6382" t="s">
        <v>2397</v>
      </c>
      <c r="F189" s="6382" t="s">
        <v>2686</v>
      </c>
      <c r="G189" s="6382" t="s">
        <v>28</v>
      </c>
      <c r="H189" s="6382" t="s">
        <v>28</v>
      </c>
      <c r="I189" s="6382" t="s">
        <v>859</v>
      </c>
    </row>
    <row customHeight="1" ht="11.25">
      <c r="A190" s="6382" t="s">
        <v>2249</v>
      </c>
      <c r="B190" s="6382" t="s">
        <v>16</v>
      </c>
      <c r="C190" s="6382" t="s">
        <v>2687</v>
      </c>
      <c r="D190" s="6382" t="s">
        <v>2396</v>
      </c>
      <c r="E190" s="6382" t="s">
        <v>2397</v>
      </c>
      <c r="F190" s="6382" t="s">
        <v>2688</v>
      </c>
      <c r="G190" s="6382" t="s">
        <v>28</v>
      </c>
      <c r="H190" s="6382" t="s">
        <v>28</v>
      </c>
      <c r="I190" s="6382" t="s">
        <v>859</v>
      </c>
    </row>
    <row customHeight="1" ht="11.25">
      <c r="A191" s="6382" t="s">
        <v>2249</v>
      </c>
      <c r="B191" s="6382" t="s">
        <v>16</v>
      </c>
      <c r="C191" s="6382" t="s">
        <v>2689</v>
      </c>
      <c r="D191" s="6382" t="s">
        <v>2396</v>
      </c>
      <c r="E191" s="6382" t="s">
        <v>2397</v>
      </c>
      <c r="F191" s="6382" t="s">
        <v>2690</v>
      </c>
      <c r="G191" s="6382" t="s">
        <v>28</v>
      </c>
      <c r="H191" s="6382" t="s">
        <v>28</v>
      </c>
      <c r="I191" s="6382" t="s">
        <v>859</v>
      </c>
    </row>
    <row customHeight="1" ht="11.25">
      <c r="A192" s="6382" t="s">
        <v>2249</v>
      </c>
      <c r="B192" s="6382" t="s">
        <v>16</v>
      </c>
      <c r="C192" s="6382" t="s">
        <v>2691</v>
      </c>
      <c r="D192" s="6382" t="s">
        <v>2396</v>
      </c>
      <c r="E192" s="6382" t="s">
        <v>2397</v>
      </c>
      <c r="F192" s="6382" t="s">
        <v>2692</v>
      </c>
      <c r="G192" s="6382" t="s">
        <v>28</v>
      </c>
      <c r="H192" s="6382" t="s">
        <v>28</v>
      </c>
      <c r="I192" s="6382" t="s">
        <v>859</v>
      </c>
    </row>
    <row customHeight="1" ht="11.25">
      <c r="A193" s="6382" t="s">
        <v>2249</v>
      </c>
      <c r="B193" s="6382" t="s">
        <v>16</v>
      </c>
      <c r="C193" s="6382" t="s">
        <v>2693</v>
      </c>
      <c r="D193" s="6382" t="s">
        <v>2396</v>
      </c>
      <c r="E193" s="6382" t="s">
        <v>2397</v>
      </c>
      <c r="F193" s="6382" t="s">
        <v>2694</v>
      </c>
      <c r="G193" s="6382" t="s">
        <v>28</v>
      </c>
      <c r="H193" s="6382" t="s">
        <v>28</v>
      </c>
      <c r="I193" s="6382" t="s">
        <v>859</v>
      </c>
    </row>
    <row customHeight="1" ht="11.25">
      <c r="A194" s="6382" t="s">
        <v>2249</v>
      </c>
      <c r="B194" s="6382" t="s">
        <v>16</v>
      </c>
      <c r="C194" s="6382" t="s">
        <v>2395</v>
      </c>
      <c r="D194" s="6382" t="s">
        <v>2396</v>
      </c>
      <c r="E194" s="6382" t="s">
        <v>2397</v>
      </c>
      <c r="F194" s="6382" t="s">
        <v>2394</v>
      </c>
      <c r="G194" s="6382" t="s">
        <v>28</v>
      </c>
      <c r="H194" s="6382" t="s">
        <v>28</v>
      </c>
      <c r="I194" s="6382" t="s">
        <v>859</v>
      </c>
    </row>
    <row customHeight="1" ht="11.25">
      <c r="A195" s="6382" t="s">
        <v>2249</v>
      </c>
      <c r="B195" s="6382" t="s">
        <v>16</v>
      </c>
      <c r="C195" s="6382" t="s">
        <v>2733</v>
      </c>
      <c r="D195" s="6382" t="s">
        <v>2734</v>
      </c>
      <c r="E195" s="6382" t="s">
        <v>2735</v>
      </c>
      <c r="F195" s="6382" t="s">
        <v>2281</v>
      </c>
      <c r="G195" s="6382" t="s">
        <v>28</v>
      </c>
      <c r="H195" s="6382" t="s">
        <v>28</v>
      </c>
      <c r="I195" s="6382" t="s">
        <v>859</v>
      </c>
    </row>
    <row customHeight="1" ht="11.25">
      <c r="A196" s="6382" t="s">
        <v>2249</v>
      </c>
      <c r="B196" s="6382" t="s">
        <v>16</v>
      </c>
      <c r="C196" s="6382" t="s">
        <v>2736</v>
      </c>
      <c r="D196" s="6382" t="s">
        <v>2734</v>
      </c>
      <c r="E196" s="6382" t="s">
        <v>2735</v>
      </c>
      <c r="F196" s="6382" t="s">
        <v>2737</v>
      </c>
      <c r="G196" s="6382" t="s">
        <v>28</v>
      </c>
      <c r="H196" s="6382" t="s">
        <v>28</v>
      </c>
      <c r="I196" s="6382" t="s">
        <v>859</v>
      </c>
    </row>
    <row customHeight="1" ht="11.25">
      <c r="A197" s="6382" t="s">
        <v>2249</v>
      </c>
      <c r="B197" s="6382" t="s">
        <v>16</v>
      </c>
      <c r="C197" s="6382" t="s">
        <v>2738</v>
      </c>
      <c r="D197" s="6382" t="s">
        <v>2696</v>
      </c>
      <c r="E197" s="6382" t="s">
        <v>2397</v>
      </c>
      <c r="F197" s="6382" t="s">
        <v>2739</v>
      </c>
      <c r="G197" s="6382" t="s">
        <v>28</v>
      </c>
      <c r="H197" s="6382" t="s">
        <v>28</v>
      </c>
      <c r="I197" s="6382" t="s">
        <v>859</v>
      </c>
    </row>
    <row customHeight="1" ht="11.25">
      <c r="A198" s="6382" t="s">
        <v>2249</v>
      </c>
      <c r="B198" s="6382" t="s">
        <v>16</v>
      </c>
      <c r="C198" s="6382" t="s">
        <v>2695</v>
      </c>
      <c r="D198" s="6382" t="s">
        <v>2696</v>
      </c>
      <c r="E198" s="6382" t="s">
        <v>2397</v>
      </c>
      <c r="F198" s="6382" t="s">
        <v>2697</v>
      </c>
      <c r="G198" s="6382" t="s">
        <v>28</v>
      </c>
      <c r="H198" s="6382" t="s">
        <v>28</v>
      </c>
      <c r="I198" s="6382" t="s">
        <v>859</v>
      </c>
    </row>
    <row customHeight="1" ht="11.25">
      <c r="A199" s="6382" t="s">
        <v>2249</v>
      </c>
      <c r="B199" s="6382" t="s">
        <v>16</v>
      </c>
      <c r="C199" s="6382" t="s">
        <v>2740</v>
      </c>
      <c r="D199" s="6382" t="s">
        <v>2741</v>
      </c>
      <c r="E199" s="6382" t="s">
        <v>2742</v>
      </c>
      <c r="F199" s="6382" t="s">
        <v>2289</v>
      </c>
      <c r="G199" s="6382" t="s">
        <v>28</v>
      </c>
      <c r="H199" s="6382" t="s">
        <v>28</v>
      </c>
      <c r="I199" s="6382" t="s">
        <v>859</v>
      </c>
    </row>
    <row customHeight="1" ht="11.25">
      <c r="A200" s="6382" t="s">
        <v>2249</v>
      </c>
      <c r="B200" s="6382" t="s">
        <v>16</v>
      </c>
      <c r="C200" s="6382" t="s">
        <v>2743</v>
      </c>
      <c r="D200" s="6382" t="s">
        <v>2744</v>
      </c>
      <c r="E200" s="6382" t="s">
        <v>2745</v>
      </c>
      <c r="F200" s="6382" t="s">
        <v>2485</v>
      </c>
      <c r="G200" s="6382" t="s">
        <v>28</v>
      </c>
      <c r="H200" s="6382" t="s">
        <v>28</v>
      </c>
      <c r="I200" s="6382" t="s">
        <v>859</v>
      </c>
    </row>
    <row customHeight="1" ht="11.25">
      <c r="A201" s="6382" t="s">
        <v>2249</v>
      </c>
      <c r="B201" s="6382" t="s">
        <v>16</v>
      </c>
      <c r="C201" s="6382" t="s">
        <v>2746</v>
      </c>
      <c r="D201" s="6382" t="s">
        <v>2747</v>
      </c>
      <c r="E201" s="6382" t="s">
        <v>2748</v>
      </c>
      <c r="F201" s="6382" t="s">
        <v>2590</v>
      </c>
      <c r="G201" s="6382" t="s">
        <v>28</v>
      </c>
      <c r="H201" s="6382" t="s">
        <v>28</v>
      </c>
      <c r="I201" s="6382" t="s">
        <v>859</v>
      </c>
    </row>
    <row customHeight="1" ht="11.25">
      <c r="A202" s="6382" t="s">
        <v>2249</v>
      </c>
      <c r="B202" s="6382" t="s">
        <v>16</v>
      </c>
      <c r="C202" s="6382" t="s">
        <v>2749</v>
      </c>
      <c r="D202" s="6382" t="s">
        <v>2750</v>
      </c>
      <c r="E202" s="6382" t="s">
        <v>2751</v>
      </c>
      <c r="F202" s="6382" t="s">
        <v>2310</v>
      </c>
      <c r="G202" s="6382" t="s">
        <v>28</v>
      </c>
      <c r="H202" s="6382" t="s">
        <v>28</v>
      </c>
      <c r="I202" s="6382" t="s">
        <v>859</v>
      </c>
    </row>
    <row customHeight="1" ht="11.25">
      <c r="A203" s="6382" t="s">
        <v>2249</v>
      </c>
      <c r="B203" s="6382" t="s">
        <v>16</v>
      </c>
      <c r="C203" s="6382" t="s">
        <v>2752</v>
      </c>
      <c r="D203" s="6382" t="s">
        <v>2753</v>
      </c>
      <c r="E203" s="6382" t="s">
        <v>2754</v>
      </c>
      <c r="F203" s="6382" t="s">
        <v>2405</v>
      </c>
      <c r="G203" s="6382" t="s">
        <v>28</v>
      </c>
      <c r="H203" s="6382" t="s">
        <v>28</v>
      </c>
      <c r="I203" s="6382" t="s">
        <v>859</v>
      </c>
    </row>
    <row customHeight="1" ht="11.25">
      <c r="A204" s="6382" t="s">
        <v>2249</v>
      </c>
      <c r="B204" s="6382" t="s">
        <v>16</v>
      </c>
      <c r="C204" s="6382" t="s">
        <v>2755</v>
      </c>
      <c r="D204" s="6382" t="s">
        <v>2756</v>
      </c>
      <c r="E204" s="6382" t="s">
        <v>2757</v>
      </c>
      <c r="F204" s="6382" t="s">
        <v>2758</v>
      </c>
      <c r="G204" s="6382" t="s">
        <v>28</v>
      </c>
      <c r="H204" s="6382" t="s">
        <v>28</v>
      </c>
      <c r="I204" s="6382" t="s">
        <v>859</v>
      </c>
    </row>
    <row customHeight="1" ht="11.25">
      <c r="A205" s="6382" t="s">
        <v>2249</v>
      </c>
      <c r="B205" s="6382" t="s">
        <v>16</v>
      </c>
      <c r="C205" s="6382" t="s">
        <v>2759</v>
      </c>
      <c r="D205" s="6382" t="s">
        <v>2760</v>
      </c>
      <c r="E205" s="6382" t="s">
        <v>2761</v>
      </c>
      <c r="F205" s="6382" t="s">
        <v>2310</v>
      </c>
      <c r="G205" s="6382" t="s">
        <v>28</v>
      </c>
      <c r="H205" s="6382" t="s">
        <v>28</v>
      </c>
      <c r="I205" s="6382" t="s">
        <v>859</v>
      </c>
    </row>
    <row customHeight="1" ht="11.25">
      <c r="A206" s="6382" t="s">
        <v>2249</v>
      </c>
      <c r="B206" s="6382" t="s">
        <v>16</v>
      </c>
      <c r="C206" s="6382" t="s">
        <v>2402</v>
      </c>
      <c r="D206" s="6382" t="s">
        <v>2403</v>
      </c>
      <c r="E206" s="6382" t="s">
        <v>2404</v>
      </c>
      <c r="F206" s="6382" t="s">
        <v>2405</v>
      </c>
      <c r="G206" s="6382" t="s">
        <v>28</v>
      </c>
      <c r="H206" s="6382" t="s">
        <v>28</v>
      </c>
      <c r="I206" s="6382" t="s">
        <v>859</v>
      </c>
    </row>
    <row customHeight="1" ht="11.25">
      <c r="A207" s="6382" t="s">
        <v>2249</v>
      </c>
      <c r="B207" s="6382" t="s">
        <v>16</v>
      </c>
      <c r="C207" s="6382" t="s">
        <v>2762</v>
      </c>
      <c r="D207" s="6382" t="s">
        <v>2763</v>
      </c>
      <c r="E207" s="6382" t="s">
        <v>2764</v>
      </c>
      <c r="F207" s="6382" t="s">
        <v>2423</v>
      </c>
      <c r="G207" s="6382" t="s">
        <v>2765</v>
      </c>
      <c r="H207" s="6382" t="s">
        <v>28</v>
      </c>
      <c r="I207" s="6382" t="s">
        <v>859</v>
      </c>
    </row>
    <row customHeight="1" ht="11.25">
      <c r="A208" s="6382" t="s">
        <v>2249</v>
      </c>
      <c r="B208" s="6382" t="s">
        <v>16</v>
      </c>
      <c r="C208" s="6382" t="s">
        <v>2766</v>
      </c>
      <c r="D208" s="6382" t="s">
        <v>2767</v>
      </c>
      <c r="E208" s="6382" t="s">
        <v>2768</v>
      </c>
      <c r="F208" s="6382" t="s">
        <v>2769</v>
      </c>
      <c r="G208" s="6382" t="s">
        <v>28</v>
      </c>
      <c r="H208" s="6382" t="s">
        <v>28</v>
      </c>
      <c r="I208" s="6382" t="s">
        <v>859</v>
      </c>
    </row>
    <row customHeight="1" ht="11.25">
      <c r="A209" s="6382" t="s">
        <v>2249</v>
      </c>
      <c r="B209" s="6382" t="s">
        <v>16</v>
      </c>
      <c r="C209" s="6382" t="s">
        <v>2770</v>
      </c>
      <c r="D209" s="6382" t="s">
        <v>2771</v>
      </c>
      <c r="E209" s="6382" t="s">
        <v>2772</v>
      </c>
      <c r="F209" s="6382" t="s">
        <v>2423</v>
      </c>
      <c r="G209" s="6382" t="s">
        <v>28</v>
      </c>
      <c r="H209" s="6382" t="s">
        <v>28</v>
      </c>
      <c r="I209" s="6382" t="s">
        <v>859</v>
      </c>
    </row>
    <row customHeight="1" ht="11.25">
      <c r="A210" s="6382" t="s">
        <v>2249</v>
      </c>
      <c r="B210" s="6382" t="s">
        <v>16</v>
      </c>
      <c r="C210" s="6382" t="s">
        <v>2773</v>
      </c>
      <c r="D210" s="6382" t="s">
        <v>2774</v>
      </c>
      <c r="E210" s="6382" t="s">
        <v>2775</v>
      </c>
      <c r="F210" s="6382" t="s">
        <v>2289</v>
      </c>
      <c r="G210" s="6382" t="s">
        <v>2776</v>
      </c>
      <c r="H210" s="6382" t="s">
        <v>28</v>
      </c>
      <c r="I210" s="6382" t="s">
        <v>859</v>
      </c>
    </row>
    <row customHeight="1" ht="11.25">
      <c r="A211" s="6382" t="s">
        <v>2249</v>
      </c>
      <c r="B211" s="6382" t="s">
        <v>16</v>
      </c>
      <c r="C211" s="6382" t="s">
        <v>2777</v>
      </c>
      <c r="D211" s="6382" t="s">
        <v>2778</v>
      </c>
      <c r="E211" s="6382" t="s">
        <v>2779</v>
      </c>
      <c r="F211" s="6382" t="s">
        <v>2289</v>
      </c>
      <c r="G211" s="6382" t="s">
        <v>2780</v>
      </c>
      <c r="H211" s="6382" t="s">
        <v>28</v>
      </c>
      <c r="I211" s="6382" t="s">
        <v>859</v>
      </c>
    </row>
    <row customHeight="1" ht="11.25">
      <c r="A212" s="6382" t="s">
        <v>2249</v>
      </c>
      <c r="B212" s="6382" t="s">
        <v>16</v>
      </c>
      <c r="C212" s="6382" t="s">
        <v>2409</v>
      </c>
      <c r="D212" s="6382" t="s">
        <v>2410</v>
      </c>
      <c r="E212" s="6382" t="s">
        <v>2411</v>
      </c>
      <c r="F212" s="6382" t="s">
        <v>2412</v>
      </c>
      <c r="G212" s="6382" t="s">
        <v>28</v>
      </c>
      <c r="H212" s="6382" t="s">
        <v>28</v>
      </c>
      <c r="I212" s="6382" t="s">
        <v>859</v>
      </c>
    </row>
    <row customHeight="1" ht="11.25">
      <c r="A213" s="6382" t="s">
        <v>2249</v>
      </c>
      <c r="B213" s="6382" t="s">
        <v>16</v>
      </c>
      <c r="C213" s="6382" t="s">
        <v>2413</v>
      </c>
      <c r="D213" s="6382" t="s">
        <v>2414</v>
      </c>
      <c r="E213" s="6382" t="s">
        <v>2415</v>
      </c>
      <c r="F213" s="6382" t="s">
        <v>2416</v>
      </c>
      <c r="G213" s="6382" t="s">
        <v>28</v>
      </c>
      <c r="H213" s="6382" t="s">
        <v>28</v>
      </c>
      <c r="I213" s="6382" t="s">
        <v>859</v>
      </c>
    </row>
    <row customHeight="1" ht="11.25">
      <c r="A214" s="6382" t="s">
        <v>2249</v>
      </c>
      <c r="B214" s="6382" t="s">
        <v>16</v>
      </c>
      <c r="C214" s="6382" t="s">
        <v>2417</v>
      </c>
      <c r="D214" s="6382" t="s">
        <v>2418</v>
      </c>
      <c r="E214" s="6382" t="s">
        <v>2419</v>
      </c>
      <c r="F214" s="6382" t="s">
        <v>2416</v>
      </c>
      <c r="G214" s="6382" t="s">
        <v>28</v>
      </c>
      <c r="H214" s="6382" t="s">
        <v>28</v>
      </c>
      <c r="I214" s="6382" t="s">
        <v>859</v>
      </c>
    </row>
    <row customHeight="1" ht="11.25">
      <c r="A215" s="6382" t="s">
        <v>2249</v>
      </c>
      <c r="B215" s="6382" t="s">
        <v>16</v>
      </c>
      <c r="C215" s="6382" t="s">
        <v>2420</v>
      </c>
      <c r="D215" s="6382" t="s">
        <v>2421</v>
      </c>
      <c r="E215" s="6382" t="s">
        <v>2422</v>
      </c>
      <c r="F215" s="6382" t="s">
        <v>2423</v>
      </c>
      <c r="G215" s="6382" t="s">
        <v>28</v>
      </c>
      <c r="H215" s="6382" t="s">
        <v>28</v>
      </c>
      <c r="I215" s="6382" t="s">
        <v>859</v>
      </c>
    </row>
    <row customHeight="1" ht="11.25">
      <c r="A216" s="6382" t="s">
        <v>2249</v>
      </c>
      <c r="B216" s="6382" t="s">
        <v>16</v>
      </c>
      <c r="C216" s="6382" t="s">
        <v>2781</v>
      </c>
      <c r="D216" s="6382" t="s">
        <v>2782</v>
      </c>
      <c r="E216" s="6382" t="s">
        <v>2783</v>
      </c>
      <c r="F216" s="6382" t="s">
        <v>2355</v>
      </c>
      <c r="G216" s="6382" t="s">
        <v>28</v>
      </c>
      <c r="H216" s="6382" t="s">
        <v>28</v>
      </c>
      <c r="I216" s="6382" t="s">
        <v>859</v>
      </c>
    </row>
    <row customHeight="1" ht="11.25">
      <c r="A217" s="6382" t="s">
        <v>2249</v>
      </c>
      <c r="B217" s="6382" t="s">
        <v>16</v>
      </c>
      <c r="C217" s="6382" t="s">
        <v>2784</v>
      </c>
      <c r="D217" s="6382" t="s">
        <v>2785</v>
      </c>
      <c r="E217" s="6382" t="s">
        <v>2786</v>
      </c>
      <c r="F217" s="6382" t="s">
        <v>2318</v>
      </c>
      <c r="G217" s="6382" t="s">
        <v>2787</v>
      </c>
      <c r="H217" s="6382" t="s">
        <v>28</v>
      </c>
      <c r="I217" s="6382" t="s">
        <v>859</v>
      </c>
    </row>
    <row customHeight="1" ht="11.25">
      <c r="A218" s="6382" t="s">
        <v>2249</v>
      </c>
      <c r="B218" s="6382" t="s">
        <v>16</v>
      </c>
      <c r="C218" s="6382" t="s">
        <v>2788</v>
      </c>
      <c r="D218" s="6382" t="s">
        <v>2789</v>
      </c>
      <c r="E218" s="6382" t="s">
        <v>2790</v>
      </c>
      <c r="F218" s="6382" t="s">
        <v>2376</v>
      </c>
      <c r="G218" s="6382" t="s">
        <v>2791</v>
      </c>
      <c r="H218" s="6382" t="s">
        <v>28</v>
      </c>
      <c r="I218" s="6382" t="s">
        <v>859</v>
      </c>
    </row>
    <row customHeight="1" ht="11.25">
      <c r="A219" s="6382" t="s">
        <v>2249</v>
      </c>
      <c r="B219" s="6382" t="s">
        <v>16</v>
      </c>
      <c r="C219" s="6382" t="s">
        <v>2424</v>
      </c>
      <c r="D219" s="6382" t="s">
        <v>2425</v>
      </c>
      <c r="E219" s="6382" t="s">
        <v>2426</v>
      </c>
      <c r="F219" s="6382" t="s">
        <v>2289</v>
      </c>
      <c r="G219" s="6382" t="s">
        <v>28</v>
      </c>
      <c r="H219" s="6382" t="s">
        <v>28</v>
      </c>
      <c r="I219" s="6382" t="s">
        <v>859</v>
      </c>
    </row>
    <row customHeight="1" ht="11.25">
      <c r="A220" s="6382" t="s">
        <v>2249</v>
      </c>
      <c r="B220" s="6382" t="s">
        <v>16</v>
      </c>
      <c r="C220" s="6382" t="s">
        <v>2792</v>
      </c>
      <c r="D220" s="6382" t="s">
        <v>2793</v>
      </c>
      <c r="E220" s="6382" t="s">
        <v>2794</v>
      </c>
      <c r="F220" s="6382" t="s">
        <v>2758</v>
      </c>
      <c r="G220" s="6382" t="s">
        <v>28</v>
      </c>
      <c r="H220" s="6382" t="s">
        <v>28</v>
      </c>
      <c r="I220" s="6382" t="s">
        <v>859</v>
      </c>
    </row>
    <row customHeight="1" ht="11.25">
      <c r="A221" s="6382" t="s">
        <v>2249</v>
      </c>
      <c r="B221" s="6382" t="s">
        <v>16</v>
      </c>
      <c r="C221" s="6382" t="s">
        <v>2427</v>
      </c>
      <c r="D221" s="6382" t="s">
        <v>2428</v>
      </c>
      <c r="E221" s="6382" t="s">
        <v>2429</v>
      </c>
      <c r="F221" s="6382" t="s">
        <v>2412</v>
      </c>
      <c r="G221" s="6382" t="s">
        <v>28</v>
      </c>
      <c r="H221" s="6382" t="s">
        <v>28</v>
      </c>
      <c r="I221" s="6382" t="s">
        <v>859</v>
      </c>
    </row>
    <row customHeight="1" ht="11.25">
      <c r="A222" s="6382" t="s">
        <v>2249</v>
      </c>
      <c r="B222" s="6382" t="s">
        <v>16</v>
      </c>
      <c r="C222" s="6382" t="s">
        <v>2795</v>
      </c>
      <c r="D222" s="6382" t="s">
        <v>2796</v>
      </c>
      <c r="E222" s="6382" t="s">
        <v>2797</v>
      </c>
      <c r="F222" s="6382" t="s">
        <v>2318</v>
      </c>
      <c r="G222" s="6382" t="s">
        <v>28</v>
      </c>
      <c r="H222" s="6382" t="s">
        <v>28</v>
      </c>
      <c r="I222" s="6382" t="s">
        <v>859</v>
      </c>
    </row>
    <row customHeight="1" ht="11.25">
      <c r="A223" s="6382" t="s">
        <v>2249</v>
      </c>
      <c r="B223" s="6382" t="s">
        <v>16</v>
      </c>
      <c r="C223" s="6382" t="s">
        <v>2798</v>
      </c>
      <c r="D223" s="6382" t="s">
        <v>2799</v>
      </c>
      <c r="E223" s="6382" t="s">
        <v>2800</v>
      </c>
      <c r="F223" s="6382" t="s">
        <v>2672</v>
      </c>
      <c r="G223" s="6382" t="s">
        <v>28</v>
      </c>
      <c r="H223" s="6382" t="s">
        <v>28</v>
      </c>
      <c r="I223" s="6382" t="s">
        <v>859</v>
      </c>
    </row>
    <row customHeight="1" ht="11.25">
      <c r="A224" s="6382" t="s">
        <v>2249</v>
      </c>
      <c r="B224" s="6382" t="s">
        <v>16</v>
      </c>
      <c r="C224" s="6382" t="s">
        <v>2801</v>
      </c>
      <c r="D224" s="6382" t="s">
        <v>2802</v>
      </c>
      <c r="E224" s="6382" t="s">
        <v>2803</v>
      </c>
      <c r="F224" s="6382" t="s">
        <v>2256</v>
      </c>
      <c r="G224" s="6382" t="s">
        <v>28</v>
      </c>
      <c r="H224" s="6382" t="s">
        <v>28</v>
      </c>
      <c r="I224" s="6382" t="s">
        <v>859</v>
      </c>
    </row>
    <row customHeight="1" ht="11.25">
      <c r="A225" s="6382" t="s">
        <v>2249</v>
      </c>
      <c r="B225" s="6382" t="s">
        <v>16</v>
      </c>
      <c r="C225" s="6382" t="s">
        <v>2430</v>
      </c>
      <c r="D225" s="6382" t="s">
        <v>2431</v>
      </c>
      <c r="E225" s="6382" t="s">
        <v>2432</v>
      </c>
      <c r="F225" s="6382" t="s">
        <v>2433</v>
      </c>
      <c r="G225" s="6382" t="s">
        <v>28</v>
      </c>
      <c r="H225" s="6382" t="s">
        <v>28</v>
      </c>
      <c r="I225" s="6382" t="s">
        <v>859</v>
      </c>
    </row>
    <row customHeight="1" ht="11.25">
      <c r="A226" s="6382" t="s">
        <v>2249</v>
      </c>
      <c r="B226" s="6382" t="s">
        <v>16</v>
      </c>
      <c r="C226" s="6382" t="s">
        <v>2804</v>
      </c>
      <c r="D226" s="6382" t="s">
        <v>2805</v>
      </c>
      <c r="E226" s="6382" t="s">
        <v>2806</v>
      </c>
      <c r="F226" s="6382" t="s">
        <v>2672</v>
      </c>
      <c r="G226" s="6382" t="s">
        <v>28</v>
      </c>
      <c r="H226" s="6382" t="s">
        <v>28</v>
      </c>
      <c r="I226" s="6382" t="s">
        <v>859</v>
      </c>
    </row>
    <row customHeight="1" ht="11.25">
      <c r="A227" s="6382" t="s">
        <v>2249</v>
      </c>
      <c r="B227" s="6382" t="s">
        <v>16</v>
      </c>
      <c r="C227" s="6382" t="s">
        <v>2434</v>
      </c>
      <c r="D227" s="6382" t="s">
        <v>2435</v>
      </c>
      <c r="E227" s="6382" t="s">
        <v>2436</v>
      </c>
      <c r="F227" s="6382" t="s">
        <v>2394</v>
      </c>
      <c r="G227" s="6382" t="s">
        <v>28</v>
      </c>
      <c r="H227" s="6382" t="s">
        <v>28</v>
      </c>
      <c r="I227" s="6382" t="s">
        <v>859</v>
      </c>
    </row>
    <row customHeight="1" ht="11.25">
      <c r="A228" s="6382" t="s">
        <v>2249</v>
      </c>
      <c r="B228" s="6382" t="s">
        <v>16</v>
      </c>
      <c r="C228" s="6382" t="s">
        <v>2444</v>
      </c>
      <c r="D228" s="6382" t="s">
        <v>2445</v>
      </c>
      <c r="E228" s="6382" t="s">
        <v>2446</v>
      </c>
      <c r="F228" s="6382" t="s">
        <v>2447</v>
      </c>
      <c r="G228" s="6382" t="s">
        <v>28</v>
      </c>
      <c r="H228" s="6382" t="s">
        <v>28</v>
      </c>
      <c r="I228" s="6382" t="s">
        <v>859</v>
      </c>
    </row>
    <row customHeight="1" ht="11.25">
      <c r="A229" s="6382" t="s">
        <v>2249</v>
      </c>
      <c r="B229" s="6382" t="s">
        <v>16</v>
      </c>
      <c r="C229" s="6382" t="s">
        <v>2807</v>
      </c>
      <c r="D229" s="6382" t="s">
        <v>2808</v>
      </c>
      <c r="E229" s="6382" t="s">
        <v>2267</v>
      </c>
      <c r="F229" s="6382" t="s">
        <v>2809</v>
      </c>
      <c r="G229" s="6382" t="s">
        <v>28</v>
      </c>
      <c r="H229" s="6382" t="s">
        <v>28</v>
      </c>
      <c r="I229" s="6382" t="s">
        <v>859</v>
      </c>
    </row>
    <row customHeight="1" ht="11.25">
      <c r="A230" s="6382" t="s">
        <v>2249</v>
      </c>
      <c r="B230" s="6382" t="s">
        <v>16</v>
      </c>
      <c r="C230" s="6382" t="s">
        <v>2810</v>
      </c>
      <c r="D230" s="6382" t="s">
        <v>2811</v>
      </c>
      <c r="E230" s="6382" t="s">
        <v>2812</v>
      </c>
      <c r="F230" s="6382" t="s">
        <v>2256</v>
      </c>
      <c r="G230" s="6382" t="s">
        <v>28</v>
      </c>
      <c r="H230" s="6382" t="s">
        <v>28</v>
      </c>
      <c r="I230" s="6382" t="s">
        <v>859</v>
      </c>
    </row>
    <row customHeight="1" ht="11.25">
      <c r="A231" s="6382" t="s">
        <v>2249</v>
      </c>
      <c r="B231" s="6382" t="s">
        <v>16</v>
      </c>
      <c r="C231" s="6382" t="s">
        <v>2467</v>
      </c>
      <c r="D231" s="6382" t="s">
        <v>2468</v>
      </c>
      <c r="E231" s="6382" t="s">
        <v>2469</v>
      </c>
      <c r="F231" s="6382" t="s">
        <v>2416</v>
      </c>
      <c r="G231" s="6382" t="s">
        <v>28</v>
      </c>
      <c r="H231" s="6382" t="s">
        <v>28</v>
      </c>
      <c r="I231" s="6382" t="s">
        <v>859</v>
      </c>
    </row>
    <row customHeight="1" ht="11.25">
      <c r="A232" s="6382" t="s">
        <v>2249</v>
      </c>
      <c r="B232" s="6382" t="s">
        <v>16</v>
      </c>
      <c r="C232" s="6382" t="s">
        <v>2813</v>
      </c>
      <c r="D232" s="6382" t="s">
        <v>2814</v>
      </c>
      <c r="E232" s="6382" t="s">
        <v>2815</v>
      </c>
      <c r="F232" s="6382" t="s">
        <v>2289</v>
      </c>
      <c r="G232" s="6382" t="s">
        <v>2816</v>
      </c>
      <c r="H232" s="6382" t="s">
        <v>28</v>
      </c>
      <c r="I232" s="6382" t="s">
        <v>859</v>
      </c>
    </row>
    <row customHeight="1" ht="11.25">
      <c r="A233" s="6382" t="s">
        <v>2249</v>
      </c>
      <c r="B233" s="6382" t="s">
        <v>16</v>
      </c>
      <c r="C233" s="6382" t="s">
        <v>2817</v>
      </c>
      <c r="D233" s="6382" t="s">
        <v>2818</v>
      </c>
      <c r="E233" s="6382" t="s">
        <v>2819</v>
      </c>
      <c r="F233" s="6382" t="s">
        <v>2301</v>
      </c>
      <c r="G233" s="6382" t="s">
        <v>2820</v>
      </c>
      <c r="H233" s="6382" t="s">
        <v>28</v>
      </c>
      <c r="I233" s="6382" t="s">
        <v>859</v>
      </c>
    </row>
    <row customHeight="1" ht="11.25">
      <c r="A234" s="6382" t="s">
        <v>2249</v>
      </c>
      <c r="B234" s="6382" t="s">
        <v>16</v>
      </c>
      <c r="C234" s="6382" t="s">
        <v>2821</v>
      </c>
      <c r="D234" s="6382" t="s">
        <v>2822</v>
      </c>
      <c r="E234" s="6382" t="s">
        <v>2823</v>
      </c>
      <c r="F234" s="6382" t="s">
        <v>2569</v>
      </c>
      <c r="G234" s="6382" t="s">
        <v>2824</v>
      </c>
      <c r="H234" s="6382" t="s">
        <v>28</v>
      </c>
      <c r="I234" s="6382" t="s">
        <v>859</v>
      </c>
    </row>
    <row customHeight="1" ht="11.25">
      <c r="A235" s="6382" t="s">
        <v>2249</v>
      </c>
      <c r="B235" s="6382" t="s">
        <v>16</v>
      </c>
      <c r="C235" s="6382" t="s">
        <v>2825</v>
      </c>
      <c r="D235" s="6382" t="s">
        <v>2826</v>
      </c>
      <c r="E235" s="6382" t="s">
        <v>2827</v>
      </c>
      <c r="F235" s="6382" t="s">
        <v>2828</v>
      </c>
      <c r="G235" s="6382" t="s">
        <v>28</v>
      </c>
      <c r="H235" s="6382" t="s">
        <v>28</v>
      </c>
      <c r="I235" s="6382" t="s">
        <v>859</v>
      </c>
    </row>
    <row customHeight="1" ht="11.25">
      <c r="A236" s="6382" t="s">
        <v>2249</v>
      </c>
      <c r="B236" s="6382" t="s">
        <v>16</v>
      </c>
      <c r="C236" s="6382" t="s">
        <v>2829</v>
      </c>
      <c r="D236" s="6382" t="s">
        <v>2830</v>
      </c>
      <c r="E236" s="6382" t="s">
        <v>2831</v>
      </c>
      <c r="F236" s="6382" t="s">
        <v>2260</v>
      </c>
      <c r="G236" s="6382" t="s">
        <v>2832</v>
      </c>
      <c r="H236" s="6382" t="s">
        <v>28</v>
      </c>
      <c r="I236" s="6382" t="s">
        <v>859</v>
      </c>
    </row>
    <row customHeight="1" ht="11.25">
      <c r="A237" s="6382" t="s">
        <v>2249</v>
      </c>
      <c r="B237" s="6382" t="s">
        <v>16</v>
      </c>
      <c r="C237" s="6382" t="s">
        <v>2833</v>
      </c>
      <c r="D237" s="6382" t="s">
        <v>2834</v>
      </c>
      <c r="E237" s="6382" t="s">
        <v>2835</v>
      </c>
      <c r="F237" s="6382" t="s">
        <v>2281</v>
      </c>
      <c r="G237" s="6382" t="s">
        <v>28</v>
      </c>
      <c r="H237" s="6382" t="s">
        <v>28</v>
      </c>
      <c r="I237" s="6382" t="s">
        <v>859</v>
      </c>
    </row>
    <row customHeight="1" ht="11.25">
      <c r="A238" s="6382" t="s">
        <v>2249</v>
      </c>
      <c r="B238" s="6382" t="s">
        <v>16</v>
      </c>
      <c r="C238" s="6382" t="s">
        <v>2836</v>
      </c>
      <c r="D238" s="6382" t="s">
        <v>2837</v>
      </c>
      <c r="E238" s="6382" t="s">
        <v>2838</v>
      </c>
      <c r="F238" s="6382" t="s">
        <v>2839</v>
      </c>
      <c r="G238" s="6382" t="s">
        <v>28</v>
      </c>
      <c r="H238" s="6382" t="s">
        <v>28</v>
      </c>
      <c r="I238" s="6382" t="s">
        <v>859</v>
      </c>
    </row>
    <row customHeight="1" ht="11.25">
      <c r="A239" s="6382" t="s">
        <v>2249</v>
      </c>
      <c r="B239" s="6382" t="s">
        <v>16</v>
      </c>
      <c r="C239" s="6382" t="s">
        <v>2840</v>
      </c>
      <c r="D239" s="6382" t="s">
        <v>2841</v>
      </c>
      <c r="E239" s="6382" t="s">
        <v>2842</v>
      </c>
      <c r="F239" s="6382" t="s">
        <v>2646</v>
      </c>
      <c r="G239" s="6382" t="s">
        <v>28</v>
      </c>
      <c r="H239" s="6382" t="s">
        <v>28</v>
      </c>
      <c r="I239" s="6382" t="s">
        <v>859</v>
      </c>
    </row>
    <row customHeight="1" ht="11.25">
      <c r="A240" s="6382" t="s">
        <v>2249</v>
      </c>
      <c r="B240" s="6382" t="s">
        <v>16</v>
      </c>
      <c r="C240" s="6382" t="s">
        <v>2843</v>
      </c>
      <c r="D240" s="6382" t="s">
        <v>2844</v>
      </c>
      <c r="E240" s="6382" t="s">
        <v>2845</v>
      </c>
      <c r="F240" s="6382" t="s">
        <v>2672</v>
      </c>
      <c r="G240" s="6382" t="s">
        <v>2846</v>
      </c>
      <c r="H240" s="6382" t="s">
        <v>28</v>
      </c>
      <c r="I240" s="6382" t="s">
        <v>859</v>
      </c>
    </row>
    <row customHeight="1" ht="11.25">
      <c r="A241" s="6382" t="s">
        <v>2249</v>
      </c>
      <c r="B241" s="6382" t="s">
        <v>16</v>
      </c>
      <c r="C241" s="6382" t="s">
        <v>2482</v>
      </c>
      <c r="D241" s="6382" t="s">
        <v>2483</v>
      </c>
      <c r="E241" s="6382" t="s">
        <v>2484</v>
      </c>
      <c r="F241" s="6382" t="s">
        <v>2485</v>
      </c>
      <c r="G241" s="6382" t="s">
        <v>2486</v>
      </c>
      <c r="H241" s="6382" t="s">
        <v>28</v>
      </c>
      <c r="I241" s="6382" t="s">
        <v>859</v>
      </c>
    </row>
    <row customHeight="1" ht="11.25">
      <c r="A242" s="6382" t="s">
        <v>2249</v>
      </c>
      <c r="B242" s="6382" t="s">
        <v>16</v>
      </c>
      <c r="C242" s="6382" t="s">
        <v>2847</v>
      </c>
      <c r="D242" s="6382" t="s">
        <v>2848</v>
      </c>
      <c r="E242" s="6382" t="s">
        <v>2849</v>
      </c>
      <c r="F242" s="6382" t="s">
        <v>2289</v>
      </c>
      <c r="G242" s="6382" t="s">
        <v>28</v>
      </c>
      <c r="H242" s="6382" t="s">
        <v>28</v>
      </c>
      <c r="I242" s="6382" t="s">
        <v>859</v>
      </c>
    </row>
    <row customHeight="1" ht="11.25">
      <c r="A243" s="6382" t="s">
        <v>2249</v>
      </c>
      <c r="B243" s="6382" t="s">
        <v>16</v>
      </c>
      <c r="C243" s="6382" t="s">
        <v>2850</v>
      </c>
      <c r="D243" s="6382" t="s">
        <v>2851</v>
      </c>
      <c r="E243" s="6382" t="s">
        <v>2852</v>
      </c>
      <c r="F243" s="6382" t="s">
        <v>2485</v>
      </c>
      <c r="G243" s="6382" t="s">
        <v>28</v>
      </c>
      <c r="H243" s="6382" t="s">
        <v>28</v>
      </c>
      <c r="I243" s="6382" t="s">
        <v>859</v>
      </c>
    </row>
    <row customHeight="1" ht="11.25">
      <c r="A244" s="6382" t="s">
        <v>2249</v>
      </c>
      <c r="B244" s="6382" t="s">
        <v>16</v>
      </c>
      <c r="C244" s="6382" t="s">
        <v>2853</v>
      </c>
      <c r="D244" s="6382" t="s">
        <v>2854</v>
      </c>
      <c r="E244" s="6382" t="s">
        <v>2855</v>
      </c>
      <c r="F244" s="6382" t="s">
        <v>2252</v>
      </c>
      <c r="G244" s="6382" t="s">
        <v>28</v>
      </c>
      <c r="H244" s="6382" t="s">
        <v>28</v>
      </c>
      <c r="I244" s="6382" t="s">
        <v>859</v>
      </c>
    </row>
    <row customHeight="1" ht="11.25">
      <c r="A245" s="6382" t="s">
        <v>2249</v>
      </c>
      <c r="B245" s="6382" t="s">
        <v>16</v>
      </c>
      <c r="C245" s="6382" t="s">
        <v>2495</v>
      </c>
      <c r="D245" s="6382" t="s">
        <v>2496</v>
      </c>
      <c r="E245" s="6382" t="s">
        <v>2497</v>
      </c>
      <c r="F245" s="6382" t="s">
        <v>2498</v>
      </c>
      <c r="G245" s="6382" t="s">
        <v>28</v>
      </c>
      <c r="H245" s="6382" t="s">
        <v>28</v>
      </c>
      <c r="I245" s="6382" t="s">
        <v>859</v>
      </c>
    </row>
    <row customHeight="1" ht="11.25">
      <c r="A246" s="6382" t="s">
        <v>2249</v>
      </c>
      <c r="B246" s="6382" t="s">
        <v>16</v>
      </c>
      <c r="C246" s="6382" t="s">
        <v>2856</v>
      </c>
      <c r="D246" s="6382" t="s">
        <v>2857</v>
      </c>
      <c r="E246" s="6382" t="s">
        <v>2858</v>
      </c>
      <c r="F246" s="6382" t="s">
        <v>2256</v>
      </c>
      <c r="G246" s="6382" t="s">
        <v>28</v>
      </c>
      <c r="H246" s="6382" t="s">
        <v>28</v>
      </c>
      <c r="I246" s="6382" t="s">
        <v>859</v>
      </c>
    </row>
    <row customHeight="1" ht="11.25">
      <c r="A247" s="6382" t="s">
        <v>2249</v>
      </c>
      <c r="B247" s="6382" t="s">
        <v>16</v>
      </c>
      <c r="C247" s="6382" t="s">
        <v>2499</v>
      </c>
      <c r="D247" s="6382" t="s">
        <v>2500</v>
      </c>
      <c r="E247" s="6382" t="s">
        <v>2501</v>
      </c>
      <c r="F247" s="6382" t="s">
        <v>2485</v>
      </c>
      <c r="G247" s="6382" t="s">
        <v>28</v>
      </c>
      <c r="H247" s="6382" t="s">
        <v>28</v>
      </c>
      <c r="I247" s="6382" t="s">
        <v>859</v>
      </c>
    </row>
    <row customHeight="1" ht="11.25">
      <c r="A248" s="6382" t="s">
        <v>2249</v>
      </c>
      <c r="B248" s="6382" t="s">
        <v>16</v>
      </c>
      <c r="C248" s="6382" t="s">
        <v>2505</v>
      </c>
      <c r="D248" s="6382" t="s">
        <v>2506</v>
      </c>
      <c r="E248" s="6382" t="s">
        <v>2507</v>
      </c>
      <c r="F248" s="6382" t="s">
        <v>2485</v>
      </c>
      <c r="G248" s="6382" t="s">
        <v>28</v>
      </c>
      <c r="H248" s="6382" t="s">
        <v>28</v>
      </c>
      <c r="I248" s="6382" t="s">
        <v>859</v>
      </c>
    </row>
    <row customHeight="1" ht="11.25">
      <c r="A249" s="6382" t="s">
        <v>2249</v>
      </c>
      <c r="B249" s="6382" t="s">
        <v>16</v>
      </c>
      <c r="C249" s="6382" t="s">
        <v>2859</v>
      </c>
      <c r="D249" s="6382" t="s">
        <v>2860</v>
      </c>
      <c r="E249" s="6382" t="s">
        <v>2861</v>
      </c>
      <c r="F249" s="6382" t="s">
        <v>2485</v>
      </c>
      <c r="G249" s="6382" t="s">
        <v>28</v>
      </c>
      <c r="H249" s="6382" t="s">
        <v>28</v>
      </c>
      <c r="I249" s="6382" t="s">
        <v>859</v>
      </c>
    </row>
    <row customHeight="1" ht="11.25">
      <c r="A250" s="6382" t="s">
        <v>2249</v>
      </c>
      <c r="B250" s="6382" t="s">
        <v>16</v>
      </c>
      <c r="C250" s="6382" t="s">
        <v>2862</v>
      </c>
      <c r="D250" s="6382" t="s">
        <v>2863</v>
      </c>
      <c r="E250" s="6382" t="s">
        <v>2864</v>
      </c>
      <c r="F250" s="6382" t="s">
        <v>2433</v>
      </c>
      <c r="G250" s="6382" t="s">
        <v>2865</v>
      </c>
      <c r="H250" s="6382" t="s">
        <v>28</v>
      </c>
      <c r="I250" s="6382" t="s">
        <v>859</v>
      </c>
    </row>
    <row customHeight="1" ht="11.25">
      <c r="A251" s="6382" t="s">
        <v>2249</v>
      </c>
      <c r="B251" s="6382" t="s">
        <v>16</v>
      </c>
      <c r="C251" s="6382" t="s">
        <v>2866</v>
      </c>
      <c r="D251" s="6382" t="s">
        <v>2867</v>
      </c>
      <c r="E251" s="6382" t="s">
        <v>2868</v>
      </c>
      <c r="F251" s="6382" t="s">
        <v>2256</v>
      </c>
      <c r="G251" s="6382" t="s">
        <v>2869</v>
      </c>
      <c r="H251" s="6382" t="s">
        <v>28</v>
      </c>
      <c r="I251" s="6382" t="s">
        <v>859</v>
      </c>
    </row>
    <row customHeight="1" ht="11.25">
      <c r="A252" s="6382" t="s">
        <v>2249</v>
      </c>
      <c r="B252" s="6382" t="s">
        <v>16</v>
      </c>
      <c r="C252" s="6382" t="s">
        <v>2870</v>
      </c>
      <c r="D252" s="6382" t="s">
        <v>2871</v>
      </c>
      <c r="E252" s="6382" t="s">
        <v>2872</v>
      </c>
      <c r="F252" s="6382" t="s">
        <v>2384</v>
      </c>
      <c r="G252" s="6382" t="s">
        <v>28</v>
      </c>
      <c r="H252" s="6382" t="s">
        <v>28</v>
      </c>
      <c r="I252" s="6382" t="s">
        <v>859</v>
      </c>
    </row>
    <row customHeight="1" ht="11.25">
      <c r="A253" s="6382" t="s">
        <v>2249</v>
      </c>
      <c r="B253" s="6382" t="s">
        <v>16</v>
      </c>
      <c r="C253" s="6382" t="s">
        <v>2873</v>
      </c>
      <c r="D253" s="6382" t="s">
        <v>2874</v>
      </c>
      <c r="E253" s="6382" t="s">
        <v>2875</v>
      </c>
      <c r="F253" s="6382" t="s">
        <v>2672</v>
      </c>
      <c r="G253" s="6382" t="s">
        <v>2876</v>
      </c>
      <c r="H253" s="6382" t="s">
        <v>28</v>
      </c>
      <c r="I253" s="6382" t="s">
        <v>859</v>
      </c>
    </row>
    <row customHeight="1" ht="11.25">
      <c r="A254" s="6382" t="s">
        <v>2249</v>
      </c>
      <c r="B254" s="6382" t="s">
        <v>16</v>
      </c>
      <c r="C254" s="6382" t="s">
        <v>2877</v>
      </c>
      <c r="D254" s="6382" t="s">
        <v>2878</v>
      </c>
      <c r="E254" s="6382" t="s">
        <v>2879</v>
      </c>
      <c r="F254" s="6382" t="s">
        <v>2310</v>
      </c>
      <c r="G254" s="6382" t="s">
        <v>2880</v>
      </c>
      <c r="H254" s="6382" t="s">
        <v>28</v>
      </c>
      <c r="I254" s="6382" t="s">
        <v>859</v>
      </c>
    </row>
    <row customHeight="1" ht="11.25">
      <c r="A255" s="6382" t="s">
        <v>2249</v>
      </c>
      <c r="B255" s="6382" t="s">
        <v>16</v>
      </c>
      <c r="C255" s="6382" t="s">
        <v>2881</v>
      </c>
      <c r="D255" s="6382" t="s">
        <v>2882</v>
      </c>
      <c r="E255" s="6382" t="s">
        <v>2883</v>
      </c>
      <c r="F255" s="6382" t="s">
        <v>2569</v>
      </c>
      <c r="G255" s="6382" t="s">
        <v>2884</v>
      </c>
      <c r="H255" s="6382" t="s">
        <v>28</v>
      </c>
      <c r="I255" s="6382" t="s">
        <v>859</v>
      </c>
    </row>
    <row customHeight="1" ht="11.25">
      <c r="A256" s="6382" t="s">
        <v>2249</v>
      </c>
      <c r="B256" s="6382" t="s">
        <v>16</v>
      </c>
      <c r="C256" s="6382" t="s">
        <v>2517</v>
      </c>
      <c r="D256" s="6382" t="s">
        <v>2518</v>
      </c>
      <c r="E256" s="6382" t="s">
        <v>2519</v>
      </c>
      <c r="F256" s="6382" t="s">
        <v>2485</v>
      </c>
      <c r="G256" s="6382" t="s">
        <v>28</v>
      </c>
      <c r="H256" s="6382" t="s">
        <v>28</v>
      </c>
      <c r="I256" s="6382" t="s">
        <v>859</v>
      </c>
    </row>
    <row customHeight="1" ht="11.25">
      <c r="A257" s="6382" t="s">
        <v>2249</v>
      </c>
      <c r="B257" s="6382" t="s">
        <v>16</v>
      </c>
      <c r="C257" s="6382" t="s">
        <v>2885</v>
      </c>
      <c r="D257" s="6382" t="s">
        <v>2886</v>
      </c>
      <c r="E257" s="6382" t="s">
        <v>2887</v>
      </c>
      <c r="F257" s="6382" t="s">
        <v>2433</v>
      </c>
      <c r="G257" s="6382" t="s">
        <v>28</v>
      </c>
      <c r="H257" s="6382" t="s">
        <v>28</v>
      </c>
      <c r="I257" s="6382" t="s">
        <v>859</v>
      </c>
    </row>
    <row customHeight="1" ht="11.25">
      <c r="A258" s="6382" t="s">
        <v>2249</v>
      </c>
      <c r="B258" s="6382" t="s">
        <v>16</v>
      </c>
      <c r="C258" s="6382" t="s">
        <v>2526</v>
      </c>
      <c r="D258" s="6382" t="s">
        <v>2527</v>
      </c>
      <c r="E258" s="6382" t="s">
        <v>2528</v>
      </c>
      <c r="F258" s="6382" t="s">
        <v>2289</v>
      </c>
      <c r="G258" s="6382" t="s">
        <v>28</v>
      </c>
      <c r="H258" s="6382" t="s">
        <v>28</v>
      </c>
      <c r="I258" s="6382" t="s">
        <v>859</v>
      </c>
    </row>
    <row customHeight="1" ht="11.25">
      <c r="A259" s="6382" t="s">
        <v>2249</v>
      </c>
      <c r="B259" s="6382" t="s">
        <v>16</v>
      </c>
      <c r="C259" s="6382" t="s">
        <v>2529</v>
      </c>
      <c r="D259" s="6382" t="s">
        <v>2530</v>
      </c>
      <c r="E259" s="6382" t="s">
        <v>2531</v>
      </c>
      <c r="F259" s="6382" t="s">
        <v>2256</v>
      </c>
      <c r="G259" s="6382" t="s">
        <v>28</v>
      </c>
      <c r="H259" s="6382" t="s">
        <v>28</v>
      </c>
      <c r="I259" s="6382" t="s">
        <v>859</v>
      </c>
    </row>
    <row customHeight="1" ht="11.25">
      <c r="A260" s="6382" t="s">
        <v>2249</v>
      </c>
      <c r="B260" s="6382" t="s">
        <v>16</v>
      </c>
      <c r="C260" s="6382" t="s">
        <v>2544</v>
      </c>
      <c r="D260" s="6382" t="s">
        <v>2545</v>
      </c>
      <c r="E260" s="6382" t="s">
        <v>2546</v>
      </c>
      <c r="F260" s="6382" t="s">
        <v>2454</v>
      </c>
      <c r="G260" s="6382" t="s">
        <v>2547</v>
      </c>
      <c r="H260" s="6382" t="s">
        <v>28</v>
      </c>
      <c r="I260" s="6382" t="s">
        <v>859</v>
      </c>
    </row>
    <row customHeight="1" ht="11.25">
      <c r="A261" s="6382" t="s">
        <v>2249</v>
      </c>
      <c r="B261" s="6382" t="s">
        <v>16</v>
      </c>
      <c r="C261" s="6382" t="s">
        <v>2888</v>
      </c>
      <c r="D261" s="6382" t="s">
        <v>2889</v>
      </c>
      <c r="E261" s="6382" t="s">
        <v>2890</v>
      </c>
      <c r="F261" s="6382" t="s">
        <v>2440</v>
      </c>
      <c r="G261" s="6382" t="s">
        <v>28</v>
      </c>
      <c r="H261" s="6382" t="s">
        <v>28</v>
      </c>
      <c r="I261" s="6382" t="s">
        <v>859</v>
      </c>
    </row>
    <row customHeight="1" ht="11.25">
      <c r="A262" s="6382" t="s">
        <v>2249</v>
      </c>
      <c r="B262" s="6382" t="s">
        <v>16</v>
      </c>
      <c r="C262" s="6382" t="s">
        <v>2891</v>
      </c>
      <c r="D262" s="6382" t="s">
        <v>2892</v>
      </c>
      <c r="E262" s="6382" t="s">
        <v>2893</v>
      </c>
      <c r="F262" s="6382" t="s">
        <v>2384</v>
      </c>
      <c r="G262" s="6382" t="s">
        <v>28</v>
      </c>
      <c r="H262" s="6382" t="s">
        <v>28</v>
      </c>
      <c r="I262" s="6382" t="s">
        <v>859</v>
      </c>
    </row>
    <row customHeight="1" ht="11.25">
      <c r="A263" s="6382" t="s">
        <v>2249</v>
      </c>
      <c r="B263" s="6382" t="s">
        <v>16</v>
      </c>
      <c r="C263" s="6382" t="s">
        <v>2560</v>
      </c>
      <c r="D263" s="6382" t="s">
        <v>2561</v>
      </c>
      <c r="E263" s="6382" t="s">
        <v>2562</v>
      </c>
      <c r="F263" s="6382" t="s">
        <v>2256</v>
      </c>
      <c r="G263" s="6382" t="s">
        <v>28</v>
      </c>
      <c r="H263" s="6382" t="s">
        <v>28</v>
      </c>
      <c r="I263" s="6382" t="s">
        <v>859</v>
      </c>
    </row>
    <row customHeight="1" ht="11.25">
      <c r="A264" s="6382" t="s">
        <v>2249</v>
      </c>
      <c r="B264" s="6382" t="s">
        <v>16</v>
      </c>
      <c r="C264" s="6382" t="s">
        <v>2894</v>
      </c>
      <c r="D264" s="6382" t="s">
        <v>2895</v>
      </c>
      <c r="E264" s="6382" t="s">
        <v>2896</v>
      </c>
      <c r="F264" s="6382" t="s">
        <v>2897</v>
      </c>
      <c r="G264" s="6382" t="s">
        <v>28</v>
      </c>
      <c r="H264" s="6382" t="s">
        <v>28</v>
      </c>
      <c r="I264" s="6382" t="s">
        <v>859</v>
      </c>
    </row>
    <row customHeight="1" ht="11.25">
      <c r="A265" s="6382" t="s">
        <v>2249</v>
      </c>
      <c r="B265" s="6382" t="s">
        <v>16</v>
      </c>
      <c r="C265" s="6382" t="s">
        <v>2898</v>
      </c>
      <c r="D265" s="6382" t="s">
        <v>2899</v>
      </c>
      <c r="E265" s="6382" t="s">
        <v>2900</v>
      </c>
      <c r="F265" s="6382" t="s">
        <v>2454</v>
      </c>
      <c r="G265" s="6382" t="s">
        <v>28</v>
      </c>
      <c r="H265" s="6382" t="s">
        <v>28</v>
      </c>
      <c r="I265" s="6382" t="s">
        <v>859</v>
      </c>
    </row>
    <row customHeight="1" ht="11.25">
      <c r="A266" s="6382" t="s">
        <v>2249</v>
      </c>
      <c r="B266" s="6382" t="s">
        <v>16</v>
      </c>
      <c r="C266" s="6382" t="s">
        <v>2901</v>
      </c>
      <c r="D266" s="6382" t="s">
        <v>2902</v>
      </c>
      <c r="E266" s="6382" t="s">
        <v>2903</v>
      </c>
      <c r="F266" s="6382" t="s">
        <v>2281</v>
      </c>
      <c r="G266" s="6382" t="s">
        <v>28</v>
      </c>
      <c r="H266" s="6382" t="s">
        <v>28</v>
      </c>
      <c r="I266" s="6382" t="s">
        <v>859</v>
      </c>
    </row>
    <row customHeight="1" ht="11.25">
      <c r="A267" s="6382" t="s">
        <v>2249</v>
      </c>
      <c r="B267" s="6382" t="s">
        <v>16</v>
      </c>
      <c r="C267" s="6382" t="s">
        <v>2563</v>
      </c>
      <c r="D267" s="6382" t="s">
        <v>2564</v>
      </c>
      <c r="E267" s="6382" t="s">
        <v>2565</v>
      </c>
      <c r="F267" s="6382" t="s">
        <v>2433</v>
      </c>
      <c r="G267" s="6382" t="s">
        <v>2311</v>
      </c>
      <c r="H267" s="6382" t="s">
        <v>28</v>
      </c>
      <c r="I267" s="6382" t="s">
        <v>859</v>
      </c>
    </row>
    <row customHeight="1" ht="11.25">
      <c r="A268" s="6382" t="s">
        <v>2249</v>
      </c>
      <c r="B268" s="6382" t="s">
        <v>16</v>
      </c>
      <c r="C268" s="6382" t="s">
        <v>2904</v>
      </c>
      <c r="D268" s="6382" t="s">
        <v>2905</v>
      </c>
      <c r="E268" s="6382" t="s">
        <v>2906</v>
      </c>
      <c r="F268" s="6382" t="s">
        <v>2433</v>
      </c>
      <c r="G268" s="6382" t="s">
        <v>28</v>
      </c>
      <c r="H268" s="6382" t="s">
        <v>28</v>
      </c>
      <c r="I268" s="6382" t="s">
        <v>859</v>
      </c>
    </row>
    <row customHeight="1" ht="11.25">
      <c r="A269" s="6382" t="s">
        <v>2249</v>
      </c>
      <c r="B269" s="6382" t="s">
        <v>16</v>
      </c>
      <c r="C269" s="6382" t="s">
        <v>2573</v>
      </c>
      <c r="D269" s="6382" t="s">
        <v>2574</v>
      </c>
      <c r="E269" s="6382" t="s">
        <v>2575</v>
      </c>
      <c r="F269" s="6382" t="s">
        <v>2576</v>
      </c>
      <c r="G269" s="6382" t="s">
        <v>28</v>
      </c>
      <c r="H269" s="6382" t="s">
        <v>28</v>
      </c>
      <c r="I269" s="6382" t="s">
        <v>859</v>
      </c>
    </row>
    <row customHeight="1" ht="11.25">
      <c r="A270" s="6382" t="s">
        <v>2249</v>
      </c>
      <c r="B270" s="6382" t="s">
        <v>16</v>
      </c>
      <c r="C270" s="6382" t="s">
        <v>2907</v>
      </c>
      <c r="D270" s="6382" t="s">
        <v>2908</v>
      </c>
      <c r="E270" s="6382" t="s">
        <v>2909</v>
      </c>
      <c r="F270" s="6382" t="s">
        <v>2310</v>
      </c>
      <c r="G270" s="6382" t="s">
        <v>28</v>
      </c>
      <c r="H270" s="6382" t="s">
        <v>28</v>
      </c>
      <c r="I270" s="6382" t="s">
        <v>859</v>
      </c>
    </row>
    <row customHeight="1" ht="11.25">
      <c r="A271" s="6382" t="s">
        <v>2249</v>
      </c>
      <c r="B271" s="6382" t="s">
        <v>16</v>
      </c>
      <c r="C271" s="6382" t="s">
        <v>2587</v>
      </c>
      <c r="D271" s="6382" t="s">
        <v>2588</v>
      </c>
      <c r="E271" s="6382" t="s">
        <v>2589</v>
      </c>
      <c r="F271" s="6382" t="s">
        <v>2590</v>
      </c>
      <c r="G271" s="6382" t="s">
        <v>28</v>
      </c>
      <c r="H271" s="6382" t="s">
        <v>28</v>
      </c>
      <c r="I271" s="6382" t="s">
        <v>859</v>
      </c>
    </row>
    <row customHeight="1" ht="11.25">
      <c r="A272" s="6382" t="s">
        <v>2249</v>
      </c>
      <c r="B272" s="6382" t="s">
        <v>16</v>
      </c>
      <c r="C272" s="6382" t="s">
        <v>2910</v>
      </c>
      <c r="D272" s="6382" t="s">
        <v>2911</v>
      </c>
      <c r="E272" s="6382" t="s">
        <v>2912</v>
      </c>
      <c r="F272" s="6382" t="s">
        <v>2281</v>
      </c>
      <c r="G272" s="6382" t="s">
        <v>28</v>
      </c>
      <c r="H272" s="6382" t="s">
        <v>28</v>
      </c>
      <c r="I272" s="6382" t="s">
        <v>859</v>
      </c>
    </row>
    <row customHeight="1" ht="11.25">
      <c r="A273" s="6382" t="s">
        <v>2249</v>
      </c>
      <c r="B273" s="6382" t="s">
        <v>16</v>
      </c>
      <c r="C273" s="6382" t="s">
        <v>2913</v>
      </c>
      <c r="D273" s="6382" t="s">
        <v>2914</v>
      </c>
      <c r="E273" s="6382" t="s">
        <v>2915</v>
      </c>
      <c r="F273" s="6382" t="s">
        <v>2485</v>
      </c>
      <c r="G273" s="6382" t="s">
        <v>28</v>
      </c>
      <c r="H273" s="6382" t="s">
        <v>28</v>
      </c>
      <c r="I273" s="6382" t="s">
        <v>859</v>
      </c>
    </row>
    <row customHeight="1" ht="11.25">
      <c r="A274" s="6382" t="s">
        <v>2249</v>
      </c>
      <c r="B274" s="6382" t="s">
        <v>16</v>
      </c>
      <c r="C274" s="6382" t="s">
        <v>2916</v>
      </c>
      <c r="D274" s="6382" t="s">
        <v>2917</v>
      </c>
      <c r="E274" s="6382" t="s">
        <v>2918</v>
      </c>
      <c r="F274" s="6382" t="s">
        <v>2256</v>
      </c>
      <c r="G274" s="6382" t="s">
        <v>28</v>
      </c>
      <c r="H274" s="6382" t="s">
        <v>28</v>
      </c>
      <c r="I274" s="6382" t="s">
        <v>859</v>
      </c>
    </row>
    <row customHeight="1" ht="11.25">
      <c r="A275" s="6382" t="s">
        <v>2249</v>
      </c>
      <c r="B275" s="6382" t="s">
        <v>16</v>
      </c>
      <c r="C275" s="6382" t="s">
        <v>2919</v>
      </c>
      <c r="D275" s="6382" t="s">
        <v>2920</v>
      </c>
      <c r="E275" s="6382" t="s">
        <v>2921</v>
      </c>
      <c r="F275" s="6382" t="s">
        <v>2576</v>
      </c>
      <c r="G275" s="6382" t="s">
        <v>28</v>
      </c>
      <c r="H275" s="6382" t="s">
        <v>28</v>
      </c>
      <c r="I275" s="6382" t="s">
        <v>859</v>
      </c>
    </row>
    <row customHeight="1" ht="11.25">
      <c r="A276" s="6382" t="s">
        <v>2249</v>
      </c>
      <c r="B276" s="6382" t="s">
        <v>16</v>
      </c>
      <c r="C276" s="6382" t="s">
        <v>2922</v>
      </c>
      <c r="D276" s="6382" t="s">
        <v>2923</v>
      </c>
      <c r="E276" s="6382" t="s">
        <v>2924</v>
      </c>
      <c r="F276" s="6382" t="s">
        <v>2355</v>
      </c>
      <c r="G276" s="6382" t="s">
        <v>28</v>
      </c>
      <c r="H276" s="6382" t="s">
        <v>28</v>
      </c>
      <c r="I276" s="6382" t="s">
        <v>859</v>
      </c>
    </row>
    <row customHeight="1" ht="11.25">
      <c r="A277" s="6382" t="s">
        <v>2249</v>
      </c>
      <c r="B277" s="6382" t="s">
        <v>16</v>
      </c>
      <c r="C277" s="6382" t="s">
        <v>2925</v>
      </c>
      <c r="D277" s="6382" t="s">
        <v>2926</v>
      </c>
      <c r="E277" s="6382" t="s">
        <v>2927</v>
      </c>
      <c r="F277" s="6382" t="s">
        <v>2252</v>
      </c>
      <c r="G277" s="6382" t="s">
        <v>28</v>
      </c>
      <c r="H277" s="6382" t="s">
        <v>28</v>
      </c>
      <c r="I277" s="6382" t="s">
        <v>859</v>
      </c>
    </row>
    <row customHeight="1" ht="11.25">
      <c r="A278" s="6382" t="s">
        <v>2249</v>
      </c>
      <c r="B278" s="6382" t="s">
        <v>16</v>
      </c>
      <c r="C278" s="6382" t="s">
        <v>2928</v>
      </c>
      <c r="D278" s="6382" t="s">
        <v>2929</v>
      </c>
      <c r="E278" s="6382" t="s">
        <v>2930</v>
      </c>
      <c r="F278" s="6382" t="s">
        <v>2310</v>
      </c>
      <c r="G278" s="6382" t="s">
        <v>28</v>
      </c>
      <c r="H278" s="6382" t="s">
        <v>28</v>
      </c>
      <c r="I278" s="6382" t="s">
        <v>859</v>
      </c>
    </row>
    <row customHeight="1" ht="11.25">
      <c r="A279" s="6382" t="s">
        <v>2249</v>
      </c>
      <c r="B279" s="6382" t="s">
        <v>16</v>
      </c>
      <c r="C279" s="6382" t="s">
        <v>2931</v>
      </c>
      <c r="D279" s="6382" t="s">
        <v>2932</v>
      </c>
      <c r="E279" s="6382" t="s">
        <v>2933</v>
      </c>
      <c r="F279" s="6382" t="s">
        <v>2301</v>
      </c>
      <c r="G279" s="6382" t="s">
        <v>2934</v>
      </c>
      <c r="H279" s="6382" t="s">
        <v>28</v>
      </c>
      <c r="I279" s="6382" t="s">
        <v>859</v>
      </c>
    </row>
    <row customHeight="1" ht="11.25">
      <c r="A280" s="6382" t="s">
        <v>2249</v>
      </c>
      <c r="B280" s="6382" t="s">
        <v>16</v>
      </c>
      <c r="C280" s="6382" t="s">
        <v>2935</v>
      </c>
      <c r="D280" s="6382" t="s">
        <v>2936</v>
      </c>
      <c r="E280" s="6382" t="s">
        <v>2251</v>
      </c>
      <c r="F280" s="6382" t="s">
        <v>2252</v>
      </c>
      <c r="G280" s="6382" t="s">
        <v>28</v>
      </c>
      <c r="H280" s="6382" t="s">
        <v>28</v>
      </c>
      <c r="I280" s="6382" t="s">
        <v>859</v>
      </c>
    </row>
    <row customHeight="1" ht="11.25">
      <c r="A281" s="6382" t="s">
        <v>2249</v>
      </c>
      <c r="B281" s="6382" t="s">
        <v>16</v>
      </c>
      <c r="C281" s="6382" t="s">
        <v>2937</v>
      </c>
      <c r="D281" s="6382" t="s">
        <v>2938</v>
      </c>
      <c r="E281" s="6382" t="s">
        <v>2939</v>
      </c>
      <c r="F281" s="6382" t="s">
        <v>2256</v>
      </c>
      <c r="G281" s="6382" t="s">
        <v>28</v>
      </c>
      <c r="H281" s="6382" t="s">
        <v>28</v>
      </c>
      <c r="I281" s="6382" t="s">
        <v>859</v>
      </c>
    </row>
    <row customHeight="1" ht="11.25">
      <c r="A282" s="6382" t="s">
        <v>2249</v>
      </c>
      <c r="B282" s="6382" t="s">
        <v>16</v>
      </c>
      <c r="C282" s="6382" t="s">
        <v>2940</v>
      </c>
      <c r="D282" s="6382" t="s">
        <v>2941</v>
      </c>
      <c r="E282" s="6382" t="s">
        <v>2942</v>
      </c>
      <c r="F282" s="6382" t="s">
        <v>2256</v>
      </c>
      <c r="G282" s="6382" t="s">
        <v>28</v>
      </c>
      <c r="H282" s="6382" t="s">
        <v>28</v>
      </c>
      <c r="I282" s="6382" t="s">
        <v>859</v>
      </c>
    </row>
    <row customHeight="1" ht="11.25">
      <c r="A283" s="6382" t="s">
        <v>2249</v>
      </c>
      <c r="B283" s="6382" t="s">
        <v>16</v>
      </c>
      <c r="C283" s="6382" t="s">
        <v>2594</v>
      </c>
      <c r="D283" s="6382" t="s">
        <v>2595</v>
      </c>
      <c r="E283" s="6382" t="s">
        <v>2596</v>
      </c>
      <c r="F283" s="6382" t="s">
        <v>2264</v>
      </c>
      <c r="G283" s="6382" t="s">
        <v>28</v>
      </c>
      <c r="H283" s="6382" t="s">
        <v>28</v>
      </c>
      <c r="I283" s="6382" t="s">
        <v>859</v>
      </c>
    </row>
    <row customHeight="1" ht="11.25">
      <c r="A284" s="6382" t="s">
        <v>2249</v>
      </c>
      <c r="B284" s="6382" t="s">
        <v>16</v>
      </c>
      <c r="C284" s="6382" t="s">
        <v>2605</v>
      </c>
      <c r="D284" s="6382" t="s">
        <v>2606</v>
      </c>
      <c r="E284" s="6382" t="s">
        <v>2607</v>
      </c>
      <c r="F284" s="6382" t="s">
        <v>2576</v>
      </c>
      <c r="G284" s="6382" t="s">
        <v>2608</v>
      </c>
      <c r="H284" s="6382" t="s">
        <v>28</v>
      </c>
      <c r="I284" s="6382" t="s">
        <v>859</v>
      </c>
    </row>
    <row customHeight="1" ht="11.25">
      <c r="A285" s="6382" t="s">
        <v>2249</v>
      </c>
      <c r="B285" s="6382" t="s">
        <v>16</v>
      </c>
      <c r="C285" s="6382" t="s">
        <v>2609</v>
      </c>
      <c r="D285" s="6382" t="s">
        <v>2610</v>
      </c>
      <c r="E285" s="6382" t="s">
        <v>2611</v>
      </c>
      <c r="F285" s="6382" t="s">
        <v>2301</v>
      </c>
      <c r="G285" s="6382" t="s">
        <v>2612</v>
      </c>
      <c r="H285" s="6382" t="s">
        <v>28</v>
      </c>
      <c r="I285" s="6382" t="s">
        <v>859</v>
      </c>
    </row>
    <row customHeight="1" ht="11.25">
      <c r="A286" s="6382" t="s">
        <v>2249</v>
      </c>
      <c r="B286" s="6382" t="s">
        <v>16</v>
      </c>
      <c r="C286" s="6382" t="s">
        <v>2943</v>
      </c>
      <c r="D286" s="6382" t="s">
        <v>2944</v>
      </c>
      <c r="E286" s="6382" t="s">
        <v>2945</v>
      </c>
      <c r="F286" s="6382" t="s">
        <v>2355</v>
      </c>
      <c r="G286" s="6382" t="s">
        <v>28</v>
      </c>
      <c r="H286" s="6382" t="s">
        <v>28</v>
      </c>
      <c r="I286" s="6382" t="s">
        <v>859</v>
      </c>
    </row>
    <row customHeight="1" ht="11.25">
      <c r="A287" s="6382" t="s">
        <v>2249</v>
      </c>
      <c r="B287" s="6382" t="s">
        <v>16</v>
      </c>
      <c r="C287" s="6382" t="s">
        <v>2946</v>
      </c>
      <c r="D287" s="6382" t="s">
        <v>2947</v>
      </c>
      <c r="E287" s="6382" t="s">
        <v>2948</v>
      </c>
      <c r="F287" s="6382" t="s">
        <v>2485</v>
      </c>
      <c r="G287" s="6382" t="s">
        <v>28</v>
      </c>
      <c r="H287" s="6382" t="s">
        <v>28</v>
      </c>
      <c r="I287" s="6382" t="s">
        <v>859</v>
      </c>
    </row>
    <row customHeight="1" ht="11.25">
      <c r="A288" s="6382" t="s">
        <v>2249</v>
      </c>
      <c r="B288" s="6382" t="s">
        <v>16</v>
      </c>
      <c r="C288" s="6382" t="s">
        <v>2949</v>
      </c>
      <c r="D288" s="6382" t="s">
        <v>2950</v>
      </c>
      <c r="E288" s="6382" t="s">
        <v>2951</v>
      </c>
      <c r="F288" s="6382" t="s">
        <v>2952</v>
      </c>
      <c r="G288" s="6382" t="s">
        <v>28</v>
      </c>
      <c r="H288" s="6382" t="s">
        <v>28</v>
      </c>
      <c r="I288" s="6382" t="s">
        <v>859</v>
      </c>
    </row>
    <row customHeight="1" ht="11.25">
      <c r="A289" s="6382" t="s">
        <v>2249</v>
      </c>
      <c r="B289" s="6382" t="s">
        <v>16</v>
      </c>
      <c r="C289" s="6382" t="s">
        <v>2953</v>
      </c>
      <c r="D289" s="6382" t="s">
        <v>2954</v>
      </c>
      <c r="E289" s="6382" t="s">
        <v>2955</v>
      </c>
      <c r="F289" s="6382" t="s">
        <v>2384</v>
      </c>
      <c r="G289" s="6382" t="s">
        <v>28</v>
      </c>
      <c r="H289" s="6382" t="s">
        <v>28</v>
      </c>
      <c r="I289" s="6382" t="s">
        <v>859</v>
      </c>
    </row>
    <row customHeight="1" ht="11.25">
      <c r="A290" s="6382" t="s">
        <v>2249</v>
      </c>
      <c r="B290" s="6382" t="s">
        <v>16</v>
      </c>
      <c r="C290" s="6382" t="s">
        <v>2623</v>
      </c>
      <c r="D290" s="6382" t="s">
        <v>2624</v>
      </c>
      <c r="E290" s="6382" t="s">
        <v>2625</v>
      </c>
      <c r="F290" s="6382" t="s">
        <v>2454</v>
      </c>
      <c r="G290" s="6382" t="s">
        <v>28</v>
      </c>
      <c r="H290" s="6382" t="s">
        <v>28</v>
      </c>
      <c r="I290" s="6382" t="s">
        <v>859</v>
      </c>
    </row>
    <row customHeight="1" ht="11.25">
      <c r="A291" s="6382" t="s">
        <v>2249</v>
      </c>
      <c r="B291" s="6382" t="s">
        <v>16</v>
      </c>
      <c r="C291" s="6382" t="s">
        <v>2626</v>
      </c>
      <c r="D291" s="6382" t="s">
        <v>2627</v>
      </c>
      <c r="E291" s="6382" t="s">
        <v>2628</v>
      </c>
      <c r="F291" s="6382" t="s">
        <v>2629</v>
      </c>
      <c r="G291" s="6382" t="s">
        <v>2630</v>
      </c>
      <c r="H291" s="6382" t="s">
        <v>28</v>
      </c>
      <c r="I291" s="6382" t="s">
        <v>859</v>
      </c>
    </row>
    <row customHeight="1" ht="11.25">
      <c r="A292" s="6382" t="s">
        <v>2249</v>
      </c>
      <c r="B292" s="6382" t="s">
        <v>16</v>
      </c>
      <c r="C292" s="6382" t="s">
        <v>2631</v>
      </c>
      <c r="D292" s="6382" t="s">
        <v>2632</v>
      </c>
      <c r="E292" s="6382" t="s">
        <v>2633</v>
      </c>
      <c r="F292" s="6382" t="s">
        <v>2454</v>
      </c>
      <c r="G292" s="6382" t="s">
        <v>28</v>
      </c>
      <c r="H292" s="6382" t="s">
        <v>28</v>
      </c>
      <c r="I292" s="6382" t="s">
        <v>859</v>
      </c>
    </row>
    <row customHeight="1" ht="11.25">
      <c r="A293" s="6382" t="s">
        <v>2249</v>
      </c>
      <c r="B293" s="6382" t="s">
        <v>16</v>
      </c>
      <c r="C293" s="6382" t="s">
        <v>2637</v>
      </c>
      <c r="D293" s="6382" t="s">
        <v>2638</v>
      </c>
      <c r="E293" s="6382" t="s">
        <v>2639</v>
      </c>
      <c r="F293" s="6382" t="s">
        <v>2384</v>
      </c>
      <c r="G293" s="6382" t="s">
        <v>28</v>
      </c>
      <c r="H293" s="6382" t="s">
        <v>28</v>
      </c>
      <c r="I293" s="6382" t="s">
        <v>859</v>
      </c>
    </row>
    <row customHeight="1" ht="11.25">
      <c r="A294" s="6382" t="s">
        <v>2249</v>
      </c>
      <c r="B294" s="6382" t="s">
        <v>16</v>
      </c>
      <c r="C294" s="6382" t="s">
        <v>2956</v>
      </c>
      <c r="D294" s="6382" t="s">
        <v>2957</v>
      </c>
      <c r="E294" s="6382" t="s">
        <v>2958</v>
      </c>
      <c r="F294" s="6382" t="s">
        <v>2769</v>
      </c>
      <c r="G294" s="6382" t="s">
        <v>28</v>
      </c>
      <c r="H294" s="6382" t="s">
        <v>28</v>
      </c>
      <c r="I294" s="6382" t="s">
        <v>859</v>
      </c>
    </row>
    <row customHeight="1" ht="11.25">
      <c r="A295" s="6382" t="s">
        <v>2249</v>
      </c>
      <c r="B295" s="6382" t="s">
        <v>16</v>
      </c>
      <c r="C295" s="6382" t="s">
        <v>2959</v>
      </c>
      <c r="D295" s="6382" t="s">
        <v>2960</v>
      </c>
      <c r="E295" s="6382" t="s">
        <v>2961</v>
      </c>
      <c r="F295" s="6382" t="s">
        <v>2769</v>
      </c>
      <c r="G295" s="6382" t="s">
        <v>28</v>
      </c>
      <c r="H295" s="6382" t="s">
        <v>28</v>
      </c>
      <c r="I295" s="6382" t="s">
        <v>859</v>
      </c>
    </row>
    <row customHeight="1" ht="11.25">
      <c r="A296" s="6382" t="s">
        <v>2249</v>
      </c>
      <c r="B296" s="6382" t="s">
        <v>16</v>
      </c>
      <c r="C296" s="6382" t="s">
        <v>2962</v>
      </c>
      <c r="D296" s="6382" t="s">
        <v>2963</v>
      </c>
      <c r="E296" s="6382" t="s">
        <v>2964</v>
      </c>
      <c r="F296" s="6382" t="s">
        <v>2281</v>
      </c>
      <c r="G296" s="6382" t="s">
        <v>28</v>
      </c>
      <c r="H296" s="6382" t="s">
        <v>28</v>
      </c>
      <c r="I296" s="6382" t="s">
        <v>859</v>
      </c>
    </row>
    <row customHeight="1" ht="11.25">
      <c r="A297" s="6382" t="s">
        <v>2249</v>
      </c>
      <c r="B297" s="6382" t="s">
        <v>16</v>
      </c>
      <c r="C297" s="6382" t="s">
        <v>2965</v>
      </c>
      <c r="D297" s="6382" t="s">
        <v>2966</v>
      </c>
      <c r="E297" s="6382" t="s">
        <v>2967</v>
      </c>
      <c r="F297" s="6382" t="s">
        <v>2646</v>
      </c>
      <c r="G297" s="6382" t="s">
        <v>28</v>
      </c>
      <c r="H297" s="6382" t="s">
        <v>28</v>
      </c>
      <c r="I297" s="6382" t="s">
        <v>859</v>
      </c>
    </row>
    <row customHeight="1" ht="11.25">
      <c r="A298" s="6382" t="s">
        <v>2249</v>
      </c>
      <c r="B298" s="6382" t="s">
        <v>16</v>
      </c>
      <c r="C298" s="6382" t="s">
        <v>2968</v>
      </c>
      <c r="D298" s="6382" t="s">
        <v>2969</v>
      </c>
      <c r="E298" s="6382" t="s">
        <v>2970</v>
      </c>
      <c r="F298" s="6382" t="s">
        <v>2440</v>
      </c>
      <c r="G298" s="6382" t="s">
        <v>28</v>
      </c>
      <c r="H298" s="6382" t="s">
        <v>28</v>
      </c>
      <c r="I298" s="6382" t="s">
        <v>859</v>
      </c>
    </row>
    <row customHeight="1" ht="11.25">
      <c r="A299" s="6382" t="s">
        <v>2249</v>
      </c>
      <c r="B299" s="6382" t="s">
        <v>16</v>
      </c>
      <c r="C299" s="6382" t="s">
        <v>2643</v>
      </c>
      <c r="D299" s="6382" t="s">
        <v>2644</v>
      </c>
      <c r="E299" s="6382" t="s">
        <v>2645</v>
      </c>
      <c r="F299" s="6382" t="s">
        <v>2646</v>
      </c>
      <c r="G299" s="6382" t="s">
        <v>28</v>
      </c>
      <c r="H299" s="6382" t="s">
        <v>28</v>
      </c>
      <c r="I299" s="6382" t="s">
        <v>859</v>
      </c>
    </row>
    <row customHeight="1" ht="11.25">
      <c r="A300" s="6382" t="s">
        <v>2249</v>
      </c>
      <c r="B300" s="6382" t="s">
        <v>16</v>
      </c>
      <c r="C300" s="6382" t="s">
        <v>2971</v>
      </c>
      <c r="D300" s="6382" t="s">
        <v>2972</v>
      </c>
      <c r="E300" s="6382" t="s">
        <v>2973</v>
      </c>
      <c r="F300" s="6382" t="s">
        <v>2384</v>
      </c>
      <c r="G300" s="6382" t="s">
        <v>28</v>
      </c>
      <c r="H300" s="6382" t="s">
        <v>28</v>
      </c>
      <c r="I300" s="6382" t="s">
        <v>859</v>
      </c>
    </row>
    <row customHeight="1" ht="11.25">
      <c r="A301" s="6382" t="s">
        <v>2249</v>
      </c>
      <c r="B301" s="6382" t="s">
        <v>16</v>
      </c>
      <c r="C301" s="6382" t="s">
        <v>2974</v>
      </c>
      <c r="D301" s="6382" t="s">
        <v>2975</v>
      </c>
      <c r="E301" s="6382" t="s">
        <v>2976</v>
      </c>
      <c r="F301" s="6382" t="s">
        <v>2828</v>
      </c>
      <c r="G301" s="6382" t="s">
        <v>2977</v>
      </c>
      <c r="H301" s="6382" t="s">
        <v>28</v>
      </c>
      <c r="I301" s="6382" t="s">
        <v>859</v>
      </c>
    </row>
    <row customHeight="1" ht="11.25">
      <c r="A302" s="6382" t="s">
        <v>2249</v>
      </c>
      <c r="B302" s="6382" t="s">
        <v>16</v>
      </c>
      <c r="C302" s="6382" t="s">
        <v>2978</v>
      </c>
      <c r="D302" s="6382" t="s">
        <v>2979</v>
      </c>
      <c r="E302" s="6382" t="s">
        <v>2980</v>
      </c>
      <c r="F302" s="6382" t="s">
        <v>2355</v>
      </c>
      <c r="G302" s="6382" t="s">
        <v>28</v>
      </c>
      <c r="H302" s="6382" t="s">
        <v>28</v>
      </c>
      <c r="I302" s="6382" t="s">
        <v>859</v>
      </c>
    </row>
    <row customHeight="1" ht="11.25">
      <c r="A303" s="6382" t="s">
        <v>2249</v>
      </c>
      <c r="B303" s="6382" t="s">
        <v>16</v>
      </c>
      <c r="C303" s="6382" t="s">
        <v>2981</v>
      </c>
      <c r="D303" s="6382" t="s">
        <v>2982</v>
      </c>
      <c r="E303" s="6382" t="s">
        <v>2983</v>
      </c>
      <c r="F303" s="6382" t="s">
        <v>2376</v>
      </c>
      <c r="G303" s="6382" t="s">
        <v>28</v>
      </c>
      <c r="H303" s="6382" t="s">
        <v>28</v>
      </c>
      <c r="I303" s="6382" t="s">
        <v>859</v>
      </c>
    </row>
    <row customHeight="1" ht="11.25">
      <c r="A304" s="6382" t="s">
        <v>2249</v>
      </c>
      <c r="B304" s="6382" t="s">
        <v>16</v>
      </c>
      <c r="C304" s="6382" t="s">
        <v>2984</v>
      </c>
      <c r="D304" s="6382" t="s">
        <v>2985</v>
      </c>
      <c r="E304" s="6382" t="s">
        <v>2986</v>
      </c>
      <c r="F304" s="6382" t="s">
        <v>2256</v>
      </c>
      <c r="G304" s="6382" t="s">
        <v>28</v>
      </c>
      <c r="H304" s="6382" t="s">
        <v>28</v>
      </c>
      <c r="I304" s="6382" t="s">
        <v>859</v>
      </c>
    </row>
    <row customHeight="1" ht="11.25">
      <c r="A305" s="6382" t="s">
        <v>2249</v>
      </c>
      <c r="B305" s="6382" t="s">
        <v>16</v>
      </c>
      <c r="C305" s="6382" t="s">
        <v>2987</v>
      </c>
      <c r="D305" s="6382" t="s">
        <v>2988</v>
      </c>
      <c r="E305" s="6382" t="s">
        <v>2989</v>
      </c>
      <c r="F305" s="6382" t="s">
        <v>2412</v>
      </c>
      <c r="G305" s="6382" t="s">
        <v>28</v>
      </c>
      <c r="H305" s="6382" t="s">
        <v>28</v>
      </c>
      <c r="I305" s="6382" t="s">
        <v>859</v>
      </c>
    </row>
    <row customHeight="1" ht="11.25">
      <c r="A306" s="6382" t="s">
        <v>2249</v>
      </c>
      <c r="B306" s="6382" t="s">
        <v>16</v>
      </c>
      <c r="C306" s="6382" t="s">
        <v>2990</v>
      </c>
      <c r="D306" s="6382" t="s">
        <v>2991</v>
      </c>
      <c r="E306" s="6382" t="s">
        <v>2992</v>
      </c>
      <c r="F306" s="6382" t="s">
        <v>2769</v>
      </c>
      <c r="G306" s="6382" t="s">
        <v>2993</v>
      </c>
      <c r="H306" s="6382" t="s">
        <v>28</v>
      </c>
      <c r="I306" s="6382" t="s">
        <v>859</v>
      </c>
    </row>
    <row customHeight="1" ht="11.25">
      <c r="A307" s="6382" t="s">
        <v>2249</v>
      </c>
      <c r="B307" s="6382" t="s">
        <v>16</v>
      </c>
      <c r="C307" s="6382" t="s">
        <v>2994</v>
      </c>
      <c r="D307" s="6382" t="s">
        <v>2995</v>
      </c>
      <c r="E307" s="6382" t="s">
        <v>2996</v>
      </c>
      <c r="F307" s="6382" t="s">
        <v>2310</v>
      </c>
      <c r="G307" s="6382" t="s">
        <v>28</v>
      </c>
      <c r="H307" s="6382" t="s">
        <v>28</v>
      </c>
      <c r="I307" s="6382" t="s">
        <v>859</v>
      </c>
    </row>
    <row customHeight="1" ht="11.25">
      <c r="A308" s="6382" t="s">
        <v>2249</v>
      </c>
      <c r="B308" s="6382" t="s">
        <v>16</v>
      </c>
      <c r="C308" s="6382" t="s">
        <v>2673</v>
      </c>
      <c r="D308" s="6382" t="s">
        <v>2674</v>
      </c>
      <c r="E308" s="6382" t="s">
        <v>2675</v>
      </c>
      <c r="F308" s="6382" t="s">
        <v>2281</v>
      </c>
      <c r="G308" s="6382" t="s">
        <v>28</v>
      </c>
      <c r="H308" s="6382" t="s">
        <v>28</v>
      </c>
      <c r="I308" s="6382" t="s">
        <v>859</v>
      </c>
    </row>
    <row customHeight="1" ht="11.25">
      <c r="A309" s="6382" t="s">
        <v>2249</v>
      </c>
      <c r="B309" s="6382" t="s">
        <v>16</v>
      </c>
      <c r="C309" s="6382" t="s">
        <v>28</v>
      </c>
      <c r="D309" s="6382" t="s">
        <v>2250</v>
      </c>
      <c r="E309" s="6382" t="s">
        <v>2251</v>
      </c>
      <c r="F309" s="6382" t="s">
        <v>2252</v>
      </c>
      <c r="G309" s="6382" t="s">
        <v>28</v>
      </c>
      <c r="H309" s="6382" t="s">
        <v>28</v>
      </c>
      <c r="I309" s="6382" t="s">
        <v>912</v>
      </c>
    </row>
    <row customHeight="1" ht="11.25">
      <c r="A310" s="6382" t="s">
        <v>2249</v>
      </c>
      <c r="B310" s="6382" t="s">
        <v>16</v>
      </c>
      <c r="C310" s="6382" t="s">
        <v>2253</v>
      </c>
      <c r="D310" s="6382" t="s">
        <v>2254</v>
      </c>
      <c r="E310" s="6382" t="s">
        <v>2255</v>
      </c>
      <c r="F310" s="6382" t="s">
        <v>2256</v>
      </c>
      <c r="G310" s="6382" t="s">
        <v>28</v>
      </c>
      <c r="H310" s="6382" t="s">
        <v>28</v>
      </c>
      <c r="I310" s="6382" t="s">
        <v>912</v>
      </c>
    </row>
    <row customHeight="1" ht="11.25">
      <c r="A311" s="6382" t="s">
        <v>2249</v>
      </c>
      <c r="B311" s="6382" t="s">
        <v>16</v>
      </c>
      <c r="C311" s="6382" t="s">
        <v>2261</v>
      </c>
      <c r="D311" s="6382" t="s">
        <v>2262</v>
      </c>
      <c r="E311" s="6382" t="s">
        <v>2263</v>
      </c>
      <c r="F311" s="6382" t="s">
        <v>2264</v>
      </c>
      <c r="G311" s="6382" t="s">
        <v>28</v>
      </c>
      <c r="H311" s="6382" t="s">
        <v>28</v>
      </c>
      <c r="I311" s="6382" t="s">
        <v>912</v>
      </c>
    </row>
    <row customHeight="1" ht="11.25">
      <c r="A312" s="6382" t="s">
        <v>2249</v>
      </c>
      <c r="B312" s="6382" t="s">
        <v>16</v>
      </c>
      <c r="C312" s="6382" t="s">
        <v>2269</v>
      </c>
      <c r="D312" s="6382" t="s">
        <v>2266</v>
      </c>
      <c r="E312" s="6382" t="s">
        <v>2267</v>
      </c>
      <c r="F312" s="6382" t="s">
        <v>2270</v>
      </c>
      <c r="G312" s="6382" t="s">
        <v>2271</v>
      </c>
      <c r="H312" s="6382" t="s">
        <v>28</v>
      </c>
      <c r="I312" s="6382" t="s">
        <v>912</v>
      </c>
    </row>
    <row customHeight="1" ht="11.25">
      <c r="A313" s="6382" t="s">
        <v>2249</v>
      </c>
      <c r="B313" s="6382" t="s">
        <v>16</v>
      </c>
      <c r="C313" s="6382" t="s">
        <v>2278</v>
      </c>
      <c r="D313" s="6382" t="s">
        <v>2279</v>
      </c>
      <c r="E313" s="6382" t="s">
        <v>2280</v>
      </c>
      <c r="F313" s="6382" t="s">
        <v>2281</v>
      </c>
      <c r="G313" s="6382" t="s">
        <v>28</v>
      </c>
      <c r="H313" s="6382" t="s">
        <v>28</v>
      </c>
      <c r="I313" s="6382" t="s">
        <v>912</v>
      </c>
    </row>
    <row customHeight="1" ht="11.25">
      <c r="A314" s="6382" t="s">
        <v>2249</v>
      </c>
      <c r="B314" s="6382" t="s">
        <v>16</v>
      </c>
      <c r="C314" s="6382" t="s">
        <v>2286</v>
      </c>
      <c r="D314" s="6382" t="s">
        <v>2287</v>
      </c>
      <c r="E314" s="6382" t="s">
        <v>2288</v>
      </c>
      <c r="F314" s="6382" t="s">
        <v>2289</v>
      </c>
      <c r="G314" s="6382" t="s">
        <v>28</v>
      </c>
      <c r="H314" s="6382" t="s">
        <v>28</v>
      </c>
      <c r="I314" s="6382" t="s">
        <v>912</v>
      </c>
    </row>
    <row customHeight="1" ht="11.25">
      <c r="A315" s="6382" t="s">
        <v>2249</v>
      </c>
      <c r="B315" s="6382" t="s">
        <v>16</v>
      </c>
      <c r="C315" s="6382" t="s">
        <v>2698</v>
      </c>
      <c r="D315" s="6382" t="s">
        <v>2699</v>
      </c>
      <c r="E315" s="6382" t="s">
        <v>2700</v>
      </c>
      <c r="F315" s="6382" t="s">
        <v>2498</v>
      </c>
      <c r="G315" s="6382" t="s">
        <v>2701</v>
      </c>
      <c r="H315" s="6382" t="s">
        <v>28</v>
      </c>
      <c r="I315" s="6382" t="s">
        <v>912</v>
      </c>
    </row>
    <row customHeight="1" ht="11.25">
      <c r="A316" s="6382" t="s">
        <v>2249</v>
      </c>
      <c r="B316" s="6382" t="s">
        <v>16</v>
      </c>
      <c r="C316" s="6382" t="s">
        <v>2997</v>
      </c>
      <c r="D316" s="6382" t="s">
        <v>2998</v>
      </c>
      <c r="E316" s="6382" t="s">
        <v>2999</v>
      </c>
      <c r="F316" s="6382" t="s">
        <v>2252</v>
      </c>
      <c r="G316" s="6382" t="s">
        <v>28</v>
      </c>
      <c r="H316" s="6382" t="s">
        <v>28</v>
      </c>
      <c r="I316" s="6382" t="s">
        <v>912</v>
      </c>
    </row>
    <row customHeight="1" ht="11.25">
      <c r="A317" s="6382" t="s">
        <v>2249</v>
      </c>
      <c r="B317" s="6382" t="s">
        <v>16</v>
      </c>
      <c r="C317" s="6382" t="s">
        <v>2295</v>
      </c>
      <c r="D317" s="6382" t="s">
        <v>2296</v>
      </c>
      <c r="E317" s="6382" t="s">
        <v>2297</v>
      </c>
      <c r="F317" s="6382" t="s">
        <v>2260</v>
      </c>
      <c r="G317" s="6382" t="s">
        <v>28</v>
      </c>
      <c r="H317" s="6382" t="s">
        <v>28</v>
      </c>
      <c r="I317" s="6382" t="s">
        <v>912</v>
      </c>
    </row>
    <row customHeight="1" ht="11.25">
      <c r="A318" s="6382" t="s">
        <v>2249</v>
      </c>
      <c r="B318" s="6382" t="s">
        <v>16</v>
      </c>
      <c r="C318" s="6382" t="s">
        <v>2298</v>
      </c>
      <c r="D318" s="6382" t="s">
        <v>2299</v>
      </c>
      <c r="E318" s="6382" t="s">
        <v>2300</v>
      </c>
      <c r="F318" s="6382" t="s">
        <v>2301</v>
      </c>
      <c r="G318" s="6382" t="s">
        <v>28</v>
      </c>
      <c r="H318" s="6382" t="s">
        <v>28</v>
      </c>
      <c r="I318" s="6382" t="s">
        <v>912</v>
      </c>
    </row>
    <row customHeight="1" ht="11.25">
      <c r="A319" s="6382" t="s">
        <v>2249</v>
      </c>
      <c r="B319" s="6382" t="s">
        <v>16</v>
      </c>
      <c r="C319" s="6382" t="s">
        <v>2702</v>
      </c>
      <c r="D319" s="6382" t="s">
        <v>2703</v>
      </c>
      <c r="E319" s="6382" t="s">
        <v>2704</v>
      </c>
      <c r="F319" s="6382" t="s">
        <v>2281</v>
      </c>
      <c r="G319" s="6382" t="s">
        <v>2705</v>
      </c>
      <c r="H319" s="6382" t="s">
        <v>28</v>
      </c>
      <c r="I319" s="6382" t="s">
        <v>912</v>
      </c>
    </row>
    <row customHeight="1" ht="11.25">
      <c r="A320" s="6382" t="s">
        <v>2249</v>
      </c>
      <c r="B320" s="6382" t="s">
        <v>16</v>
      </c>
      <c r="C320" s="6382" t="s">
        <v>2706</v>
      </c>
      <c r="D320" s="6382" t="s">
        <v>2707</v>
      </c>
      <c r="E320" s="6382" t="s">
        <v>2708</v>
      </c>
      <c r="F320" s="6382" t="s">
        <v>2260</v>
      </c>
      <c r="G320" s="6382" t="s">
        <v>28</v>
      </c>
      <c r="H320" s="6382" t="s">
        <v>28</v>
      </c>
      <c r="I320" s="6382" t="s">
        <v>912</v>
      </c>
    </row>
    <row customHeight="1" ht="11.25">
      <c r="A321" s="6382" t="s">
        <v>2249</v>
      </c>
      <c r="B321" s="6382" t="s">
        <v>16</v>
      </c>
      <c r="C321" s="6382" t="s">
        <v>2315</v>
      </c>
      <c r="D321" s="6382" t="s">
        <v>2316</v>
      </c>
      <c r="E321" s="6382" t="s">
        <v>2317</v>
      </c>
      <c r="F321" s="6382" t="s">
        <v>2318</v>
      </c>
      <c r="G321" s="6382" t="s">
        <v>28</v>
      </c>
      <c r="H321" s="6382" t="s">
        <v>28</v>
      </c>
      <c r="I321" s="6382" t="s">
        <v>912</v>
      </c>
    </row>
    <row customHeight="1" ht="11.25">
      <c r="A322" s="6382" t="s">
        <v>2249</v>
      </c>
      <c r="B322" s="6382" t="s">
        <v>16</v>
      </c>
      <c r="C322" s="6382" t="s">
        <v>2709</v>
      </c>
      <c r="D322" s="6382" t="s">
        <v>2710</v>
      </c>
      <c r="E322" s="6382" t="s">
        <v>2711</v>
      </c>
      <c r="F322" s="6382" t="s">
        <v>2672</v>
      </c>
      <c r="G322" s="6382" t="s">
        <v>2712</v>
      </c>
      <c r="H322" s="6382" t="s">
        <v>28</v>
      </c>
      <c r="I322" s="6382" t="s">
        <v>912</v>
      </c>
    </row>
    <row customHeight="1" ht="11.25">
      <c r="A323" s="6382" t="s">
        <v>2249</v>
      </c>
      <c r="B323" s="6382" t="s">
        <v>16</v>
      </c>
      <c r="C323" s="6382" t="s">
        <v>2327</v>
      </c>
      <c r="D323" s="6382" t="s">
        <v>2328</v>
      </c>
      <c r="E323" s="6382" t="s">
        <v>2329</v>
      </c>
      <c r="F323" s="6382" t="s">
        <v>2252</v>
      </c>
      <c r="G323" s="6382" t="s">
        <v>2330</v>
      </c>
      <c r="H323" s="6382" t="s">
        <v>28</v>
      </c>
      <c r="I323" s="6382" t="s">
        <v>912</v>
      </c>
    </row>
    <row customHeight="1" ht="11.25">
      <c r="A324" s="6382" t="s">
        <v>2249</v>
      </c>
      <c r="B324" s="6382" t="s">
        <v>16</v>
      </c>
      <c r="C324" s="6382" t="s">
        <v>2713</v>
      </c>
      <c r="D324" s="6382" t="s">
        <v>2714</v>
      </c>
      <c r="E324" s="6382" t="s">
        <v>2715</v>
      </c>
      <c r="F324" s="6382" t="s">
        <v>2716</v>
      </c>
      <c r="G324" s="6382" t="s">
        <v>28</v>
      </c>
      <c r="H324" s="6382" t="s">
        <v>28</v>
      </c>
      <c r="I324" s="6382" t="s">
        <v>912</v>
      </c>
    </row>
    <row customHeight="1" ht="11.25">
      <c r="A325" s="6382" t="s">
        <v>2249</v>
      </c>
      <c r="B325" s="6382" t="s">
        <v>16</v>
      </c>
      <c r="C325" s="6382" t="s">
        <v>2349</v>
      </c>
      <c r="D325" s="6382" t="s">
        <v>2350</v>
      </c>
      <c r="E325" s="6382" t="s">
        <v>2347</v>
      </c>
      <c r="F325" s="6382" t="s">
        <v>2351</v>
      </c>
      <c r="G325" s="6382" t="s">
        <v>28</v>
      </c>
      <c r="H325" s="6382" t="s">
        <v>28</v>
      </c>
      <c r="I325" s="6382" t="s">
        <v>912</v>
      </c>
    </row>
    <row customHeight="1" ht="11.25">
      <c r="A326" s="6382" t="s">
        <v>2249</v>
      </c>
      <c r="B326" s="6382" t="s">
        <v>16</v>
      </c>
      <c r="C326" s="6382" t="s">
        <v>2717</v>
      </c>
      <c r="D326" s="6382" t="s">
        <v>2718</v>
      </c>
      <c r="E326" s="6382" t="s">
        <v>2719</v>
      </c>
      <c r="F326" s="6382" t="s">
        <v>2384</v>
      </c>
      <c r="G326" s="6382" t="s">
        <v>28</v>
      </c>
      <c r="H326" s="6382" t="s">
        <v>28</v>
      </c>
      <c r="I326" s="6382" t="s">
        <v>912</v>
      </c>
    </row>
    <row customHeight="1" ht="11.25">
      <c r="A327" s="6382" t="s">
        <v>2249</v>
      </c>
      <c r="B327" s="6382" t="s">
        <v>16</v>
      </c>
      <c r="C327" s="6382" t="s">
        <v>2723</v>
      </c>
      <c r="D327" s="6382" t="s">
        <v>2724</v>
      </c>
      <c r="E327" s="6382" t="s">
        <v>2725</v>
      </c>
      <c r="F327" s="6382" t="s">
        <v>581</v>
      </c>
      <c r="G327" s="6382" t="s">
        <v>28</v>
      </c>
      <c r="H327" s="6382" t="s">
        <v>28</v>
      </c>
      <c r="I327" s="6382" t="s">
        <v>912</v>
      </c>
    </row>
    <row customHeight="1" ht="11.25">
      <c r="A328" s="6382" t="s">
        <v>2249</v>
      </c>
      <c r="B328" s="6382" t="s">
        <v>16</v>
      </c>
      <c r="C328" s="6382" t="s">
        <v>2729</v>
      </c>
      <c r="D328" s="6382" t="s">
        <v>2396</v>
      </c>
      <c r="E328" s="6382" t="s">
        <v>2397</v>
      </c>
      <c r="F328" s="6382" t="s">
        <v>2730</v>
      </c>
      <c r="G328" s="6382" t="s">
        <v>28</v>
      </c>
      <c r="H328" s="6382" t="s">
        <v>28</v>
      </c>
      <c r="I328" s="6382" t="s">
        <v>912</v>
      </c>
    </row>
    <row customHeight="1" ht="11.25">
      <c r="A329" s="6382" t="s">
        <v>2249</v>
      </c>
      <c r="B329" s="6382" t="s">
        <v>16</v>
      </c>
      <c r="C329" s="6382" t="s">
        <v>2679</v>
      </c>
      <c r="D329" s="6382" t="s">
        <v>2396</v>
      </c>
      <c r="E329" s="6382" t="s">
        <v>2397</v>
      </c>
      <c r="F329" s="6382" t="s">
        <v>2680</v>
      </c>
      <c r="G329" s="6382" t="s">
        <v>28</v>
      </c>
      <c r="H329" s="6382" t="s">
        <v>28</v>
      </c>
      <c r="I329" s="6382" t="s">
        <v>912</v>
      </c>
    </row>
    <row customHeight="1" ht="11.25">
      <c r="A330" s="6382" t="s">
        <v>2249</v>
      </c>
      <c r="B330" s="6382" t="s">
        <v>16</v>
      </c>
      <c r="C330" s="6382" t="s">
        <v>2681</v>
      </c>
      <c r="D330" s="6382" t="s">
        <v>2396</v>
      </c>
      <c r="E330" s="6382" t="s">
        <v>2397</v>
      </c>
      <c r="F330" s="6382" t="s">
        <v>2682</v>
      </c>
      <c r="G330" s="6382" t="s">
        <v>28</v>
      </c>
      <c r="H330" s="6382" t="s">
        <v>28</v>
      </c>
      <c r="I330" s="6382" t="s">
        <v>912</v>
      </c>
    </row>
    <row customHeight="1" ht="11.25">
      <c r="A331" s="6382" t="s">
        <v>2249</v>
      </c>
      <c r="B331" s="6382" t="s">
        <v>16</v>
      </c>
      <c r="C331" s="6382" t="s">
        <v>2683</v>
      </c>
      <c r="D331" s="6382" t="s">
        <v>2396</v>
      </c>
      <c r="E331" s="6382" t="s">
        <v>2397</v>
      </c>
      <c r="F331" s="6382" t="s">
        <v>2684</v>
      </c>
      <c r="G331" s="6382" t="s">
        <v>28</v>
      </c>
      <c r="H331" s="6382" t="s">
        <v>28</v>
      </c>
      <c r="I331" s="6382" t="s">
        <v>912</v>
      </c>
    </row>
    <row customHeight="1" ht="11.25">
      <c r="A332" s="6382" t="s">
        <v>2249</v>
      </c>
      <c r="B332" s="6382" t="s">
        <v>16</v>
      </c>
      <c r="C332" s="6382" t="s">
        <v>2731</v>
      </c>
      <c r="D332" s="6382" t="s">
        <v>2396</v>
      </c>
      <c r="E332" s="6382" t="s">
        <v>2397</v>
      </c>
      <c r="F332" s="6382" t="s">
        <v>2732</v>
      </c>
      <c r="G332" s="6382" t="s">
        <v>28</v>
      </c>
      <c r="H332" s="6382" t="s">
        <v>28</v>
      </c>
      <c r="I332" s="6382" t="s">
        <v>912</v>
      </c>
    </row>
    <row customHeight="1" ht="11.25">
      <c r="A333" s="6382" t="s">
        <v>2249</v>
      </c>
      <c r="B333" s="6382" t="s">
        <v>16</v>
      </c>
      <c r="C333" s="6382" t="s">
        <v>2685</v>
      </c>
      <c r="D333" s="6382" t="s">
        <v>2396</v>
      </c>
      <c r="E333" s="6382" t="s">
        <v>2397</v>
      </c>
      <c r="F333" s="6382" t="s">
        <v>2686</v>
      </c>
      <c r="G333" s="6382" t="s">
        <v>28</v>
      </c>
      <c r="H333" s="6382" t="s">
        <v>28</v>
      </c>
      <c r="I333" s="6382" t="s">
        <v>912</v>
      </c>
    </row>
    <row customHeight="1" ht="11.25">
      <c r="A334" s="6382" t="s">
        <v>2249</v>
      </c>
      <c r="B334" s="6382" t="s">
        <v>16</v>
      </c>
      <c r="C334" s="6382" t="s">
        <v>2687</v>
      </c>
      <c r="D334" s="6382" t="s">
        <v>2396</v>
      </c>
      <c r="E334" s="6382" t="s">
        <v>2397</v>
      </c>
      <c r="F334" s="6382" t="s">
        <v>2688</v>
      </c>
      <c r="G334" s="6382" t="s">
        <v>28</v>
      </c>
      <c r="H334" s="6382" t="s">
        <v>28</v>
      </c>
      <c r="I334" s="6382" t="s">
        <v>912</v>
      </c>
    </row>
    <row customHeight="1" ht="11.25">
      <c r="A335" s="6382" t="s">
        <v>2249</v>
      </c>
      <c r="B335" s="6382" t="s">
        <v>16</v>
      </c>
      <c r="C335" s="6382" t="s">
        <v>2689</v>
      </c>
      <c r="D335" s="6382" t="s">
        <v>2396</v>
      </c>
      <c r="E335" s="6382" t="s">
        <v>2397</v>
      </c>
      <c r="F335" s="6382" t="s">
        <v>2690</v>
      </c>
      <c r="G335" s="6382" t="s">
        <v>28</v>
      </c>
      <c r="H335" s="6382" t="s">
        <v>28</v>
      </c>
      <c r="I335" s="6382" t="s">
        <v>912</v>
      </c>
    </row>
    <row customHeight="1" ht="11.25">
      <c r="A336" s="6382" t="s">
        <v>2249</v>
      </c>
      <c r="B336" s="6382" t="s">
        <v>16</v>
      </c>
      <c r="C336" s="6382" t="s">
        <v>2691</v>
      </c>
      <c r="D336" s="6382" t="s">
        <v>2396</v>
      </c>
      <c r="E336" s="6382" t="s">
        <v>2397</v>
      </c>
      <c r="F336" s="6382" t="s">
        <v>2692</v>
      </c>
      <c r="G336" s="6382" t="s">
        <v>28</v>
      </c>
      <c r="H336" s="6382" t="s">
        <v>28</v>
      </c>
      <c r="I336" s="6382" t="s">
        <v>912</v>
      </c>
    </row>
    <row customHeight="1" ht="11.25">
      <c r="A337" s="6382" t="s">
        <v>2249</v>
      </c>
      <c r="B337" s="6382" t="s">
        <v>16</v>
      </c>
      <c r="C337" s="6382" t="s">
        <v>2693</v>
      </c>
      <c r="D337" s="6382" t="s">
        <v>2396</v>
      </c>
      <c r="E337" s="6382" t="s">
        <v>2397</v>
      </c>
      <c r="F337" s="6382" t="s">
        <v>2694</v>
      </c>
      <c r="G337" s="6382" t="s">
        <v>28</v>
      </c>
      <c r="H337" s="6382" t="s">
        <v>28</v>
      </c>
      <c r="I337" s="6382" t="s">
        <v>912</v>
      </c>
    </row>
    <row customHeight="1" ht="11.25">
      <c r="A338" s="6382" t="s">
        <v>2249</v>
      </c>
      <c r="B338" s="6382" t="s">
        <v>16</v>
      </c>
      <c r="C338" s="6382" t="s">
        <v>2395</v>
      </c>
      <c r="D338" s="6382" t="s">
        <v>2396</v>
      </c>
      <c r="E338" s="6382" t="s">
        <v>2397</v>
      </c>
      <c r="F338" s="6382" t="s">
        <v>2394</v>
      </c>
      <c r="G338" s="6382" t="s">
        <v>28</v>
      </c>
      <c r="H338" s="6382" t="s">
        <v>28</v>
      </c>
      <c r="I338" s="6382" t="s">
        <v>912</v>
      </c>
    </row>
    <row customHeight="1" ht="11.25">
      <c r="A339" s="6382" t="s">
        <v>2249</v>
      </c>
      <c r="B339" s="6382" t="s">
        <v>16</v>
      </c>
      <c r="C339" s="6382" t="s">
        <v>2733</v>
      </c>
      <c r="D339" s="6382" t="s">
        <v>2734</v>
      </c>
      <c r="E339" s="6382" t="s">
        <v>2735</v>
      </c>
      <c r="F339" s="6382" t="s">
        <v>2281</v>
      </c>
      <c r="G339" s="6382" t="s">
        <v>28</v>
      </c>
      <c r="H339" s="6382" t="s">
        <v>28</v>
      </c>
      <c r="I339" s="6382" t="s">
        <v>912</v>
      </c>
    </row>
    <row customHeight="1" ht="11.25">
      <c r="A340" s="6382" t="s">
        <v>2249</v>
      </c>
      <c r="B340" s="6382" t="s">
        <v>16</v>
      </c>
      <c r="C340" s="6382" t="s">
        <v>2736</v>
      </c>
      <c r="D340" s="6382" t="s">
        <v>2734</v>
      </c>
      <c r="E340" s="6382" t="s">
        <v>2735</v>
      </c>
      <c r="F340" s="6382" t="s">
        <v>2737</v>
      </c>
      <c r="G340" s="6382" t="s">
        <v>28</v>
      </c>
      <c r="H340" s="6382" t="s">
        <v>28</v>
      </c>
      <c r="I340" s="6382" t="s">
        <v>912</v>
      </c>
    </row>
    <row customHeight="1" ht="11.25">
      <c r="A341" s="6382" t="s">
        <v>2249</v>
      </c>
      <c r="B341" s="6382" t="s">
        <v>16</v>
      </c>
      <c r="C341" s="6382" t="s">
        <v>2738</v>
      </c>
      <c r="D341" s="6382" t="s">
        <v>2696</v>
      </c>
      <c r="E341" s="6382" t="s">
        <v>2397</v>
      </c>
      <c r="F341" s="6382" t="s">
        <v>2739</v>
      </c>
      <c r="G341" s="6382" t="s">
        <v>28</v>
      </c>
      <c r="H341" s="6382" t="s">
        <v>28</v>
      </c>
      <c r="I341" s="6382" t="s">
        <v>912</v>
      </c>
    </row>
    <row customHeight="1" ht="11.25">
      <c r="A342" s="6382" t="s">
        <v>2249</v>
      </c>
      <c r="B342" s="6382" t="s">
        <v>16</v>
      </c>
      <c r="C342" s="6382" t="s">
        <v>2695</v>
      </c>
      <c r="D342" s="6382" t="s">
        <v>2696</v>
      </c>
      <c r="E342" s="6382" t="s">
        <v>2397</v>
      </c>
      <c r="F342" s="6382" t="s">
        <v>2697</v>
      </c>
      <c r="G342" s="6382" t="s">
        <v>28</v>
      </c>
      <c r="H342" s="6382" t="s">
        <v>28</v>
      </c>
      <c r="I342" s="6382" t="s">
        <v>912</v>
      </c>
    </row>
    <row customHeight="1" ht="11.25">
      <c r="A343" s="6382" t="s">
        <v>2249</v>
      </c>
      <c r="B343" s="6382" t="s">
        <v>16</v>
      </c>
      <c r="C343" s="6382" t="s">
        <v>3000</v>
      </c>
      <c r="D343" s="6382" t="s">
        <v>3001</v>
      </c>
      <c r="E343" s="6382" t="s">
        <v>3002</v>
      </c>
      <c r="F343" s="6382" t="s">
        <v>2515</v>
      </c>
      <c r="G343" s="6382" t="s">
        <v>3003</v>
      </c>
      <c r="H343" s="6382" t="s">
        <v>28</v>
      </c>
      <c r="I343" s="6382" t="s">
        <v>912</v>
      </c>
    </row>
    <row customHeight="1" ht="11.25">
      <c r="A344" s="6382" t="s">
        <v>2249</v>
      </c>
      <c r="B344" s="6382" t="s">
        <v>16</v>
      </c>
      <c r="C344" s="6382" t="s">
        <v>2743</v>
      </c>
      <c r="D344" s="6382" t="s">
        <v>2744</v>
      </c>
      <c r="E344" s="6382" t="s">
        <v>2745</v>
      </c>
      <c r="F344" s="6382" t="s">
        <v>2485</v>
      </c>
      <c r="G344" s="6382" t="s">
        <v>28</v>
      </c>
      <c r="H344" s="6382" t="s">
        <v>28</v>
      </c>
      <c r="I344" s="6382" t="s">
        <v>912</v>
      </c>
    </row>
    <row customHeight="1" ht="11.25">
      <c r="A345" s="6382" t="s">
        <v>2249</v>
      </c>
      <c r="B345" s="6382" t="s">
        <v>16</v>
      </c>
      <c r="C345" s="6382" t="s">
        <v>2746</v>
      </c>
      <c r="D345" s="6382" t="s">
        <v>2747</v>
      </c>
      <c r="E345" s="6382" t="s">
        <v>2748</v>
      </c>
      <c r="F345" s="6382" t="s">
        <v>2590</v>
      </c>
      <c r="G345" s="6382" t="s">
        <v>28</v>
      </c>
      <c r="H345" s="6382" t="s">
        <v>28</v>
      </c>
      <c r="I345" s="6382" t="s">
        <v>912</v>
      </c>
    </row>
    <row customHeight="1" ht="11.25">
      <c r="A346" s="6382" t="s">
        <v>2249</v>
      </c>
      <c r="B346" s="6382" t="s">
        <v>16</v>
      </c>
      <c r="C346" s="6382" t="s">
        <v>2749</v>
      </c>
      <c r="D346" s="6382" t="s">
        <v>2750</v>
      </c>
      <c r="E346" s="6382" t="s">
        <v>2751</v>
      </c>
      <c r="F346" s="6382" t="s">
        <v>2310</v>
      </c>
      <c r="G346" s="6382" t="s">
        <v>28</v>
      </c>
      <c r="H346" s="6382" t="s">
        <v>28</v>
      </c>
      <c r="I346" s="6382" t="s">
        <v>912</v>
      </c>
    </row>
    <row customHeight="1" ht="11.25">
      <c r="A347" s="6382" t="s">
        <v>2249</v>
      </c>
      <c r="B347" s="6382" t="s">
        <v>16</v>
      </c>
      <c r="C347" s="6382" t="s">
        <v>2752</v>
      </c>
      <c r="D347" s="6382" t="s">
        <v>2753</v>
      </c>
      <c r="E347" s="6382" t="s">
        <v>2754</v>
      </c>
      <c r="F347" s="6382" t="s">
        <v>2405</v>
      </c>
      <c r="G347" s="6382" t="s">
        <v>28</v>
      </c>
      <c r="H347" s="6382" t="s">
        <v>28</v>
      </c>
      <c r="I347" s="6382" t="s">
        <v>912</v>
      </c>
    </row>
    <row customHeight="1" ht="11.25">
      <c r="A348" s="6382" t="s">
        <v>2249</v>
      </c>
      <c r="B348" s="6382" t="s">
        <v>16</v>
      </c>
      <c r="C348" s="6382" t="s">
        <v>2759</v>
      </c>
      <c r="D348" s="6382" t="s">
        <v>2760</v>
      </c>
      <c r="E348" s="6382" t="s">
        <v>2761</v>
      </c>
      <c r="F348" s="6382" t="s">
        <v>2310</v>
      </c>
      <c r="G348" s="6382" t="s">
        <v>28</v>
      </c>
      <c r="H348" s="6382" t="s">
        <v>28</v>
      </c>
      <c r="I348" s="6382" t="s">
        <v>912</v>
      </c>
    </row>
    <row customHeight="1" ht="11.25">
      <c r="A349" s="6382" t="s">
        <v>2249</v>
      </c>
      <c r="B349" s="6382" t="s">
        <v>16</v>
      </c>
      <c r="C349" s="6382" t="s">
        <v>2402</v>
      </c>
      <c r="D349" s="6382" t="s">
        <v>2403</v>
      </c>
      <c r="E349" s="6382" t="s">
        <v>2404</v>
      </c>
      <c r="F349" s="6382" t="s">
        <v>2405</v>
      </c>
      <c r="G349" s="6382" t="s">
        <v>28</v>
      </c>
      <c r="H349" s="6382" t="s">
        <v>28</v>
      </c>
      <c r="I349" s="6382" t="s">
        <v>912</v>
      </c>
    </row>
    <row customHeight="1" ht="11.25">
      <c r="A350" s="6382" t="s">
        <v>2249</v>
      </c>
      <c r="B350" s="6382" t="s">
        <v>16</v>
      </c>
      <c r="C350" s="6382" t="s">
        <v>2762</v>
      </c>
      <c r="D350" s="6382" t="s">
        <v>2763</v>
      </c>
      <c r="E350" s="6382" t="s">
        <v>2764</v>
      </c>
      <c r="F350" s="6382" t="s">
        <v>2423</v>
      </c>
      <c r="G350" s="6382" t="s">
        <v>2765</v>
      </c>
      <c r="H350" s="6382" t="s">
        <v>28</v>
      </c>
      <c r="I350" s="6382" t="s">
        <v>912</v>
      </c>
    </row>
    <row customHeight="1" ht="11.25">
      <c r="A351" s="6382" t="s">
        <v>2249</v>
      </c>
      <c r="B351" s="6382" t="s">
        <v>16</v>
      </c>
      <c r="C351" s="6382" t="s">
        <v>2766</v>
      </c>
      <c r="D351" s="6382" t="s">
        <v>2767</v>
      </c>
      <c r="E351" s="6382" t="s">
        <v>2768</v>
      </c>
      <c r="F351" s="6382" t="s">
        <v>2769</v>
      </c>
      <c r="G351" s="6382" t="s">
        <v>28</v>
      </c>
      <c r="H351" s="6382" t="s">
        <v>28</v>
      </c>
      <c r="I351" s="6382" t="s">
        <v>912</v>
      </c>
    </row>
    <row customHeight="1" ht="11.25">
      <c r="A352" s="6382" t="s">
        <v>2249</v>
      </c>
      <c r="B352" s="6382" t="s">
        <v>16</v>
      </c>
      <c r="C352" s="6382" t="s">
        <v>2770</v>
      </c>
      <c r="D352" s="6382" t="s">
        <v>2771</v>
      </c>
      <c r="E352" s="6382" t="s">
        <v>2772</v>
      </c>
      <c r="F352" s="6382" t="s">
        <v>2423</v>
      </c>
      <c r="G352" s="6382" t="s">
        <v>28</v>
      </c>
      <c r="H352" s="6382" t="s">
        <v>28</v>
      </c>
      <c r="I352" s="6382" t="s">
        <v>912</v>
      </c>
    </row>
    <row customHeight="1" ht="11.25">
      <c r="A353" s="6382" t="s">
        <v>2249</v>
      </c>
      <c r="B353" s="6382" t="s">
        <v>16</v>
      </c>
      <c r="C353" s="6382" t="s">
        <v>2773</v>
      </c>
      <c r="D353" s="6382" t="s">
        <v>2774</v>
      </c>
      <c r="E353" s="6382" t="s">
        <v>2775</v>
      </c>
      <c r="F353" s="6382" t="s">
        <v>2289</v>
      </c>
      <c r="G353" s="6382" t="s">
        <v>2776</v>
      </c>
      <c r="H353" s="6382" t="s">
        <v>28</v>
      </c>
      <c r="I353" s="6382" t="s">
        <v>912</v>
      </c>
    </row>
    <row customHeight="1" ht="11.25">
      <c r="A354" s="6382" t="s">
        <v>2249</v>
      </c>
      <c r="B354" s="6382" t="s">
        <v>16</v>
      </c>
      <c r="C354" s="6382" t="s">
        <v>2777</v>
      </c>
      <c r="D354" s="6382" t="s">
        <v>2778</v>
      </c>
      <c r="E354" s="6382" t="s">
        <v>2779</v>
      </c>
      <c r="F354" s="6382" t="s">
        <v>2289</v>
      </c>
      <c r="G354" s="6382" t="s">
        <v>2780</v>
      </c>
      <c r="H354" s="6382" t="s">
        <v>28</v>
      </c>
      <c r="I354" s="6382" t="s">
        <v>912</v>
      </c>
    </row>
    <row customHeight="1" ht="11.25">
      <c r="A355" s="6382" t="s">
        <v>2249</v>
      </c>
      <c r="B355" s="6382" t="s">
        <v>16</v>
      </c>
      <c r="C355" s="6382" t="s">
        <v>2409</v>
      </c>
      <c r="D355" s="6382" t="s">
        <v>2410</v>
      </c>
      <c r="E355" s="6382" t="s">
        <v>2411</v>
      </c>
      <c r="F355" s="6382" t="s">
        <v>2412</v>
      </c>
      <c r="G355" s="6382" t="s">
        <v>28</v>
      </c>
      <c r="H355" s="6382" t="s">
        <v>28</v>
      </c>
      <c r="I355" s="6382" t="s">
        <v>912</v>
      </c>
    </row>
    <row customHeight="1" ht="11.25">
      <c r="A356" s="6382" t="s">
        <v>2249</v>
      </c>
      <c r="B356" s="6382" t="s">
        <v>16</v>
      </c>
      <c r="C356" s="6382" t="s">
        <v>3004</v>
      </c>
      <c r="D356" s="6382" t="s">
        <v>3005</v>
      </c>
      <c r="E356" s="6382" t="s">
        <v>3006</v>
      </c>
      <c r="F356" s="6382" t="s">
        <v>2423</v>
      </c>
      <c r="G356" s="6382" t="s">
        <v>28</v>
      </c>
      <c r="H356" s="6382" t="s">
        <v>28</v>
      </c>
      <c r="I356" s="6382" t="s">
        <v>912</v>
      </c>
    </row>
    <row customHeight="1" ht="11.25">
      <c r="A357" s="6382" t="s">
        <v>2249</v>
      </c>
      <c r="B357" s="6382" t="s">
        <v>16</v>
      </c>
      <c r="C357" s="6382" t="s">
        <v>2413</v>
      </c>
      <c r="D357" s="6382" t="s">
        <v>2414</v>
      </c>
      <c r="E357" s="6382" t="s">
        <v>2415</v>
      </c>
      <c r="F357" s="6382" t="s">
        <v>2416</v>
      </c>
      <c r="G357" s="6382" t="s">
        <v>28</v>
      </c>
      <c r="H357" s="6382" t="s">
        <v>28</v>
      </c>
      <c r="I357" s="6382" t="s">
        <v>912</v>
      </c>
    </row>
    <row customHeight="1" ht="11.25">
      <c r="A358" s="6382" t="s">
        <v>2249</v>
      </c>
      <c r="B358" s="6382" t="s">
        <v>16</v>
      </c>
      <c r="C358" s="6382" t="s">
        <v>2417</v>
      </c>
      <c r="D358" s="6382" t="s">
        <v>2418</v>
      </c>
      <c r="E358" s="6382" t="s">
        <v>2419</v>
      </c>
      <c r="F358" s="6382" t="s">
        <v>2416</v>
      </c>
      <c r="G358" s="6382" t="s">
        <v>28</v>
      </c>
      <c r="H358" s="6382" t="s">
        <v>28</v>
      </c>
      <c r="I358" s="6382" t="s">
        <v>912</v>
      </c>
    </row>
    <row customHeight="1" ht="11.25">
      <c r="A359" s="6382" t="s">
        <v>2249</v>
      </c>
      <c r="B359" s="6382" t="s">
        <v>16</v>
      </c>
      <c r="C359" s="6382" t="s">
        <v>2420</v>
      </c>
      <c r="D359" s="6382" t="s">
        <v>2421</v>
      </c>
      <c r="E359" s="6382" t="s">
        <v>2422</v>
      </c>
      <c r="F359" s="6382" t="s">
        <v>2423</v>
      </c>
      <c r="G359" s="6382" t="s">
        <v>28</v>
      </c>
      <c r="H359" s="6382" t="s">
        <v>28</v>
      </c>
      <c r="I359" s="6382" t="s">
        <v>912</v>
      </c>
    </row>
    <row customHeight="1" ht="11.25">
      <c r="A360" s="6382" t="s">
        <v>2249</v>
      </c>
      <c r="B360" s="6382" t="s">
        <v>16</v>
      </c>
      <c r="C360" s="6382" t="s">
        <v>2781</v>
      </c>
      <c r="D360" s="6382" t="s">
        <v>2782</v>
      </c>
      <c r="E360" s="6382" t="s">
        <v>2783</v>
      </c>
      <c r="F360" s="6382" t="s">
        <v>2355</v>
      </c>
      <c r="G360" s="6382" t="s">
        <v>28</v>
      </c>
      <c r="H360" s="6382" t="s">
        <v>28</v>
      </c>
      <c r="I360" s="6382" t="s">
        <v>912</v>
      </c>
    </row>
    <row customHeight="1" ht="11.25">
      <c r="A361" s="6382" t="s">
        <v>2249</v>
      </c>
      <c r="B361" s="6382" t="s">
        <v>16</v>
      </c>
      <c r="C361" s="6382" t="s">
        <v>2784</v>
      </c>
      <c r="D361" s="6382" t="s">
        <v>2785</v>
      </c>
      <c r="E361" s="6382" t="s">
        <v>2786</v>
      </c>
      <c r="F361" s="6382" t="s">
        <v>2318</v>
      </c>
      <c r="G361" s="6382" t="s">
        <v>2787</v>
      </c>
      <c r="H361" s="6382" t="s">
        <v>28</v>
      </c>
      <c r="I361" s="6382" t="s">
        <v>912</v>
      </c>
    </row>
    <row customHeight="1" ht="11.25">
      <c r="A362" s="6382" t="s">
        <v>2249</v>
      </c>
      <c r="B362" s="6382" t="s">
        <v>16</v>
      </c>
      <c r="C362" s="6382" t="s">
        <v>2788</v>
      </c>
      <c r="D362" s="6382" t="s">
        <v>2789</v>
      </c>
      <c r="E362" s="6382" t="s">
        <v>2790</v>
      </c>
      <c r="F362" s="6382" t="s">
        <v>2376</v>
      </c>
      <c r="G362" s="6382" t="s">
        <v>2791</v>
      </c>
      <c r="H362" s="6382" t="s">
        <v>28</v>
      </c>
      <c r="I362" s="6382" t="s">
        <v>912</v>
      </c>
    </row>
    <row customHeight="1" ht="11.25">
      <c r="A363" s="6382" t="s">
        <v>2249</v>
      </c>
      <c r="B363" s="6382" t="s">
        <v>16</v>
      </c>
      <c r="C363" s="6382" t="s">
        <v>2424</v>
      </c>
      <c r="D363" s="6382" t="s">
        <v>2425</v>
      </c>
      <c r="E363" s="6382" t="s">
        <v>2426</v>
      </c>
      <c r="F363" s="6382" t="s">
        <v>2289</v>
      </c>
      <c r="G363" s="6382" t="s">
        <v>28</v>
      </c>
      <c r="H363" s="6382" t="s">
        <v>28</v>
      </c>
      <c r="I363" s="6382" t="s">
        <v>912</v>
      </c>
    </row>
    <row customHeight="1" ht="11.25">
      <c r="A364" s="6382" t="s">
        <v>2249</v>
      </c>
      <c r="B364" s="6382" t="s">
        <v>16</v>
      </c>
      <c r="C364" s="6382" t="s">
        <v>2792</v>
      </c>
      <c r="D364" s="6382" t="s">
        <v>2793</v>
      </c>
      <c r="E364" s="6382" t="s">
        <v>2794</v>
      </c>
      <c r="F364" s="6382" t="s">
        <v>2758</v>
      </c>
      <c r="G364" s="6382" t="s">
        <v>28</v>
      </c>
      <c r="H364" s="6382" t="s">
        <v>28</v>
      </c>
      <c r="I364" s="6382" t="s">
        <v>912</v>
      </c>
    </row>
    <row customHeight="1" ht="11.25">
      <c r="A365" s="6382" t="s">
        <v>2249</v>
      </c>
      <c r="B365" s="6382" t="s">
        <v>16</v>
      </c>
      <c r="C365" s="6382" t="s">
        <v>2427</v>
      </c>
      <c r="D365" s="6382" t="s">
        <v>2428</v>
      </c>
      <c r="E365" s="6382" t="s">
        <v>2429</v>
      </c>
      <c r="F365" s="6382" t="s">
        <v>2412</v>
      </c>
      <c r="G365" s="6382" t="s">
        <v>28</v>
      </c>
      <c r="H365" s="6382" t="s">
        <v>28</v>
      </c>
      <c r="I365" s="6382" t="s">
        <v>912</v>
      </c>
    </row>
    <row customHeight="1" ht="11.25">
      <c r="A366" s="6382" t="s">
        <v>2249</v>
      </c>
      <c r="B366" s="6382" t="s">
        <v>16</v>
      </c>
      <c r="C366" s="6382" t="s">
        <v>2795</v>
      </c>
      <c r="D366" s="6382" t="s">
        <v>2796</v>
      </c>
      <c r="E366" s="6382" t="s">
        <v>2797</v>
      </c>
      <c r="F366" s="6382" t="s">
        <v>2318</v>
      </c>
      <c r="G366" s="6382" t="s">
        <v>28</v>
      </c>
      <c r="H366" s="6382" t="s">
        <v>28</v>
      </c>
      <c r="I366" s="6382" t="s">
        <v>912</v>
      </c>
    </row>
    <row customHeight="1" ht="11.25">
      <c r="A367" s="6382" t="s">
        <v>2249</v>
      </c>
      <c r="B367" s="6382" t="s">
        <v>16</v>
      </c>
      <c r="C367" s="6382" t="s">
        <v>2798</v>
      </c>
      <c r="D367" s="6382" t="s">
        <v>2799</v>
      </c>
      <c r="E367" s="6382" t="s">
        <v>2800</v>
      </c>
      <c r="F367" s="6382" t="s">
        <v>2672</v>
      </c>
      <c r="G367" s="6382" t="s">
        <v>28</v>
      </c>
      <c r="H367" s="6382" t="s">
        <v>28</v>
      </c>
      <c r="I367" s="6382" t="s">
        <v>912</v>
      </c>
    </row>
    <row customHeight="1" ht="11.25">
      <c r="A368" s="6382" t="s">
        <v>2249</v>
      </c>
      <c r="B368" s="6382" t="s">
        <v>16</v>
      </c>
      <c r="C368" s="6382" t="s">
        <v>2801</v>
      </c>
      <c r="D368" s="6382" t="s">
        <v>2802</v>
      </c>
      <c r="E368" s="6382" t="s">
        <v>2803</v>
      </c>
      <c r="F368" s="6382" t="s">
        <v>2256</v>
      </c>
      <c r="G368" s="6382" t="s">
        <v>28</v>
      </c>
      <c r="H368" s="6382" t="s">
        <v>28</v>
      </c>
      <c r="I368" s="6382" t="s">
        <v>912</v>
      </c>
    </row>
    <row customHeight="1" ht="11.25">
      <c r="A369" s="6382" t="s">
        <v>2249</v>
      </c>
      <c r="B369" s="6382" t="s">
        <v>16</v>
      </c>
      <c r="C369" s="6382" t="s">
        <v>2430</v>
      </c>
      <c r="D369" s="6382" t="s">
        <v>2431</v>
      </c>
      <c r="E369" s="6382" t="s">
        <v>2432</v>
      </c>
      <c r="F369" s="6382" t="s">
        <v>2433</v>
      </c>
      <c r="G369" s="6382" t="s">
        <v>28</v>
      </c>
      <c r="H369" s="6382" t="s">
        <v>28</v>
      </c>
      <c r="I369" s="6382" t="s">
        <v>912</v>
      </c>
    </row>
    <row customHeight="1" ht="11.25">
      <c r="A370" s="6382" t="s">
        <v>2249</v>
      </c>
      <c r="B370" s="6382" t="s">
        <v>16</v>
      </c>
      <c r="C370" s="6382" t="s">
        <v>2804</v>
      </c>
      <c r="D370" s="6382" t="s">
        <v>2805</v>
      </c>
      <c r="E370" s="6382" t="s">
        <v>2806</v>
      </c>
      <c r="F370" s="6382" t="s">
        <v>2672</v>
      </c>
      <c r="G370" s="6382" t="s">
        <v>28</v>
      </c>
      <c r="H370" s="6382" t="s">
        <v>28</v>
      </c>
      <c r="I370" s="6382" t="s">
        <v>912</v>
      </c>
    </row>
    <row customHeight="1" ht="11.25">
      <c r="A371" s="6382" t="s">
        <v>2249</v>
      </c>
      <c r="B371" s="6382" t="s">
        <v>16</v>
      </c>
      <c r="C371" s="6382" t="s">
        <v>2434</v>
      </c>
      <c r="D371" s="6382" t="s">
        <v>2435</v>
      </c>
      <c r="E371" s="6382" t="s">
        <v>2436</v>
      </c>
      <c r="F371" s="6382" t="s">
        <v>2394</v>
      </c>
      <c r="G371" s="6382" t="s">
        <v>28</v>
      </c>
      <c r="H371" s="6382" t="s">
        <v>28</v>
      </c>
      <c r="I371" s="6382" t="s">
        <v>912</v>
      </c>
    </row>
    <row customHeight="1" ht="11.25">
      <c r="A372" s="6382" t="s">
        <v>2249</v>
      </c>
      <c r="B372" s="6382" t="s">
        <v>16</v>
      </c>
      <c r="C372" s="6382" t="s">
        <v>2444</v>
      </c>
      <c r="D372" s="6382" t="s">
        <v>2445</v>
      </c>
      <c r="E372" s="6382" t="s">
        <v>2446</v>
      </c>
      <c r="F372" s="6382" t="s">
        <v>2447</v>
      </c>
      <c r="G372" s="6382" t="s">
        <v>28</v>
      </c>
      <c r="H372" s="6382" t="s">
        <v>28</v>
      </c>
      <c r="I372" s="6382" t="s">
        <v>912</v>
      </c>
    </row>
    <row customHeight="1" ht="11.25">
      <c r="A373" s="6382" t="s">
        <v>2249</v>
      </c>
      <c r="B373" s="6382" t="s">
        <v>16</v>
      </c>
      <c r="C373" s="6382" t="s">
        <v>3007</v>
      </c>
      <c r="D373" s="6382" t="s">
        <v>3008</v>
      </c>
      <c r="E373" s="6382" t="s">
        <v>3009</v>
      </c>
      <c r="F373" s="6382" t="s">
        <v>2310</v>
      </c>
      <c r="G373" s="6382" t="s">
        <v>28</v>
      </c>
      <c r="H373" s="6382" t="s">
        <v>28</v>
      </c>
      <c r="I373" s="6382" t="s">
        <v>912</v>
      </c>
    </row>
    <row customHeight="1" ht="11.25">
      <c r="A374" s="6382" t="s">
        <v>2249</v>
      </c>
      <c r="B374" s="6382" t="s">
        <v>16</v>
      </c>
      <c r="C374" s="6382" t="s">
        <v>2467</v>
      </c>
      <c r="D374" s="6382" t="s">
        <v>2468</v>
      </c>
      <c r="E374" s="6382" t="s">
        <v>2469</v>
      </c>
      <c r="F374" s="6382" t="s">
        <v>2416</v>
      </c>
      <c r="G374" s="6382" t="s">
        <v>28</v>
      </c>
      <c r="H374" s="6382" t="s">
        <v>28</v>
      </c>
      <c r="I374" s="6382" t="s">
        <v>912</v>
      </c>
    </row>
    <row customHeight="1" ht="11.25">
      <c r="A375" s="6382" t="s">
        <v>2249</v>
      </c>
      <c r="B375" s="6382" t="s">
        <v>16</v>
      </c>
      <c r="C375" s="6382" t="s">
        <v>2813</v>
      </c>
      <c r="D375" s="6382" t="s">
        <v>2814</v>
      </c>
      <c r="E375" s="6382" t="s">
        <v>2815</v>
      </c>
      <c r="F375" s="6382" t="s">
        <v>2289</v>
      </c>
      <c r="G375" s="6382" t="s">
        <v>2816</v>
      </c>
      <c r="H375" s="6382" t="s">
        <v>28</v>
      </c>
      <c r="I375" s="6382" t="s">
        <v>912</v>
      </c>
    </row>
    <row customHeight="1" ht="11.25">
      <c r="A376" s="6382" t="s">
        <v>2249</v>
      </c>
      <c r="B376" s="6382" t="s">
        <v>16</v>
      </c>
      <c r="C376" s="6382" t="s">
        <v>2817</v>
      </c>
      <c r="D376" s="6382" t="s">
        <v>2818</v>
      </c>
      <c r="E376" s="6382" t="s">
        <v>2819</v>
      </c>
      <c r="F376" s="6382" t="s">
        <v>2301</v>
      </c>
      <c r="G376" s="6382" t="s">
        <v>2820</v>
      </c>
      <c r="H376" s="6382" t="s">
        <v>28</v>
      </c>
      <c r="I376" s="6382" t="s">
        <v>912</v>
      </c>
    </row>
    <row customHeight="1" ht="11.25">
      <c r="A377" s="6382" t="s">
        <v>2249</v>
      </c>
      <c r="B377" s="6382" t="s">
        <v>16</v>
      </c>
      <c r="C377" s="6382" t="s">
        <v>2821</v>
      </c>
      <c r="D377" s="6382" t="s">
        <v>2822</v>
      </c>
      <c r="E377" s="6382" t="s">
        <v>2823</v>
      </c>
      <c r="F377" s="6382" t="s">
        <v>2569</v>
      </c>
      <c r="G377" s="6382" t="s">
        <v>2824</v>
      </c>
      <c r="H377" s="6382" t="s">
        <v>28</v>
      </c>
      <c r="I377" s="6382" t="s">
        <v>912</v>
      </c>
    </row>
    <row customHeight="1" ht="11.25">
      <c r="A378" s="6382" t="s">
        <v>2249</v>
      </c>
      <c r="B378" s="6382" t="s">
        <v>16</v>
      </c>
      <c r="C378" s="6382" t="s">
        <v>2825</v>
      </c>
      <c r="D378" s="6382" t="s">
        <v>2826</v>
      </c>
      <c r="E378" s="6382" t="s">
        <v>2827</v>
      </c>
      <c r="F378" s="6382" t="s">
        <v>2828</v>
      </c>
      <c r="G378" s="6382" t="s">
        <v>28</v>
      </c>
      <c r="H378" s="6382" t="s">
        <v>28</v>
      </c>
      <c r="I378" s="6382" t="s">
        <v>912</v>
      </c>
    </row>
    <row customHeight="1" ht="11.25">
      <c r="A379" s="6382" t="s">
        <v>2249</v>
      </c>
      <c r="B379" s="6382" t="s">
        <v>16</v>
      </c>
      <c r="C379" s="6382" t="s">
        <v>2833</v>
      </c>
      <c r="D379" s="6382" t="s">
        <v>2834</v>
      </c>
      <c r="E379" s="6382" t="s">
        <v>2835</v>
      </c>
      <c r="F379" s="6382" t="s">
        <v>2281</v>
      </c>
      <c r="G379" s="6382" t="s">
        <v>28</v>
      </c>
      <c r="H379" s="6382" t="s">
        <v>28</v>
      </c>
      <c r="I379" s="6382" t="s">
        <v>912</v>
      </c>
    </row>
    <row customHeight="1" ht="11.25">
      <c r="A380" s="6382" t="s">
        <v>2249</v>
      </c>
      <c r="B380" s="6382" t="s">
        <v>16</v>
      </c>
      <c r="C380" s="6382" t="s">
        <v>2836</v>
      </c>
      <c r="D380" s="6382" t="s">
        <v>2837</v>
      </c>
      <c r="E380" s="6382" t="s">
        <v>2838</v>
      </c>
      <c r="F380" s="6382" t="s">
        <v>2839</v>
      </c>
      <c r="G380" s="6382" t="s">
        <v>28</v>
      </c>
      <c r="H380" s="6382" t="s">
        <v>28</v>
      </c>
      <c r="I380" s="6382" t="s">
        <v>912</v>
      </c>
    </row>
    <row customHeight="1" ht="11.25">
      <c r="A381" s="6382" t="s">
        <v>2249</v>
      </c>
      <c r="B381" s="6382" t="s">
        <v>16</v>
      </c>
      <c r="C381" s="6382" t="s">
        <v>2840</v>
      </c>
      <c r="D381" s="6382" t="s">
        <v>2841</v>
      </c>
      <c r="E381" s="6382" t="s">
        <v>2842</v>
      </c>
      <c r="F381" s="6382" t="s">
        <v>2646</v>
      </c>
      <c r="G381" s="6382" t="s">
        <v>28</v>
      </c>
      <c r="H381" s="6382" t="s">
        <v>28</v>
      </c>
      <c r="I381" s="6382" t="s">
        <v>912</v>
      </c>
    </row>
    <row customHeight="1" ht="11.25">
      <c r="A382" s="6382" t="s">
        <v>2249</v>
      </c>
      <c r="B382" s="6382" t="s">
        <v>16</v>
      </c>
      <c r="C382" s="6382" t="s">
        <v>3010</v>
      </c>
      <c r="D382" s="6382" t="s">
        <v>3011</v>
      </c>
      <c r="E382" s="6382" t="s">
        <v>3012</v>
      </c>
      <c r="F382" s="6382" t="s">
        <v>2260</v>
      </c>
      <c r="G382" s="6382" t="s">
        <v>2832</v>
      </c>
      <c r="H382" s="6382" t="s">
        <v>28</v>
      </c>
      <c r="I382" s="6382" t="s">
        <v>912</v>
      </c>
    </row>
    <row customHeight="1" ht="11.25">
      <c r="A383" s="6382" t="s">
        <v>2249</v>
      </c>
      <c r="B383" s="6382" t="s">
        <v>16</v>
      </c>
      <c r="C383" s="6382" t="s">
        <v>3013</v>
      </c>
      <c r="D383" s="6382" t="s">
        <v>3011</v>
      </c>
      <c r="E383" s="6382" t="s">
        <v>3014</v>
      </c>
      <c r="F383" s="6382" t="s">
        <v>2672</v>
      </c>
      <c r="G383" s="6382" t="s">
        <v>2846</v>
      </c>
      <c r="H383" s="6382" t="s">
        <v>28</v>
      </c>
      <c r="I383" s="6382" t="s">
        <v>912</v>
      </c>
    </row>
    <row customHeight="1" ht="11.25">
      <c r="A384" s="6382" t="s">
        <v>2249</v>
      </c>
      <c r="B384" s="6382" t="s">
        <v>16</v>
      </c>
      <c r="C384" s="6382" t="s">
        <v>2482</v>
      </c>
      <c r="D384" s="6382" t="s">
        <v>2483</v>
      </c>
      <c r="E384" s="6382" t="s">
        <v>2484</v>
      </c>
      <c r="F384" s="6382" t="s">
        <v>2485</v>
      </c>
      <c r="G384" s="6382" t="s">
        <v>2486</v>
      </c>
      <c r="H384" s="6382" t="s">
        <v>28</v>
      </c>
      <c r="I384" s="6382" t="s">
        <v>912</v>
      </c>
    </row>
    <row customHeight="1" ht="11.25">
      <c r="A385" s="6382" t="s">
        <v>2249</v>
      </c>
      <c r="B385" s="6382" t="s">
        <v>16</v>
      </c>
      <c r="C385" s="6382" t="s">
        <v>2847</v>
      </c>
      <c r="D385" s="6382" t="s">
        <v>2848</v>
      </c>
      <c r="E385" s="6382" t="s">
        <v>2849</v>
      </c>
      <c r="F385" s="6382" t="s">
        <v>2289</v>
      </c>
      <c r="G385" s="6382" t="s">
        <v>28</v>
      </c>
      <c r="H385" s="6382" t="s">
        <v>28</v>
      </c>
      <c r="I385" s="6382" t="s">
        <v>912</v>
      </c>
    </row>
    <row customHeight="1" ht="11.25">
      <c r="A386" s="6382" t="s">
        <v>2249</v>
      </c>
      <c r="B386" s="6382" t="s">
        <v>16</v>
      </c>
      <c r="C386" s="6382" t="s">
        <v>3015</v>
      </c>
      <c r="D386" s="6382" t="s">
        <v>3016</v>
      </c>
      <c r="E386" s="6382" t="s">
        <v>3017</v>
      </c>
      <c r="F386" s="6382" t="s">
        <v>2256</v>
      </c>
      <c r="G386" s="6382" t="s">
        <v>28</v>
      </c>
      <c r="H386" s="6382" t="s">
        <v>28</v>
      </c>
      <c r="I386" s="6382" t="s">
        <v>912</v>
      </c>
    </row>
    <row customHeight="1" ht="11.25">
      <c r="A387" s="6382" t="s">
        <v>2249</v>
      </c>
      <c r="B387" s="6382" t="s">
        <v>16</v>
      </c>
      <c r="C387" s="6382" t="s">
        <v>2853</v>
      </c>
      <c r="D387" s="6382" t="s">
        <v>2854</v>
      </c>
      <c r="E387" s="6382" t="s">
        <v>2855</v>
      </c>
      <c r="F387" s="6382" t="s">
        <v>2252</v>
      </c>
      <c r="G387" s="6382" t="s">
        <v>28</v>
      </c>
      <c r="H387" s="6382" t="s">
        <v>28</v>
      </c>
      <c r="I387" s="6382" t="s">
        <v>912</v>
      </c>
    </row>
    <row customHeight="1" ht="11.25">
      <c r="A388" s="6382" t="s">
        <v>2249</v>
      </c>
      <c r="B388" s="6382" t="s">
        <v>16</v>
      </c>
      <c r="C388" s="6382" t="s">
        <v>2856</v>
      </c>
      <c r="D388" s="6382" t="s">
        <v>2857</v>
      </c>
      <c r="E388" s="6382" t="s">
        <v>2858</v>
      </c>
      <c r="F388" s="6382" t="s">
        <v>2256</v>
      </c>
      <c r="G388" s="6382" t="s">
        <v>28</v>
      </c>
      <c r="H388" s="6382" t="s">
        <v>28</v>
      </c>
      <c r="I388" s="6382" t="s">
        <v>912</v>
      </c>
    </row>
    <row customHeight="1" ht="11.25">
      <c r="A389" s="6382" t="s">
        <v>2249</v>
      </c>
      <c r="B389" s="6382" t="s">
        <v>16</v>
      </c>
      <c r="C389" s="6382" t="s">
        <v>2499</v>
      </c>
      <c r="D389" s="6382" t="s">
        <v>2500</v>
      </c>
      <c r="E389" s="6382" t="s">
        <v>2501</v>
      </c>
      <c r="F389" s="6382" t="s">
        <v>2485</v>
      </c>
      <c r="G389" s="6382" t="s">
        <v>28</v>
      </c>
      <c r="H389" s="6382" t="s">
        <v>28</v>
      </c>
      <c r="I389" s="6382" t="s">
        <v>912</v>
      </c>
    </row>
    <row customHeight="1" ht="11.25">
      <c r="A390" s="6382" t="s">
        <v>2249</v>
      </c>
      <c r="B390" s="6382" t="s">
        <v>16</v>
      </c>
      <c r="C390" s="6382" t="s">
        <v>2505</v>
      </c>
      <c r="D390" s="6382" t="s">
        <v>2506</v>
      </c>
      <c r="E390" s="6382" t="s">
        <v>2507</v>
      </c>
      <c r="F390" s="6382" t="s">
        <v>2485</v>
      </c>
      <c r="G390" s="6382" t="s">
        <v>28</v>
      </c>
      <c r="H390" s="6382" t="s">
        <v>28</v>
      </c>
      <c r="I390" s="6382" t="s">
        <v>912</v>
      </c>
    </row>
    <row customHeight="1" ht="11.25">
      <c r="A391" s="6382" t="s">
        <v>2249</v>
      </c>
      <c r="B391" s="6382" t="s">
        <v>16</v>
      </c>
      <c r="C391" s="6382" t="s">
        <v>2859</v>
      </c>
      <c r="D391" s="6382" t="s">
        <v>2860</v>
      </c>
      <c r="E391" s="6382" t="s">
        <v>2861</v>
      </c>
      <c r="F391" s="6382" t="s">
        <v>2485</v>
      </c>
      <c r="G391" s="6382" t="s">
        <v>28</v>
      </c>
      <c r="H391" s="6382" t="s">
        <v>28</v>
      </c>
      <c r="I391" s="6382" t="s">
        <v>912</v>
      </c>
    </row>
    <row customHeight="1" ht="11.25">
      <c r="A392" s="6382" t="s">
        <v>2249</v>
      </c>
      <c r="B392" s="6382" t="s">
        <v>16</v>
      </c>
      <c r="C392" s="6382" t="s">
        <v>2862</v>
      </c>
      <c r="D392" s="6382" t="s">
        <v>2863</v>
      </c>
      <c r="E392" s="6382" t="s">
        <v>2864</v>
      </c>
      <c r="F392" s="6382" t="s">
        <v>2433</v>
      </c>
      <c r="G392" s="6382" t="s">
        <v>2865</v>
      </c>
      <c r="H392" s="6382" t="s">
        <v>28</v>
      </c>
      <c r="I392" s="6382" t="s">
        <v>912</v>
      </c>
    </row>
    <row customHeight="1" ht="11.25">
      <c r="A393" s="6382" t="s">
        <v>2249</v>
      </c>
      <c r="B393" s="6382" t="s">
        <v>16</v>
      </c>
      <c r="C393" s="6382" t="s">
        <v>2866</v>
      </c>
      <c r="D393" s="6382" t="s">
        <v>2867</v>
      </c>
      <c r="E393" s="6382" t="s">
        <v>2868</v>
      </c>
      <c r="F393" s="6382" t="s">
        <v>2256</v>
      </c>
      <c r="G393" s="6382" t="s">
        <v>2869</v>
      </c>
      <c r="H393" s="6382" t="s">
        <v>28</v>
      </c>
      <c r="I393" s="6382" t="s">
        <v>912</v>
      </c>
    </row>
    <row customHeight="1" ht="11.25">
      <c r="A394" s="6382" t="s">
        <v>2249</v>
      </c>
      <c r="B394" s="6382" t="s">
        <v>16</v>
      </c>
      <c r="C394" s="6382" t="s">
        <v>2870</v>
      </c>
      <c r="D394" s="6382" t="s">
        <v>2871</v>
      </c>
      <c r="E394" s="6382" t="s">
        <v>2872</v>
      </c>
      <c r="F394" s="6382" t="s">
        <v>2384</v>
      </c>
      <c r="G394" s="6382" t="s">
        <v>28</v>
      </c>
      <c r="H394" s="6382" t="s">
        <v>28</v>
      </c>
      <c r="I394" s="6382" t="s">
        <v>912</v>
      </c>
    </row>
    <row customHeight="1" ht="11.25">
      <c r="A395" s="6382" t="s">
        <v>2249</v>
      </c>
      <c r="B395" s="6382" t="s">
        <v>16</v>
      </c>
      <c r="C395" s="6382" t="s">
        <v>2873</v>
      </c>
      <c r="D395" s="6382" t="s">
        <v>2874</v>
      </c>
      <c r="E395" s="6382" t="s">
        <v>2875</v>
      </c>
      <c r="F395" s="6382" t="s">
        <v>2672</v>
      </c>
      <c r="G395" s="6382" t="s">
        <v>2876</v>
      </c>
      <c r="H395" s="6382" t="s">
        <v>28</v>
      </c>
      <c r="I395" s="6382" t="s">
        <v>912</v>
      </c>
    </row>
    <row customHeight="1" ht="11.25">
      <c r="A396" s="6382" t="s">
        <v>2249</v>
      </c>
      <c r="B396" s="6382" t="s">
        <v>16</v>
      </c>
      <c r="C396" s="6382" t="s">
        <v>2877</v>
      </c>
      <c r="D396" s="6382" t="s">
        <v>2878</v>
      </c>
      <c r="E396" s="6382" t="s">
        <v>2879</v>
      </c>
      <c r="F396" s="6382" t="s">
        <v>2310</v>
      </c>
      <c r="G396" s="6382" t="s">
        <v>2880</v>
      </c>
      <c r="H396" s="6382" t="s">
        <v>28</v>
      </c>
      <c r="I396" s="6382" t="s">
        <v>912</v>
      </c>
    </row>
    <row customHeight="1" ht="11.25">
      <c r="A397" s="6382" t="s">
        <v>2249</v>
      </c>
      <c r="B397" s="6382" t="s">
        <v>16</v>
      </c>
      <c r="C397" s="6382" t="s">
        <v>3018</v>
      </c>
      <c r="D397" s="6382" t="s">
        <v>3019</v>
      </c>
      <c r="E397" s="6382" t="s">
        <v>3020</v>
      </c>
      <c r="F397" s="6382" t="s">
        <v>2252</v>
      </c>
      <c r="G397" s="6382" t="s">
        <v>28</v>
      </c>
      <c r="H397" s="6382" t="s">
        <v>28</v>
      </c>
      <c r="I397" s="6382" t="s">
        <v>912</v>
      </c>
    </row>
    <row customHeight="1" ht="11.25">
      <c r="A398" s="6382" t="s">
        <v>2249</v>
      </c>
      <c r="B398" s="6382" t="s">
        <v>16</v>
      </c>
      <c r="C398" s="6382" t="s">
        <v>2517</v>
      </c>
      <c r="D398" s="6382" t="s">
        <v>2518</v>
      </c>
      <c r="E398" s="6382" t="s">
        <v>2519</v>
      </c>
      <c r="F398" s="6382" t="s">
        <v>2485</v>
      </c>
      <c r="G398" s="6382" t="s">
        <v>28</v>
      </c>
      <c r="H398" s="6382" t="s">
        <v>28</v>
      </c>
      <c r="I398" s="6382" t="s">
        <v>912</v>
      </c>
    </row>
    <row customHeight="1" ht="11.25">
      <c r="A399" s="6382" t="s">
        <v>2249</v>
      </c>
      <c r="B399" s="6382" t="s">
        <v>16</v>
      </c>
      <c r="C399" s="6382" t="s">
        <v>2885</v>
      </c>
      <c r="D399" s="6382" t="s">
        <v>2886</v>
      </c>
      <c r="E399" s="6382" t="s">
        <v>2887</v>
      </c>
      <c r="F399" s="6382" t="s">
        <v>2433</v>
      </c>
      <c r="G399" s="6382" t="s">
        <v>28</v>
      </c>
      <c r="H399" s="6382" t="s">
        <v>28</v>
      </c>
      <c r="I399" s="6382" t="s">
        <v>912</v>
      </c>
    </row>
    <row customHeight="1" ht="11.25">
      <c r="A400" s="6382" t="s">
        <v>2249</v>
      </c>
      <c r="B400" s="6382" t="s">
        <v>16</v>
      </c>
      <c r="C400" s="6382" t="s">
        <v>2526</v>
      </c>
      <c r="D400" s="6382" t="s">
        <v>2527</v>
      </c>
      <c r="E400" s="6382" t="s">
        <v>2528</v>
      </c>
      <c r="F400" s="6382" t="s">
        <v>2289</v>
      </c>
      <c r="G400" s="6382" t="s">
        <v>28</v>
      </c>
      <c r="H400" s="6382" t="s">
        <v>28</v>
      </c>
      <c r="I400" s="6382" t="s">
        <v>912</v>
      </c>
    </row>
    <row customHeight="1" ht="11.25">
      <c r="A401" s="6382" t="s">
        <v>2249</v>
      </c>
      <c r="B401" s="6382" t="s">
        <v>16</v>
      </c>
      <c r="C401" s="6382" t="s">
        <v>2544</v>
      </c>
      <c r="D401" s="6382" t="s">
        <v>2545</v>
      </c>
      <c r="E401" s="6382" t="s">
        <v>2546</v>
      </c>
      <c r="F401" s="6382" t="s">
        <v>2454</v>
      </c>
      <c r="G401" s="6382" t="s">
        <v>2547</v>
      </c>
      <c r="H401" s="6382" t="s">
        <v>28</v>
      </c>
      <c r="I401" s="6382" t="s">
        <v>912</v>
      </c>
    </row>
    <row customHeight="1" ht="11.25">
      <c r="A402" s="6382" t="s">
        <v>2249</v>
      </c>
      <c r="B402" s="6382" t="s">
        <v>16</v>
      </c>
      <c r="C402" s="6382" t="s">
        <v>2888</v>
      </c>
      <c r="D402" s="6382" t="s">
        <v>2889</v>
      </c>
      <c r="E402" s="6382" t="s">
        <v>2890</v>
      </c>
      <c r="F402" s="6382" t="s">
        <v>2440</v>
      </c>
      <c r="G402" s="6382" t="s">
        <v>28</v>
      </c>
      <c r="H402" s="6382" t="s">
        <v>28</v>
      </c>
      <c r="I402" s="6382" t="s">
        <v>912</v>
      </c>
    </row>
    <row customHeight="1" ht="11.25">
      <c r="A403" s="6382" t="s">
        <v>2249</v>
      </c>
      <c r="B403" s="6382" t="s">
        <v>16</v>
      </c>
      <c r="C403" s="6382" t="s">
        <v>2891</v>
      </c>
      <c r="D403" s="6382" t="s">
        <v>2892</v>
      </c>
      <c r="E403" s="6382" t="s">
        <v>2893</v>
      </c>
      <c r="F403" s="6382" t="s">
        <v>2384</v>
      </c>
      <c r="G403" s="6382" t="s">
        <v>28</v>
      </c>
      <c r="H403" s="6382" t="s">
        <v>28</v>
      </c>
      <c r="I403" s="6382" t="s">
        <v>912</v>
      </c>
    </row>
    <row customHeight="1" ht="11.25">
      <c r="A404" s="6382" t="s">
        <v>2249</v>
      </c>
      <c r="B404" s="6382" t="s">
        <v>16</v>
      </c>
      <c r="C404" s="6382" t="s">
        <v>2894</v>
      </c>
      <c r="D404" s="6382" t="s">
        <v>2895</v>
      </c>
      <c r="E404" s="6382" t="s">
        <v>2896</v>
      </c>
      <c r="F404" s="6382" t="s">
        <v>2897</v>
      </c>
      <c r="G404" s="6382" t="s">
        <v>28</v>
      </c>
      <c r="H404" s="6382" t="s">
        <v>28</v>
      </c>
      <c r="I404" s="6382" t="s">
        <v>912</v>
      </c>
    </row>
    <row customHeight="1" ht="11.25">
      <c r="A405" s="6382" t="s">
        <v>2249</v>
      </c>
      <c r="B405" s="6382" t="s">
        <v>16</v>
      </c>
      <c r="C405" s="6382" t="s">
        <v>2898</v>
      </c>
      <c r="D405" s="6382" t="s">
        <v>2899</v>
      </c>
      <c r="E405" s="6382" t="s">
        <v>2900</v>
      </c>
      <c r="F405" s="6382" t="s">
        <v>2454</v>
      </c>
      <c r="G405" s="6382" t="s">
        <v>28</v>
      </c>
      <c r="H405" s="6382" t="s">
        <v>28</v>
      </c>
      <c r="I405" s="6382" t="s">
        <v>912</v>
      </c>
    </row>
    <row customHeight="1" ht="11.25">
      <c r="A406" s="6382" t="s">
        <v>2249</v>
      </c>
      <c r="B406" s="6382" t="s">
        <v>16</v>
      </c>
      <c r="C406" s="6382" t="s">
        <v>2901</v>
      </c>
      <c r="D406" s="6382" t="s">
        <v>2902</v>
      </c>
      <c r="E406" s="6382" t="s">
        <v>2903</v>
      </c>
      <c r="F406" s="6382" t="s">
        <v>2281</v>
      </c>
      <c r="G406" s="6382" t="s">
        <v>28</v>
      </c>
      <c r="H406" s="6382" t="s">
        <v>28</v>
      </c>
      <c r="I406" s="6382" t="s">
        <v>912</v>
      </c>
    </row>
    <row customHeight="1" ht="11.25">
      <c r="A407" s="6382" t="s">
        <v>2249</v>
      </c>
      <c r="B407" s="6382" t="s">
        <v>16</v>
      </c>
      <c r="C407" s="6382" t="s">
        <v>2563</v>
      </c>
      <c r="D407" s="6382" t="s">
        <v>2564</v>
      </c>
      <c r="E407" s="6382" t="s">
        <v>2565</v>
      </c>
      <c r="F407" s="6382" t="s">
        <v>2433</v>
      </c>
      <c r="G407" s="6382" t="s">
        <v>2311</v>
      </c>
      <c r="H407" s="6382" t="s">
        <v>28</v>
      </c>
      <c r="I407" s="6382" t="s">
        <v>912</v>
      </c>
    </row>
    <row customHeight="1" ht="11.25">
      <c r="A408" s="6382" t="s">
        <v>2249</v>
      </c>
      <c r="B408" s="6382" t="s">
        <v>16</v>
      </c>
      <c r="C408" s="6382" t="s">
        <v>3021</v>
      </c>
      <c r="D408" s="6382" t="s">
        <v>3022</v>
      </c>
      <c r="E408" s="6382" t="s">
        <v>3023</v>
      </c>
      <c r="F408" s="6382" t="s">
        <v>2569</v>
      </c>
      <c r="G408" s="6382" t="s">
        <v>3024</v>
      </c>
      <c r="H408" s="6382" t="s">
        <v>28</v>
      </c>
      <c r="I408" s="6382" t="s">
        <v>912</v>
      </c>
    </row>
    <row customHeight="1" ht="11.25">
      <c r="A409" s="6382" t="s">
        <v>2249</v>
      </c>
      <c r="B409" s="6382" t="s">
        <v>16</v>
      </c>
      <c r="C409" s="6382" t="s">
        <v>2904</v>
      </c>
      <c r="D409" s="6382" t="s">
        <v>2905</v>
      </c>
      <c r="E409" s="6382" t="s">
        <v>2906</v>
      </c>
      <c r="F409" s="6382" t="s">
        <v>2433</v>
      </c>
      <c r="G409" s="6382" t="s">
        <v>28</v>
      </c>
      <c r="H409" s="6382" t="s">
        <v>28</v>
      </c>
      <c r="I409" s="6382" t="s">
        <v>912</v>
      </c>
    </row>
    <row customHeight="1" ht="11.25">
      <c r="A410" s="6382" t="s">
        <v>2249</v>
      </c>
      <c r="B410" s="6382" t="s">
        <v>16</v>
      </c>
      <c r="C410" s="6382" t="s">
        <v>2587</v>
      </c>
      <c r="D410" s="6382" t="s">
        <v>2588</v>
      </c>
      <c r="E410" s="6382" t="s">
        <v>2589</v>
      </c>
      <c r="F410" s="6382" t="s">
        <v>2590</v>
      </c>
      <c r="G410" s="6382" t="s">
        <v>28</v>
      </c>
      <c r="H410" s="6382" t="s">
        <v>28</v>
      </c>
      <c r="I410" s="6382" t="s">
        <v>912</v>
      </c>
    </row>
    <row customHeight="1" ht="11.25">
      <c r="A411" s="6382" t="s">
        <v>2249</v>
      </c>
      <c r="B411" s="6382" t="s">
        <v>16</v>
      </c>
      <c r="C411" s="6382" t="s">
        <v>2910</v>
      </c>
      <c r="D411" s="6382" t="s">
        <v>2911</v>
      </c>
      <c r="E411" s="6382" t="s">
        <v>2912</v>
      </c>
      <c r="F411" s="6382" t="s">
        <v>2281</v>
      </c>
      <c r="G411" s="6382" t="s">
        <v>28</v>
      </c>
      <c r="H411" s="6382" t="s">
        <v>28</v>
      </c>
      <c r="I411" s="6382" t="s">
        <v>912</v>
      </c>
    </row>
    <row customHeight="1" ht="11.25">
      <c r="A412" s="6382" t="s">
        <v>2249</v>
      </c>
      <c r="B412" s="6382" t="s">
        <v>16</v>
      </c>
      <c r="C412" s="6382" t="s">
        <v>2913</v>
      </c>
      <c r="D412" s="6382" t="s">
        <v>2914</v>
      </c>
      <c r="E412" s="6382" t="s">
        <v>2915</v>
      </c>
      <c r="F412" s="6382" t="s">
        <v>2485</v>
      </c>
      <c r="G412" s="6382" t="s">
        <v>28</v>
      </c>
      <c r="H412" s="6382" t="s">
        <v>28</v>
      </c>
      <c r="I412" s="6382" t="s">
        <v>912</v>
      </c>
    </row>
    <row customHeight="1" ht="11.25">
      <c r="A413" s="6382" t="s">
        <v>2249</v>
      </c>
      <c r="B413" s="6382" t="s">
        <v>16</v>
      </c>
      <c r="C413" s="6382" t="s">
        <v>2922</v>
      </c>
      <c r="D413" s="6382" t="s">
        <v>2923</v>
      </c>
      <c r="E413" s="6382" t="s">
        <v>2924</v>
      </c>
      <c r="F413" s="6382" t="s">
        <v>2355</v>
      </c>
      <c r="G413" s="6382" t="s">
        <v>28</v>
      </c>
      <c r="H413" s="6382" t="s">
        <v>28</v>
      </c>
      <c r="I413" s="6382" t="s">
        <v>912</v>
      </c>
    </row>
    <row customHeight="1" ht="11.25">
      <c r="A414" s="6382" t="s">
        <v>2249</v>
      </c>
      <c r="B414" s="6382" t="s">
        <v>16</v>
      </c>
      <c r="C414" s="6382" t="s">
        <v>2925</v>
      </c>
      <c r="D414" s="6382" t="s">
        <v>2926</v>
      </c>
      <c r="E414" s="6382" t="s">
        <v>2927</v>
      </c>
      <c r="F414" s="6382" t="s">
        <v>2252</v>
      </c>
      <c r="G414" s="6382" t="s">
        <v>28</v>
      </c>
      <c r="H414" s="6382" t="s">
        <v>28</v>
      </c>
      <c r="I414" s="6382" t="s">
        <v>912</v>
      </c>
    </row>
    <row customHeight="1" ht="11.25">
      <c r="A415" s="6382" t="s">
        <v>2249</v>
      </c>
      <c r="B415" s="6382" t="s">
        <v>16</v>
      </c>
      <c r="C415" s="6382" t="s">
        <v>2931</v>
      </c>
      <c r="D415" s="6382" t="s">
        <v>2932</v>
      </c>
      <c r="E415" s="6382" t="s">
        <v>2933</v>
      </c>
      <c r="F415" s="6382" t="s">
        <v>2301</v>
      </c>
      <c r="G415" s="6382" t="s">
        <v>2934</v>
      </c>
      <c r="H415" s="6382" t="s">
        <v>28</v>
      </c>
      <c r="I415" s="6382" t="s">
        <v>912</v>
      </c>
    </row>
    <row customHeight="1" ht="11.25">
      <c r="A416" s="6382" t="s">
        <v>2249</v>
      </c>
      <c r="B416" s="6382" t="s">
        <v>16</v>
      </c>
      <c r="C416" s="6382" t="s">
        <v>2935</v>
      </c>
      <c r="D416" s="6382" t="s">
        <v>2936</v>
      </c>
      <c r="E416" s="6382" t="s">
        <v>2251</v>
      </c>
      <c r="F416" s="6382" t="s">
        <v>2252</v>
      </c>
      <c r="G416" s="6382" t="s">
        <v>28</v>
      </c>
      <c r="H416" s="6382" t="s">
        <v>28</v>
      </c>
      <c r="I416" s="6382" t="s">
        <v>912</v>
      </c>
    </row>
    <row customHeight="1" ht="11.25">
      <c r="A417" s="6382" t="s">
        <v>2249</v>
      </c>
      <c r="B417" s="6382" t="s">
        <v>16</v>
      </c>
      <c r="C417" s="6382" t="s">
        <v>2937</v>
      </c>
      <c r="D417" s="6382" t="s">
        <v>2938</v>
      </c>
      <c r="E417" s="6382" t="s">
        <v>2939</v>
      </c>
      <c r="F417" s="6382" t="s">
        <v>2256</v>
      </c>
      <c r="G417" s="6382" t="s">
        <v>28</v>
      </c>
      <c r="H417" s="6382" t="s">
        <v>28</v>
      </c>
      <c r="I417" s="6382" t="s">
        <v>912</v>
      </c>
    </row>
    <row customHeight="1" ht="11.25">
      <c r="A418" s="6382" t="s">
        <v>2249</v>
      </c>
      <c r="B418" s="6382" t="s">
        <v>16</v>
      </c>
      <c r="C418" s="6382" t="s">
        <v>2940</v>
      </c>
      <c r="D418" s="6382" t="s">
        <v>2941</v>
      </c>
      <c r="E418" s="6382" t="s">
        <v>2942</v>
      </c>
      <c r="F418" s="6382" t="s">
        <v>2256</v>
      </c>
      <c r="G418" s="6382" t="s">
        <v>28</v>
      </c>
      <c r="H418" s="6382" t="s">
        <v>28</v>
      </c>
      <c r="I418" s="6382" t="s">
        <v>912</v>
      </c>
    </row>
    <row customHeight="1" ht="11.25">
      <c r="A419" s="6382" t="s">
        <v>2249</v>
      </c>
      <c r="B419" s="6382" t="s">
        <v>16</v>
      </c>
      <c r="C419" s="6382" t="s">
        <v>2594</v>
      </c>
      <c r="D419" s="6382" t="s">
        <v>2595</v>
      </c>
      <c r="E419" s="6382" t="s">
        <v>2596</v>
      </c>
      <c r="F419" s="6382" t="s">
        <v>2264</v>
      </c>
      <c r="G419" s="6382" t="s">
        <v>28</v>
      </c>
      <c r="H419" s="6382" t="s">
        <v>28</v>
      </c>
      <c r="I419" s="6382" t="s">
        <v>912</v>
      </c>
    </row>
    <row customHeight="1" ht="11.25">
      <c r="A420" s="6382" t="s">
        <v>2249</v>
      </c>
      <c r="B420" s="6382" t="s">
        <v>16</v>
      </c>
      <c r="C420" s="6382" t="s">
        <v>2605</v>
      </c>
      <c r="D420" s="6382" t="s">
        <v>2606</v>
      </c>
      <c r="E420" s="6382" t="s">
        <v>2607</v>
      </c>
      <c r="F420" s="6382" t="s">
        <v>2576</v>
      </c>
      <c r="G420" s="6382" t="s">
        <v>2608</v>
      </c>
      <c r="H420" s="6382" t="s">
        <v>28</v>
      </c>
      <c r="I420" s="6382" t="s">
        <v>912</v>
      </c>
    </row>
    <row customHeight="1" ht="11.25">
      <c r="A421" s="6382" t="s">
        <v>2249</v>
      </c>
      <c r="B421" s="6382" t="s">
        <v>16</v>
      </c>
      <c r="C421" s="6382" t="s">
        <v>2609</v>
      </c>
      <c r="D421" s="6382" t="s">
        <v>2610</v>
      </c>
      <c r="E421" s="6382" t="s">
        <v>2611</v>
      </c>
      <c r="F421" s="6382" t="s">
        <v>2301</v>
      </c>
      <c r="G421" s="6382" t="s">
        <v>2612</v>
      </c>
      <c r="H421" s="6382" t="s">
        <v>28</v>
      </c>
      <c r="I421" s="6382" t="s">
        <v>912</v>
      </c>
    </row>
    <row customHeight="1" ht="11.25">
      <c r="A422" s="6382" t="s">
        <v>2249</v>
      </c>
      <c r="B422" s="6382" t="s">
        <v>16</v>
      </c>
      <c r="C422" s="6382" t="s">
        <v>2949</v>
      </c>
      <c r="D422" s="6382" t="s">
        <v>2950</v>
      </c>
      <c r="E422" s="6382" t="s">
        <v>2951</v>
      </c>
      <c r="F422" s="6382" t="s">
        <v>2952</v>
      </c>
      <c r="G422" s="6382" t="s">
        <v>28</v>
      </c>
      <c r="H422" s="6382" t="s">
        <v>28</v>
      </c>
      <c r="I422" s="6382" t="s">
        <v>912</v>
      </c>
    </row>
    <row customHeight="1" ht="11.25">
      <c r="A423" s="6382" t="s">
        <v>2249</v>
      </c>
      <c r="B423" s="6382" t="s">
        <v>16</v>
      </c>
      <c r="C423" s="6382" t="s">
        <v>2953</v>
      </c>
      <c r="D423" s="6382" t="s">
        <v>2954</v>
      </c>
      <c r="E423" s="6382" t="s">
        <v>2955</v>
      </c>
      <c r="F423" s="6382" t="s">
        <v>2384</v>
      </c>
      <c r="G423" s="6382" t="s">
        <v>28</v>
      </c>
      <c r="H423" s="6382" t="s">
        <v>28</v>
      </c>
      <c r="I423" s="6382" t="s">
        <v>912</v>
      </c>
    </row>
    <row customHeight="1" ht="11.25">
      <c r="A424" s="6382" t="s">
        <v>2249</v>
      </c>
      <c r="B424" s="6382" t="s">
        <v>16</v>
      </c>
      <c r="C424" s="6382" t="s">
        <v>2623</v>
      </c>
      <c r="D424" s="6382" t="s">
        <v>2624</v>
      </c>
      <c r="E424" s="6382" t="s">
        <v>2625</v>
      </c>
      <c r="F424" s="6382" t="s">
        <v>2454</v>
      </c>
      <c r="G424" s="6382" t="s">
        <v>28</v>
      </c>
      <c r="H424" s="6382" t="s">
        <v>28</v>
      </c>
      <c r="I424" s="6382" t="s">
        <v>912</v>
      </c>
    </row>
    <row customHeight="1" ht="11.25">
      <c r="A425" s="6382" t="s">
        <v>2249</v>
      </c>
      <c r="B425" s="6382" t="s">
        <v>16</v>
      </c>
      <c r="C425" s="6382" t="s">
        <v>2626</v>
      </c>
      <c r="D425" s="6382" t="s">
        <v>2627</v>
      </c>
      <c r="E425" s="6382" t="s">
        <v>2628</v>
      </c>
      <c r="F425" s="6382" t="s">
        <v>2629</v>
      </c>
      <c r="G425" s="6382" t="s">
        <v>2630</v>
      </c>
      <c r="H425" s="6382" t="s">
        <v>28</v>
      </c>
      <c r="I425" s="6382" t="s">
        <v>912</v>
      </c>
    </row>
    <row customHeight="1" ht="11.25">
      <c r="A426" s="6382" t="s">
        <v>2249</v>
      </c>
      <c r="B426" s="6382" t="s">
        <v>16</v>
      </c>
      <c r="C426" s="6382" t="s">
        <v>2631</v>
      </c>
      <c r="D426" s="6382" t="s">
        <v>2632</v>
      </c>
      <c r="E426" s="6382" t="s">
        <v>2633</v>
      </c>
      <c r="F426" s="6382" t="s">
        <v>2454</v>
      </c>
      <c r="G426" s="6382" t="s">
        <v>28</v>
      </c>
      <c r="H426" s="6382" t="s">
        <v>28</v>
      </c>
      <c r="I426" s="6382" t="s">
        <v>912</v>
      </c>
    </row>
    <row customHeight="1" ht="11.25">
      <c r="A427" s="6382" t="s">
        <v>2249</v>
      </c>
      <c r="B427" s="6382" t="s">
        <v>16</v>
      </c>
      <c r="C427" s="6382" t="s">
        <v>2637</v>
      </c>
      <c r="D427" s="6382" t="s">
        <v>2638</v>
      </c>
      <c r="E427" s="6382" t="s">
        <v>2639</v>
      </c>
      <c r="F427" s="6382" t="s">
        <v>2384</v>
      </c>
      <c r="G427" s="6382" t="s">
        <v>28</v>
      </c>
      <c r="H427" s="6382" t="s">
        <v>28</v>
      </c>
      <c r="I427" s="6382" t="s">
        <v>912</v>
      </c>
    </row>
    <row customHeight="1" ht="11.25">
      <c r="A428" s="6382" t="s">
        <v>2249</v>
      </c>
      <c r="B428" s="6382" t="s">
        <v>16</v>
      </c>
      <c r="C428" s="6382" t="s">
        <v>2956</v>
      </c>
      <c r="D428" s="6382" t="s">
        <v>2957</v>
      </c>
      <c r="E428" s="6382" t="s">
        <v>2958</v>
      </c>
      <c r="F428" s="6382" t="s">
        <v>2769</v>
      </c>
      <c r="G428" s="6382" t="s">
        <v>28</v>
      </c>
      <c r="H428" s="6382" t="s">
        <v>28</v>
      </c>
      <c r="I428" s="6382" t="s">
        <v>912</v>
      </c>
    </row>
    <row customHeight="1" ht="11.25">
      <c r="A429" s="6382" t="s">
        <v>2249</v>
      </c>
      <c r="B429" s="6382" t="s">
        <v>16</v>
      </c>
      <c r="C429" s="6382" t="s">
        <v>2959</v>
      </c>
      <c r="D429" s="6382" t="s">
        <v>2960</v>
      </c>
      <c r="E429" s="6382" t="s">
        <v>2961</v>
      </c>
      <c r="F429" s="6382" t="s">
        <v>2769</v>
      </c>
      <c r="G429" s="6382" t="s">
        <v>28</v>
      </c>
      <c r="H429" s="6382" t="s">
        <v>28</v>
      </c>
      <c r="I429" s="6382" t="s">
        <v>912</v>
      </c>
    </row>
    <row customHeight="1" ht="11.25">
      <c r="A430" s="6382" t="s">
        <v>2249</v>
      </c>
      <c r="B430" s="6382" t="s">
        <v>16</v>
      </c>
      <c r="C430" s="6382" t="s">
        <v>2962</v>
      </c>
      <c r="D430" s="6382" t="s">
        <v>2963</v>
      </c>
      <c r="E430" s="6382" t="s">
        <v>2964</v>
      </c>
      <c r="F430" s="6382" t="s">
        <v>2281</v>
      </c>
      <c r="G430" s="6382" t="s">
        <v>28</v>
      </c>
      <c r="H430" s="6382" t="s">
        <v>28</v>
      </c>
      <c r="I430" s="6382" t="s">
        <v>912</v>
      </c>
    </row>
    <row customHeight="1" ht="11.25">
      <c r="A431" s="6382" t="s">
        <v>2249</v>
      </c>
      <c r="B431" s="6382" t="s">
        <v>16</v>
      </c>
      <c r="C431" s="6382" t="s">
        <v>2640</v>
      </c>
      <c r="D431" s="6382" t="s">
        <v>2641</v>
      </c>
      <c r="E431" s="6382" t="s">
        <v>2642</v>
      </c>
      <c r="F431" s="6382" t="s">
        <v>2260</v>
      </c>
      <c r="G431" s="6382" t="s">
        <v>28</v>
      </c>
      <c r="H431" s="6382" t="s">
        <v>28</v>
      </c>
      <c r="I431" s="6382" t="s">
        <v>912</v>
      </c>
    </row>
    <row customHeight="1" ht="11.25">
      <c r="A432" s="6382" t="s">
        <v>2249</v>
      </c>
      <c r="B432" s="6382" t="s">
        <v>16</v>
      </c>
      <c r="C432" s="6382" t="s">
        <v>2643</v>
      </c>
      <c r="D432" s="6382" t="s">
        <v>2644</v>
      </c>
      <c r="E432" s="6382" t="s">
        <v>2645</v>
      </c>
      <c r="F432" s="6382" t="s">
        <v>2646</v>
      </c>
      <c r="G432" s="6382" t="s">
        <v>28</v>
      </c>
      <c r="H432" s="6382" t="s">
        <v>28</v>
      </c>
      <c r="I432" s="6382" t="s">
        <v>912</v>
      </c>
    </row>
    <row customHeight="1" ht="11.25">
      <c r="A433" s="6382" t="s">
        <v>2249</v>
      </c>
      <c r="B433" s="6382" t="s">
        <v>16</v>
      </c>
      <c r="C433" s="6382" t="s">
        <v>2974</v>
      </c>
      <c r="D433" s="6382" t="s">
        <v>2975</v>
      </c>
      <c r="E433" s="6382" t="s">
        <v>2976</v>
      </c>
      <c r="F433" s="6382" t="s">
        <v>2828</v>
      </c>
      <c r="G433" s="6382" t="s">
        <v>2977</v>
      </c>
      <c r="H433" s="6382" t="s">
        <v>28</v>
      </c>
      <c r="I433" s="6382" t="s">
        <v>912</v>
      </c>
    </row>
    <row customHeight="1" ht="11.25">
      <c r="A434" s="6382" t="s">
        <v>2249</v>
      </c>
      <c r="B434" s="6382" t="s">
        <v>16</v>
      </c>
      <c r="C434" s="6382" t="s">
        <v>2978</v>
      </c>
      <c r="D434" s="6382" t="s">
        <v>2979</v>
      </c>
      <c r="E434" s="6382" t="s">
        <v>2980</v>
      </c>
      <c r="F434" s="6382" t="s">
        <v>2355</v>
      </c>
      <c r="G434" s="6382" t="s">
        <v>28</v>
      </c>
      <c r="H434" s="6382" t="s">
        <v>28</v>
      </c>
      <c r="I434" s="6382" t="s">
        <v>912</v>
      </c>
    </row>
    <row customHeight="1" ht="11.25">
      <c r="A435" s="6382" t="s">
        <v>2249</v>
      </c>
      <c r="B435" s="6382" t="s">
        <v>16</v>
      </c>
      <c r="C435" s="6382" t="s">
        <v>2981</v>
      </c>
      <c r="D435" s="6382" t="s">
        <v>2982</v>
      </c>
      <c r="E435" s="6382" t="s">
        <v>2983</v>
      </c>
      <c r="F435" s="6382" t="s">
        <v>2376</v>
      </c>
      <c r="G435" s="6382" t="s">
        <v>28</v>
      </c>
      <c r="H435" s="6382" t="s">
        <v>28</v>
      </c>
      <c r="I435" s="6382" t="s">
        <v>912</v>
      </c>
    </row>
    <row customHeight="1" ht="11.25">
      <c r="A436" s="6382" t="s">
        <v>2249</v>
      </c>
      <c r="B436" s="6382" t="s">
        <v>16</v>
      </c>
      <c r="C436" s="6382" t="s">
        <v>2990</v>
      </c>
      <c r="D436" s="6382" t="s">
        <v>2991</v>
      </c>
      <c r="E436" s="6382" t="s">
        <v>2992</v>
      </c>
      <c r="F436" s="6382" t="s">
        <v>2769</v>
      </c>
      <c r="G436" s="6382" t="s">
        <v>2993</v>
      </c>
      <c r="H436" s="6382" t="s">
        <v>28</v>
      </c>
      <c r="I436" s="6382" t="s">
        <v>912</v>
      </c>
    </row>
    <row customHeight="1" ht="11.25">
      <c r="A437" s="6382" t="s">
        <v>2249</v>
      </c>
      <c r="B437" s="6382" t="s">
        <v>16</v>
      </c>
      <c r="C437" s="6382" t="s">
        <v>2994</v>
      </c>
      <c r="D437" s="6382" t="s">
        <v>2995</v>
      </c>
      <c r="E437" s="6382" t="s">
        <v>2996</v>
      </c>
      <c r="F437" s="6382" t="s">
        <v>2310</v>
      </c>
      <c r="G437" s="6382" t="s">
        <v>28</v>
      </c>
      <c r="H437" s="6382" t="s">
        <v>28</v>
      </c>
      <c r="I437" s="6382" t="s">
        <v>912</v>
      </c>
    </row>
    <row customHeight="1" ht="11.25">
      <c r="A438" s="6382" t="s">
        <v>2249</v>
      </c>
      <c r="B438" s="6382" t="s">
        <v>16</v>
      </c>
      <c r="C438" s="6382" t="s">
        <v>2673</v>
      </c>
      <c r="D438" s="6382" t="s">
        <v>2674</v>
      </c>
      <c r="E438" s="6382" t="s">
        <v>2675</v>
      </c>
      <c r="F438" s="6382" t="s">
        <v>2281</v>
      </c>
      <c r="G438" s="6382" t="s">
        <v>28</v>
      </c>
      <c r="H438" s="6382" t="s">
        <v>28</v>
      </c>
      <c r="I438" s="6382" t="s">
        <v>912</v>
      </c>
    </row>
    <row customHeight="1" ht="11.25">
      <c r="A439" s="6382" t="s">
        <v>2249</v>
      </c>
      <c r="B439" s="6382" t="s">
        <v>16</v>
      </c>
      <c r="C439" s="6382" t="s">
        <v>28</v>
      </c>
      <c r="D439" s="6382" t="s">
        <v>2250</v>
      </c>
      <c r="E439" s="6382" t="s">
        <v>2251</v>
      </c>
      <c r="F439" s="6382" t="s">
        <v>2252</v>
      </c>
      <c r="G439" s="6382" t="s">
        <v>28</v>
      </c>
      <c r="H439" s="6382" t="s">
        <v>28</v>
      </c>
      <c r="I439" s="6382" t="s">
        <v>1621</v>
      </c>
    </row>
    <row customHeight="1" ht="11.25">
      <c r="A440" s="6382" t="s">
        <v>2249</v>
      </c>
      <c r="B440" s="6382" t="s">
        <v>16</v>
      </c>
      <c r="C440" s="6382" t="s">
        <v>3025</v>
      </c>
      <c r="D440" s="6382" t="s">
        <v>3026</v>
      </c>
      <c r="E440" s="6382" t="s">
        <v>3027</v>
      </c>
      <c r="F440" s="6382" t="s">
        <v>581</v>
      </c>
      <c r="G440" s="6382" t="s">
        <v>3028</v>
      </c>
      <c r="H440" s="6382" t="s">
        <v>28</v>
      </c>
      <c r="I440" s="6382" t="s">
        <v>1621</v>
      </c>
    </row>
    <row customHeight="1" ht="11.25">
      <c r="A441" s="6382" t="s">
        <v>2249</v>
      </c>
      <c r="B441" s="6382" t="s">
        <v>16</v>
      </c>
      <c r="C441" s="6382" t="s">
        <v>2391</v>
      </c>
      <c r="D441" s="6382" t="s">
        <v>2392</v>
      </c>
      <c r="E441" s="6382" t="s">
        <v>2393</v>
      </c>
      <c r="F441" s="6382" t="s">
        <v>2394</v>
      </c>
      <c r="G441" s="6382" t="s">
        <v>28</v>
      </c>
      <c r="H441" s="6382" t="s">
        <v>28</v>
      </c>
      <c r="I441" s="6382" t="s">
        <v>1621</v>
      </c>
    </row>
    <row customHeight="1" ht="11.25">
      <c r="A442" s="6382" t="s">
        <v>2249</v>
      </c>
      <c r="B442" s="6382" t="s">
        <v>16</v>
      </c>
      <c r="C442" s="6382" t="s">
        <v>2743</v>
      </c>
      <c r="D442" s="6382" t="s">
        <v>2744</v>
      </c>
      <c r="E442" s="6382" t="s">
        <v>2745</v>
      </c>
      <c r="F442" s="6382" t="s">
        <v>2485</v>
      </c>
      <c r="G442" s="6382" t="s">
        <v>28</v>
      </c>
      <c r="H442" s="6382" t="s">
        <v>28</v>
      </c>
      <c r="I442" s="6382" t="s">
        <v>1621</v>
      </c>
    </row>
    <row customHeight="1" ht="11.25">
      <c r="A443" s="6382" t="s">
        <v>2249</v>
      </c>
      <c r="B443" s="6382" t="s">
        <v>16</v>
      </c>
      <c r="C443" s="6382" t="s">
        <v>3029</v>
      </c>
      <c r="D443" s="6382" t="s">
        <v>3030</v>
      </c>
      <c r="E443" s="6382" t="s">
        <v>3031</v>
      </c>
      <c r="F443" s="6382" t="s">
        <v>2498</v>
      </c>
      <c r="G443" s="6382" t="s">
        <v>3032</v>
      </c>
      <c r="H443" s="6382" t="s">
        <v>28</v>
      </c>
      <c r="I443" s="6382" t="s">
        <v>1621</v>
      </c>
    </row>
    <row customHeight="1" ht="11.25">
      <c r="A444" s="6382" t="s">
        <v>2249</v>
      </c>
      <c r="B444" s="6382" t="s">
        <v>16</v>
      </c>
      <c r="C444" s="6382" t="s">
        <v>2406</v>
      </c>
      <c r="D444" s="6382" t="s">
        <v>2407</v>
      </c>
      <c r="E444" s="6382" t="s">
        <v>2408</v>
      </c>
      <c r="F444" s="6382" t="s">
        <v>2281</v>
      </c>
      <c r="G444" s="6382" t="s">
        <v>28</v>
      </c>
      <c r="H444" s="6382" t="s">
        <v>28</v>
      </c>
      <c r="I444" s="6382" t="s">
        <v>1621</v>
      </c>
    </row>
    <row customHeight="1" ht="11.25">
      <c r="A445" s="6382" t="s">
        <v>2249</v>
      </c>
      <c r="B445" s="6382" t="s">
        <v>16</v>
      </c>
      <c r="C445" s="6382" t="s">
        <v>3033</v>
      </c>
      <c r="D445" s="6382" t="s">
        <v>3034</v>
      </c>
      <c r="E445" s="6382" t="s">
        <v>3035</v>
      </c>
      <c r="F445" s="6382" t="s">
        <v>2376</v>
      </c>
      <c r="G445" s="6382" t="s">
        <v>28</v>
      </c>
      <c r="H445" s="6382" t="s">
        <v>28</v>
      </c>
      <c r="I445" s="6382" t="s">
        <v>1621</v>
      </c>
    </row>
    <row customHeight="1" ht="11.25">
      <c r="A446" s="6382" t="s">
        <v>2249</v>
      </c>
      <c r="B446" s="6382" t="s">
        <v>16</v>
      </c>
      <c r="C446" s="6382" t="s">
        <v>2413</v>
      </c>
      <c r="D446" s="6382" t="s">
        <v>2414</v>
      </c>
      <c r="E446" s="6382" t="s">
        <v>2415</v>
      </c>
      <c r="F446" s="6382" t="s">
        <v>2416</v>
      </c>
      <c r="G446" s="6382" t="s">
        <v>28</v>
      </c>
      <c r="H446" s="6382" t="s">
        <v>28</v>
      </c>
      <c r="I446" s="6382" t="s">
        <v>1621</v>
      </c>
    </row>
    <row customHeight="1" ht="11.25">
      <c r="A447" s="6382" t="s">
        <v>2249</v>
      </c>
      <c r="B447" s="6382" t="s">
        <v>16</v>
      </c>
      <c r="C447" s="6382" t="s">
        <v>2417</v>
      </c>
      <c r="D447" s="6382" t="s">
        <v>2418</v>
      </c>
      <c r="E447" s="6382" t="s">
        <v>2419</v>
      </c>
      <c r="F447" s="6382" t="s">
        <v>2416</v>
      </c>
      <c r="G447" s="6382" t="s">
        <v>28</v>
      </c>
      <c r="H447" s="6382" t="s">
        <v>28</v>
      </c>
      <c r="I447" s="6382" t="s">
        <v>1621</v>
      </c>
    </row>
    <row customHeight="1" ht="11.25">
      <c r="A448" s="6382" t="s">
        <v>2249</v>
      </c>
      <c r="B448" s="6382" t="s">
        <v>16</v>
      </c>
      <c r="C448" s="6382" t="s">
        <v>3036</v>
      </c>
      <c r="D448" s="6382" t="s">
        <v>3037</v>
      </c>
      <c r="E448" s="6382" t="s">
        <v>3038</v>
      </c>
      <c r="F448" s="6382" t="s">
        <v>2423</v>
      </c>
      <c r="G448" s="6382" t="s">
        <v>3039</v>
      </c>
      <c r="H448" s="6382" t="s">
        <v>28</v>
      </c>
      <c r="I448" s="6382" t="s">
        <v>1621</v>
      </c>
    </row>
    <row customHeight="1" ht="11.25">
      <c r="A449" s="6382" t="s">
        <v>2249</v>
      </c>
      <c r="B449" s="6382" t="s">
        <v>16</v>
      </c>
      <c r="C449" s="6382" t="s">
        <v>3040</v>
      </c>
      <c r="D449" s="6382" t="s">
        <v>3041</v>
      </c>
      <c r="E449" s="6382" t="s">
        <v>3042</v>
      </c>
      <c r="F449" s="6382" t="s">
        <v>2405</v>
      </c>
      <c r="G449" s="6382" t="s">
        <v>28</v>
      </c>
      <c r="H449" s="6382" t="s">
        <v>28</v>
      </c>
      <c r="I449" s="6382" t="s">
        <v>1621</v>
      </c>
    </row>
    <row customHeight="1" ht="11.25">
      <c r="A450" s="6382" t="s">
        <v>2249</v>
      </c>
      <c r="B450" s="6382" t="s">
        <v>16</v>
      </c>
      <c r="C450" s="6382" t="s">
        <v>3043</v>
      </c>
      <c r="D450" s="6382" t="s">
        <v>3044</v>
      </c>
      <c r="E450" s="6382" t="s">
        <v>3045</v>
      </c>
      <c r="F450" s="6382" t="s">
        <v>2289</v>
      </c>
      <c r="G450" s="6382" t="s">
        <v>28</v>
      </c>
      <c r="H450" s="6382" t="s">
        <v>28</v>
      </c>
      <c r="I450" s="6382" t="s">
        <v>1621</v>
      </c>
    </row>
    <row customHeight="1" ht="11.25">
      <c r="A451" s="6382" t="s">
        <v>2249</v>
      </c>
      <c r="B451" s="6382" t="s">
        <v>16</v>
      </c>
      <c r="C451" s="6382" t="s">
        <v>3046</v>
      </c>
      <c r="D451" s="6382" t="s">
        <v>3047</v>
      </c>
      <c r="E451" s="6382" t="s">
        <v>3048</v>
      </c>
      <c r="F451" s="6382" t="s">
        <v>2252</v>
      </c>
      <c r="G451" s="6382" t="s">
        <v>3049</v>
      </c>
      <c r="H451" s="6382" t="s">
        <v>28</v>
      </c>
      <c r="I451" s="6382" t="s">
        <v>1621</v>
      </c>
    </row>
    <row customHeight="1" ht="11.25">
      <c r="A452" s="6382" t="s">
        <v>2249</v>
      </c>
      <c r="B452" s="6382" t="s">
        <v>16</v>
      </c>
      <c r="C452" s="6382" t="s">
        <v>3050</v>
      </c>
      <c r="D452" s="6382" t="s">
        <v>3051</v>
      </c>
      <c r="E452" s="6382" t="s">
        <v>3052</v>
      </c>
      <c r="F452" s="6382" t="s">
        <v>2447</v>
      </c>
      <c r="G452" s="6382" t="s">
        <v>3053</v>
      </c>
      <c r="H452" s="6382" t="s">
        <v>28</v>
      </c>
      <c r="I452" s="6382" t="s">
        <v>1621</v>
      </c>
    </row>
    <row customHeight="1" ht="11.25">
      <c r="A453" s="6382" t="s">
        <v>2249</v>
      </c>
      <c r="B453" s="6382" t="s">
        <v>16</v>
      </c>
      <c r="C453" s="6382" t="s">
        <v>3054</v>
      </c>
      <c r="D453" s="6382" t="s">
        <v>3055</v>
      </c>
      <c r="E453" s="6382" t="s">
        <v>3056</v>
      </c>
      <c r="F453" s="6382" t="s">
        <v>2498</v>
      </c>
      <c r="G453" s="6382" t="s">
        <v>3057</v>
      </c>
      <c r="H453" s="6382" t="s">
        <v>28</v>
      </c>
      <c r="I453" s="6382" t="s">
        <v>1621</v>
      </c>
    </row>
    <row customHeight="1" ht="11.25">
      <c r="A454" s="6382" t="s">
        <v>2249</v>
      </c>
      <c r="B454" s="6382" t="s">
        <v>16</v>
      </c>
      <c r="C454" s="6382" t="s">
        <v>3058</v>
      </c>
      <c r="D454" s="6382" t="s">
        <v>3059</v>
      </c>
      <c r="E454" s="6382" t="s">
        <v>3060</v>
      </c>
      <c r="F454" s="6382" t="s">
        <v>52</v>
      </c>
      <c r="G454" s="6382" t="s">
        <v>3061</v>
      </c>
      <c r="H454" s="6382" t="s">
        <v>28</v>
      </c>
      <c r="I454" s="6382" t="s">
        <v>1621</v>
      </c>
    </row>
    <row customHeight="1" ht="11.25">
      <c r="A455" s="6382" t="s">
        <v>2249</v>
      </c>
      <c r="B455" s="6382" t="s">
        <v>16</v>
      </c>
      <c r="C455" s="6382" t="s">
        <v>3062</v>
      </c>
      <c r="D455" s="6382" t="s">
        <v>3063</v>
      </c>
      <c r="E455" s="6382" t="s">
        <v>3064</v>
      </c>
      <c r="F455" s="6382" t="s">
        <v>2590</v>
      </c>
      <c r="G455" s="6382" t="s">
        <v>3065</v>
      </c>
      <c r="H455" s="6382" t="s">
        <v>28</v>
      </c>
      <c r="I455" s="6382" t="s">
        <v>1621</v>
      </c>
    </row>
    <row customHeight="1" ht="11.25">
      <c r="A456" s="6382" t="s">
        <v>2249</v>
      </c>
      <c r="B456" s="6382" t="s">
        <v>16</v>
      </c>
      <c r="C456" s="6382" t="s">
        <v>3066</v>
      </c>
      <c r="D456" s="6382" t="s">
        <v>3067</v>
      </c>
      <c r="E456" s="6382" t="s">
        <v>3068</v>
      </c>
      <c r="F456" s="6382" t="s">
        <v>2758</v>
      </c>
      <c r="G456" s="6382" t="s">
        <v>3069</v>
      </c>
      <c r="H456" s="6382" t="s">
        <v>28</v>
      </c>
      <c r="I456" s="6382" t="s">
        <v>1621</v>
      </c>
    </row>
    <row customHeight="1" ht="11.25">
      <c r="A457" s="6382" t="s">
        <v>2249</v>
      </c>
      <c r="B457" s="6382" t="s">
        <v>16</v>
      </c>
      <c r="C457" s="6382" t="s">
        <v>2859</v>
      </c>
      <c r="D457" s="6382" t="s">
        <v>2860</v>
      </c>
      <c r="E457" s="6382" t="s">
        <v>2861</v>
      </c>
      <c r="F457" s="6382" t="s">
        <v>2485</v>
      </c>
      <c r="G457" s="6382" t="s">
        <v>28</v>
      </c>
      <c r="H457" s="6382" t="s">
        <v>28</v>
      </c>
      <c r="I457" s="6382" t="s">
        <v>1621</v>
      </c>
    </row>
    <row customHeight="1" ht="11.25">
      <c r="A458" s="6382" t="s">
        <v>2249</v>
      </c>
      <c r="B458" s="6382" t="s">
        <v>16</v>
      </c>
      <c r="C458" s="6382" t="s">
        <v>3070</v>
      </c>
      <c r="D458" s="6382" t="s">
        <v>3071</v>
      </c>
      <c r="E458" s="6382" t="s">
        <v>3072</v>
      </c>
      <c r="F458" s="6382" t="s">
        <v>2672</v>
      </c>
      <c r="G458" s="6382" t="s">
        <v>3073</v>
      </c>
      <c r="H458" s="6382" t="s">
        <v>28</v>
      </c>
      <c r="I458" s="6382" t="s">
        <v>1621</v>
      </c>
    </row>
    <row customHeight="1" ht="11.25">
      <c r="A459" s="6382" t="s">
        <v>2249</v>
      </c>
      <c r="B459" s="6382" t="s">
        <v>16</v>
      </c>
      <c r="C459" s="6382" t="s">
        <v>3074</v>
      </c>
      <c r="D459" s="6382" t="s">
        <v>3075</v>
      </c>
      <c r="E459" s="6382" t="s">
        <v>3076</v>
      </c>
      <c r="F459" s="6382" t="s">
        <v>2310</v>
      </c>
      <c r="G459" s="6382" t="s">
        <v>28</v>
      </c>
      <c r="H459" s="6382" t="s">
        <v>28</v>
      </c>
      <c r="I459" s="6382" t="s">
        <v>1621</v>
      </c>
    </row>
    <row customHeight="1" ht="11.25">
      <c r="A460" s="6382" t="s">
        <v>2249</v>
      </c>
      <c r="B460" s="6382" t="s">
        <v>16</v>
      </c>
      <c r="C460" s="6382" t="s">
        <v>3077</v>
      </c>
      <c r="D460" s="6382" t="s">
        <v>3078</v>
      </c>
      <c r="E460" s="6382" t="s">
        <v>3079</v>
      </c>
      <c r="F460" s="6382" t="s">
        <v>2256</v>
      </c>
      <c r="G460" s="6382" t="s">
        <v>3080</v>
      </c>
      <c r="H460" s="6382" t="s">
        <v>28</v>
      </c>
      <c r="I460" s="6382" t="s">
        <v>1621</v>
      </c>
    </row>
    <row customHeight="1" ht="11.25">
      <c r="A461" s="6382" t="s">
        <v>2249</v>
      </c>
      <c r="B461" s="6382" t="s">
        <v>16</v>
      </c>
      <c r="C461" s="6382" t="s">
        <v>3081</v>
      </c>
      <c r="D461" s="6382" t="s">
        <v>3082</v>
      </c>
      <c r="E461" s="6382" t="s">
        <v>3083</v>
      </c>
      <c r="F461" s="6382" t="s">
        <v>2569</v>
      </c>
      <c r="G461" s="6382" t="s">
        <v>28</v>
      </c>
      <c r="H461" s="6382" t="s">
        <v>28</v>
      </c>
      <c r="I461" s="6382" t="s">
        <v>1621</v>
      </c>
    </row>
    <row customHeight="1" ht="11.25">
      <c r="A462" s="6382" t="s">
        <v>2249</v>
      </c>
      <c r="B462" s="6382" t="s">
        <v>16</v>
      </c>
      <c r="C462" s="6382" t="s">
        <v>3084</v>
      </c>
      <c r="D462" s="6382" t="s">
        <v>3085</v>
      </c>
      <c r="E462" s="6382" t="s">
        <v>3086</v>
      </c>
      <c r="F462" s="6382" t="s">
        <v>2405</v>
      </c>
      <c r="G462" s="6382" t="s">
        <v>3087</v>
      </c>
      <c r="H462" s="6382" t="s">
        <v>28</v>
      </c>
      <c r="I462" s="6382" t="s">
        <v>1621</v>
      </c>
    </row>
    <row customHeight="1" ht="11.25">
      <c r="A463" s="6382" t="s">
        <v>2249</v>
      </c>
      <c r="B463" s="6382" t="s">
        <v>16</v>
      </c>
      <c r="C463" s="6382" t="s">
        <v>3088</v>
      </c>
      <c r="D463" s="6382" t="s">
        <v>3089</v>
      </c>
      <c r="E463" s="6382" t="s">
        <v>3090</v>
      </c>
      <c r="F463" s="6382" t="s">
        <v>2515</v>
      </c>
      <c r="G463" s="6382" t="s">
        <v>28</v>
      </c>
      <c r="H463" s="6382" t="s">
        <v>28</v>
      </c>
      <c r="I463" s="6382" t="s">
        <v>1621</v>
      </c>
    </row>
    <row customHeight="1" ht="11.25">
      <c r="A464" s="6382" t="s">
        <v>2249</v>
      </c>
      <c r="B464" s="6382" t="s">
        <v>16</v>
      </c>
      <c r="C464" s="6382" t="s">
        <v>3091</v>
      </c>
      <c r="D464" s="6382" t="s">
        <v>3092</v>
      </c>
      <c r="E464" s="6382" t="s">
        <v>3093</v>
      </c>
      <c r="F464" s="6382" t="s">
        <v>2256</v>
      </c>
      <c r="G464" s="6382" t="s">
        <v>3094</v>
      </c>
      <c r="H464" s="6382" t="s">
        <v>28</v>
      </c>
      <c r="I464" s="6382" t="s">
        <v>1621</v>
      </c>
    </row>
    <row customHeight="1" ht="11.25">
      <c r="A465" s="6382" t="s">
        <v>2249</v>
      </c>
      <c r="B465" s="6382" t="s">
        <v>16</v>
      </c>
      <c r="C465" s="6382" t="s">
        <v>3095</v>
      </c>
      <c r="D465" s="6382" t="s">
        <v>3096</v>
      </c>
      <c r="E465" s="6382" t="s">
        <v>3097</v>
      </c>
      <c r="F465" s="6382" t="s">
        <v>2252</v>
      </c>
      <c r="G465" s="6382" t="s">
        <v>3098</v>
      </c>
      <c r="H465" s="6382" t="s">
        <v>28</v>
      </c>
      <c r="I465" s="6382" t="s">
        <v>1621</v>
      </c>
    </row>
    <row customHeight="1" ht="11.25">
      <c r="A466" s="6382" t="s">
        <v>2249</v>
      </c>
      <c r="B466" s="6382" t="s">
        <v>16</v>
      </c>
      <c r="C466" s="6382" t="s">
        <v>3099</v>
      </c>
      <c r="D466" s="6382" t="s">
        <v>3100</v>
      </c>
      <c r="E466" s="6382" t="s">
        <v>3101</v>
      </c>
      <c r="F466" s="6382" t="s">
        <v>2355</v>
      </c>
      <c r="G466" s="6382" t="s">
        <v>28</v>
      </c>
      <c r="H466" s="6382" t="s">
        <v>28</v>
      </c>
      <c r="I466" s="6382" t="s">
        <v>1621</v>
      </c>
    </row>
    <row customHeight="1" ht="11.25">
      <c r="A467" s="6382" t="s">
        <v>2249</v>
      </c>
      <c r="B467" s="6382" t="s">
        <v>16</v>
      </c>
      <c r="C467" s="6382" t="s">
        <v>3102</v>
      </c>
      <c r="D467" s="6382" t="s">
        <v>3103</v>
      </c>
      <c r="E467" s="6382" t="s">
        <v>3104</v>
      </c>
      <c r="F467" s="6382" t="s">
        <v>2281</v>
      </c>
      <c r="G467" s="6382" t="s">
        <v>3105</v>
      </c>
      <c r="H467" s="6382" t="s">
        <v>28</v>
      </c>
      <c r="I467" s="6382" t="s">
        <v>1621</v>
      </c>
    </row>
    <row customHeight="1" ht="11.25">
      <c r="A468" s="6382" t="s">
        <v>2249</v>
      </c>
      <c r="B468" s="6382" t="s">
        <v>16</v>
      </c>
      <c r="C468" s="6382" t="s">
        <v>2904</v>
      </c>
      <c r="D468" s="6382" t="s">
        <v>2905</v>
      </c>
      <c r="E468" s="6382" t="s">
        <v>2906</v>
      </c>
      <c r="F468" s="6382" t="s">
        <v>2433</v>
      </c>
      <c r="G468" s="6382" t="s">
        <v>28</v>
      </c>
      <c r="H468" s="6382" t="s">
        <v>28</v>
      </c>
      <c r="I468" s="6382" t="s">
        <v>1621</v>
      </c>
    </row>
    <row customHeight="1" ht="11.25">
      <c r="A469" s="6382" t="s">
        <v>2249</v>
      </c>
      <c r="B469" s="6382" t="s">
        <v>16</v>
      </c>
      <c r="C469" s="6382" t="s">
        <v>3106</v>
      </c>
      <c r="D469" s="6382" t="s">
        <v>3107</v>
      </c>
      <c r="E469" s="6382" t="s">
        <v>3108</v>
      </c>
      <c r="F469" s="6382" t="s">
        <v>2252</v>
      </c>
      <c r="G469" s="6382" t="s">
        <v>3109</v>
      </c>
      <c r="H469" s="6382" t="s">
        <v>28</v>
      </c>
      <c r="I469" s="6382" t="s">
        <v>1621</v>
      </c>
    </row>
    <row customHeight="1" ht="11.25">
      <c r="A470" s="6382" t="s">
        <v>2249</v>
      </c>
      <c r="B470" s="6382" t="s">
        <v>16</v>
      </c>
      <c r="C470" s="6382" t="s">
        <v>3110</v>
      </c>
      <c r="D470" s="6382" t="s">
        <v>3111</v>
      </c>
      <c r="E470" s="6382" t="s">
        <v>3112</v>
      </c>
      <c r="F470" s="6382" t="s">
        <v>2454</v>
      </c>
      <c r="G470" s="6382" t="s">
        <v>3113</v>
      </c>
      <c r="H470" s="6382" t="s">
        <v>28</v>
      </c>
      <c r="I470" s="6382" t="s">
        <v>1621</v>
      </c>
    </row>
    <row customHeight="1" ht="11.25">
      <c r="A471" s="6382" t="s">
        <v>2249</v>
      </c>
      <c r="B471" s="6382" t="s">
        <v>16</v>
      </c>
      <c r="C471" s="6382" t="s">
        <v>3114</v>
      </c>
      <c r="D471" s="6382" t="s">
        <v>3115</v>
      </c>
      <c r="E471" s="6382" t="s">
        <v>3116</v>
      </c>
      <c r="F471" s="6382" t="s">
        <v>2498</v>
      </c>
      <c r="G471" s="6382" t="s">
        <v>3117</v>
      </c>
      <c r="H471" s="6382" t="s">
        <v>28</v>
      </c>
      <c r="I471" s="6382" t="s">
        <v>1621</v>
      </c>
    </row>
    <row customHeight="1" ht="11.25">
      <c r="A472" s="6382" t="s">
        <v>2249</v>
      </c>
      <c r="B472" s="6382" t="s">
        <v>16</v>
      </c>
      <c r="C472" s="6382" t="s">
        <v>3118</v>
      </c>
      <c r="D472" s="6382" t="s">
        <v>3119</v>
      </c>
      <c r="E472" s="6382" t="s">
        <v>3120</v>
      </c>
      <c r="F472" s="6382" t="s">
        <v>52</v>
      </c>
      <c r="G472" s="6382" t="s">
        <v>3121</v>
      </c>
      <c r="H472" s="6382" t="s">
        <v>28</v>
      </c>
      <c r="I472" s="6382" t="s">
        <v>1621</v>
      </c>
    </row>
    <row customHeight="1" ht="11.25">
      <c r="A473" s="6382" t="s">
        <v>2249</v>
      </c>
      <c r="B473" s="6382" t="s">
        <v>16</v>
      </c>
      <c r="C473" s="6382" t="s">
        <v>3122</v>
      </c>
      <c r="D473" s="6382" t="s">
        <v>3123</v>
      </c>
      <c r="E473" s="6382" t="s">
        <v>3124</v>
      </c>
      <c r="F473" s="6382" t="s">
        <v>2384</v>
      </c>
      <c r="G473" s="6382" t="s">
        <v>3125</v>
      </c>
      <c r="H473" s="6382" t="s">
        <v>28</v>
      </c>
      <c r="I473" s="6382" t="s">
        <v>1621</v>
      </c>
    </row>
    <row customHeight="1" ht="11.25">
      <c r="A474" s="6382" t="s">
        <v>2249</v>
      </c>
      <c r="B474" s="6382" t="s">
        <v>16</v>
      </c>
      <c r="C474" s="6382" t="s">
        <v>3126</v>
      </c>
      <c r="D474" s="6382" t="s">
        <v>3127</v>
      </c>
      <c r="E474" s="6382" t="s">
        <v>3128</v>
      </c>
      <c r="F474" s="6382" t="s">
        <v>2447</v>
      </c>
      <c r="G474" s="6382" t="s">
        <v>3129</v>
      </c>
      <c r="H474" s="6382" t="s">
        <v>28</v>
      </c>
      <c r="I474" s="6382" t="s">
        <v>1621</v>
      </c>
    </row>
    <row customHeight="1" ht="11.25">
      <c r="A475" s="6382" t="s">
        <v>2249</v>
      </c>
      <c r="B475" s="6382" t="s">
        <v>16</v>
      </c>
      <c r="C475" s="6382" t="s">
        <v>3130</v>
      </c>
      <c r="D475" s="6382" t="s">
        <v>3131</v>
      </c>
      <c r="E475" s="6382" t="s">
        <v>3132</v>
      </c>
      <c r="F475" s="6382" t="s">
        <v>2301</v>
      </c>
      <c r="G475" s="6382" t="s">
        <v>3133</v>
      </c>
      <c r="H475" s="6382" t="s">
        <v>28</v>
      </c>
      <c r="I475" s="6382" t="s">
        <v>1621</v>
      </c>
    </row>
    <row customHeight="1" ht="11.25">
      <c r="A476" s="6382" t="s">
        <v>2249</v>
      </c>
      <c r="B476" s="6382" t="s">
        <v>16</v>
      </c>
      <c r="C476" s="6382" t="s">
        <v>3134</v>
      </c>
      <c r="D476" s="6382" t="s">
        <v>3135</v>
      </c>
      <c r="E476" s="6382" t="s">
        <v>3136</v>
      </c>
      <c r="F476" s="6382" t="s">
        <v>52</v>
      </c>
      <c r="G476" s="6382" t="s">
        <v>28</v>
      </c>
      <c r="H476" s="6382" t="s">
        <v>28</v>
      </c>
      <c r="I476" s="6382" t="s">
        <v>1621</v>
      </c>
    </row>
    <row customHeight="1" ht="11.25">
      <c r="A477" s="6382" t="s">
        <v>2249</v>
      </c>
      <c r="B477" s="6382" t="s">
        <v>16</v>
      </c>
      <c r="C477" s="6382" t="s">
        <v>3137</v>
      </c>
      <c r="D477" s="6382" t="s">
        <v>3138</v>
      </c>
      <c r="E477" s="6382" t="s">
        <v>3139</v>
      </c>
      <c r="F477" s="6382" t="s">
        <v>2447</v>
      </c>
      <c r="G477" s="6382" t="s">
        <v>3140</v>
      </c>
      <c r="H477" s="6382" t="s">
        <v>28</v>
      </c>
      <c r="I477" s="6382" t="s">
        <v>1621</v>
      </c>
    </row>
    <row customHeight="1" ht="11.25">
      <c r="A478" s="6382" t="s">
        <v>2249</v>
      </c>
      <c r="B478" s="6382" t="s">
        <v>16</v>
      </c>
      <c r="C478" s="6382" t="s">
        <v>3141</v>
      </c>
      <c r="D478" s="6382" t="s">
        <v>3142</v>
      </c>
      <c r="E478" s="6382" t="s">
        <v>3143</v>
      </c>
      <c r="F478" s="6382" t="s">
        <v>2289</v>
      </c>
      <c r="G478" s="6382" t="s">
        <v>3144</v>
      </c>
      <c r="H478" s="6382" t="s">
        <v>28</v>
      </c>
      <c r="I478" s="6382" t="s">
        <v>1621</v>
      </c>
    </row>
    <row customHeight="1" ht="11.25">
      <c r="A479" s="6382" t="s">
        <v>2249</v>
      </c>
      <c r="B479" s="6382" t="s">
        <v>16</v>
      </c>
      <c r="C479" s="6382" t="s">
        <v>3145</v>
      </c>
      <c r="D479" s="6382" t="s">
        <v>3146</v>
      </c>
      <c r="E479" s="6382" t="s">
        <v>3147</v>
      </c>
      <c r="F479" s="6382" t="s">
        <v>2256</v>
      </c>
      <c r="G479" s="6382" t="s">
        <v>3148</v>
      </c>
      <c r="H479" s="6382" t="s">
        <v>28</v>
      </c>
      <c r="I479" s="6382" t="s">
        <v>1621</v>
      </c>
    </row>
    <row customHeight="1" ht="11.25">
      <c r="A480" s="6382" t="s">
        <v>2249</v>
      </c>
      <c r="B480" s="6382" t="s">
        <v>16</v>
      </c>
      <c r="C480" s="6382" t="s">
        <v>3149</v>
      </c>
      <c r="D480" s="6382" t="s">
        <v>3150</v>
      </c>
      <c r="E480" s="6382" t="s">
        <v>3151</v>
      </c>
      <c r="F480" s="6382" t="s">
        <v>2256</v>
      </c>
      <c r="G480" s="6382" t="s">
        <v>3152</v>
      </c>
      <c r="H480" s="6382" t="s">
        <v>28</v>
      </c>
      <c r="I480" s="6382" t="s">
        <v>1621</v>
      </c>
    </row>
    <row customHeight="1" ht="11.25">
      <c r="A481" s="6382" t="s">
        <v>2249</v>
      </c>
      <c r="B481" s="6382" t="s">
        <v>16</v>
      </c>
      <c r="C481" s="6382" t="s">
        <v>3153</v>
      </c>
      <c r="D481" s="6382" t="s">
        <v>3154</v>
      </c>
      <c r="E481" s="6382" t="s">
        <v>3155</v>
      </c>
      <c r="F481" s="6382" t="s">
        <v>2376</v>
      </c>
      <c r="G481" s="6382" t="s">
        <v>3156</v>
      </c>
      <c r="H481" s="6382" t="s">
        <v>28</v>
      </c>
      <c r="I481" s="6382" t="s">
        <v>1621</v>
      </c>
    </row>
    <row customHeight="1" ht="11.25">
      <c r="A482" s="6382" t="s">
        <v>2249</v>
      </c>
      <c r="B482" s="6382" t="s">
        <v>16</v>
      </c>
      <c r="C482" s="6382" t="s">
        <v>3157</v>
      </c>
      <c r="D482" s="6382" t="s">
        <v>3158</v>
      </c>
      <c r="E482" s="6382" t="s">
        <v>3159</v>
      </c>
      <c r="F482" s="6382" t="s">
        <v>2952</v>
      </c>
      <c r="G482" s="6382" t="s">
        <v>3160</v>
      </c>
      <c r="H482" s="6382" t="s">
        <v>28</v>
      </c>
      <c r="I482" s="6382" t="s">
        <v>1621</v>
      </c>
    </row>
    <row customHeight="1" ht="11.25">
      <c r="A483" s="6382" t="s">
        <v>2249</v>
      </c>
      <c r="B483" s="6382" t="s">
        <v>16</v>
      </c>
      <c r="C483" s="6382" t="s">
        <v>3161</v>
      </c>
      <c r="D483" s="6382" t="s">
        <v>3162</v>
      </c>
      <c r="E483" s="6382" t="s">
        <v>3163</v>
      </c>
      <c r="F483" s="6382" t="s">
        <v>2310</v>
      </c>
      <c r="G483" s="6382" t="s">
        <v>28</v>
      </c>
      <c r="H483" s="6382" t="s">
        <v>28</v>
      </c>
      <c r="I483" s="6382" t="s">
        <v>1621</v>
      </c>
    </row>
    <row customHeight="1" ht="11.25">
      <c r="A484" s="6382" t="s">
        <v>2249</v>
      </c>
      <c r="B484" s="6382" t="s">
        <v>16</v>
      </c>
      <c r="C484" s="6382" t="s">
        <v>3164</v>
      </c>
      <c r="D484" s="6382" t="s">
        <v>3165</v>
      </c>
      <c r="E484" s="6382" t="s">
        <v>3166</v>
      </c>
      <c r="F484" s="6382" t="s">
        <v>2423</v>
      </c>
      <c r="G484" s="6382" t="s">
        <v>28</v>
      </c>
      <c r="H484" s="6382" t="s">
        <v>28</v>
      </c>
      <c r="I484" s="6382" t="s">
        <v>1621</v>
      </c>
    </row>
    <row customHeight="1" ht="11.25">
      <c r="A485" s="6382" t="s">
        <v>2249</v>
      </c>
      <c r="B485" s="6382" t="s">
        <v>16</v>
      </c>
      <c r="C485" s="6382" t="s">
        <v>3167</v>
      </c>
      <c r="D485" s="6382" t="s">
        <v>3168</v>
      </c>
      <c r="E485" s="6382" t="s">
        <v>3169</v>
      </c>
      <c r="F485" s="6382" t="s">
        <v>2256</v>
      </c>
      <c r="G485" s="6382" t="s">
        <v>28</v>
      </c>
      <c r="H485" s="6382" t="s">
        <v>28</v>
      </c>
      <c r="I485" s="6382" t="s">
        <v>1621</v>
      </c>
    </row>
    <row customHeight="1" ht="11.25">
      <c r="A486" s="6382" t="s">
        <v>2249</v>
      </c>
      <c r="B486" s="6382" t="s">
        <v>16</v>
      </c>
      <c r="C486" s="6382" t="s">
        <v>3170</v>
      </c>
      <c r="D486" s="6382" t="s">
        <v>3171</v>
      </c>
      <c r="E486" s="6382" t="s">
        <v>3172</v>
      </c>
      <c r="F486" s="6382" t="s">
        <v>2646</v>
      </c>
      <c r="G486" s="6382" t="s">
        <v>28</v>
      </c>
      <c r="H486" s="6382" t="s">
        <v>28</v>
      </c>
      <c r="I486" s="638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636A6-FCD5-2C89-5B98-BB89E98A9A6E}" mc:Ignorable="x14ac xr xr2 xr3">
  <sheetPr>
    <tabColor rgb="FFFFCC99"/>
  </sheetPr>
  <dimension ref="A1:G107"/>
  <sheetViews>
    <sheetView topLeftCell="A1" showGridLines="0" workbookViewId="0">
      <selection activeCell="A1" sqref="A1"/>
    </sheetView>
  </sheetViews>
  <sheetFormatPr customHeight="1" defaultRowHeight="11.25"/>
  <cols>
    <col min="1" max="1" style="24495" width="9.140625"/>
  </cols>
  <sheetData>
    <row customHeight="1" ht="11.25">
      <c r="A1" s="771" t="s">
        <v>3173</v>
      </c>
      <c r="B1" s="460" t="s">
        <v>3174</v>
      </c>
      <c r="C1" s="460" t="s">
        <v>3175</v>
      </c>
      <c r="D1" s="460" t="s">
        <v>3176</v>
      </c>
      <c r="E1" s="347" t="s">
        <v>3177</v>
      </c>
      <c r="F1" s="347" t="s">
        <v>3178</v>
      </c>
      <c r="G1" s="347" t="s">
        <v>3179</v>
      </c>
    </row>
    <row customHeight="1" ht="11.25">
      <c r="A2" s="771" t="s">
        <v>16</v>
      </c>
      <c r="B2" s="0" t="s">
        <v>3180</v>
      </c>
      <c r="C2" s="0" t="s">
        <v>3181</v>
      </c>
      <c r="D2" s="0" t="s">
        <v>3180</v>
      </c>
      <c r="E2" s="0" t="s">
        <v>3181</v>
      </c>
      <c r="F2" s="0" t="s">
        <v>3182</v>
      </c>
      <c r="G2" s="0" t="s">
        <v>110</v>
      </c>
    </row>
    <row customHeight="1" ht="11.25">
      <c r="A3" s="771" t="s">
        <v>16</v>
      </c>
      <c r="B3" s="0" t="s">
        <v>3183</v>
      </c>
      <c r="C3" s="0" t="s">
        <v>3184</v>
      </c>
      <c r="D3" s="0" t="s">
        <v>3183</v>
      </c>
      <c r="E3" s="0" t="s">
        <v>3184</v>
      </c>
      <c r="F3" s="0" t="s">
        <v>3185</v>
      </c>
      <c r="G3" s="0" t="s">
        <v>111</v>
      </c>
    </row>
    <row customHeight="1" ht="11.25">
      <c r="A4" s="771" t="s">
        <v>16</v>
      </c>
      <c r="B4" s="0" t="s">
        <v>3186</v>
      </c>
      <c r="C4" s="0" t="s">
        <v>3187</v>
      </c>
      <c r="D4" s="0" t="s">
        <v>3186</v>
      </c>
      <c r="E4" s="0" t="s">
        <v>3187</v>
      </c>
      <c r="F4" s="0" t="s">
        <v>3185</v>
      </c>
      <c r="G4" s="0" t="s">
        <v>91</v>
      </c>
    </row>
    <row customHeight="1" ht="11.25">
      <c r="A5" s="771" t="s">
        <v>16</v>
      </c>
      <c r="B5" s="0" t="s">
        <v>3188</v>
      </c>
      <c r="C5" s="0" t="s">
        <v>3189</v>
      </c>
      <c r="D5" s="0" t="s">
        <v>3188</v>
      </c>
      <c r="E5" s="0" t="s">
        <v>3189</v>
      </c>
      <c r="F5" s="0" t="s">
        <v>3185</v>
      </c>
      <c r="G5" s="0" t="s">
        <v>92</v>
      </c>
    </row>
    <row customHeight="1" ht="11.25">
      <c r="A6" s="771" t="s">
        <v>16</v>
      </c>
      <c r="B6" s="0" t="s">
        <v>3190</v>
      </c>
      <c r="C6" s="0" t="s">
        <v>3191</v>
      </c>
      <c r="D6" s="0" t="s">
        <v>3190</v>
      </c>
      <c r="E6" s="0" t="s">
        <v>3191</v>
      </c>
      <c r="F6" s="0" t="s">
        <v>3185</v>
      </c>
      <c r="G6" s="0" t="s">
        <v>112</v>
      </c>
    </row>
    <row customHeight="1" ht="11.25">
      <c r="A7" s="771" t="s">
        <v>16</v>
      </c>
      <c r="B7" s="0" t="s">
        <v>3192</v>
      </c>
      <c r="C7" s="0" t="s">
        <v>3193</v>
      </c>
      <c r="D7" s="0" t="s">
        <v>3192</v>
      </c>
      <c r="E7" s="0" t="s">
        <v>3193</v>
      </c>
      <c r="F7" s="0" t="s">
        <v>3185</v>
      </c>
      <c r="G7" s="0" t="s">
        <v>93</v>
      </c>
    </row>
    <row customHeight="1" ht="11.25">
      <c r="A8" s="771" t="s">
        <v>16</v>
      </c>
      <c r="B8" s="0" t="s">
        <v>3194</v>
      </c>
      <c r="C8" s="0" t="s">
        <v>3195</v>
      </c>
      <c r="D8" s="0" t="s">
        <v>3194</v>
      </c>
      <c r="E8" s="0" t="s">
        <v>3195</v>
      </c>
      <c r="F8" s="0" t="s">
        <v>3185</v>
      </c>
      <c r="G8" s="0" t="s">
        <v>94</v>
      </c>
    </row>
    <row customHeight="1" ht="11.25">
      <c r="A9" s="771" t="s">
        <v>16</v>
      </c>
      <c r="B9" s="0" t="s">
        <v>3196</v>
      </c>
      <c r="C9" s="0" t="s">
        <v>3197</v>
      </c>
      <c r="D9" s="0" t="s">
        <v>3198</v>
      </c>
      <c r="E9" s="0" t="s">
        <v>3199</v>
      </c>
      <c r="F9" s="0" t="s">
        <v>3200</v>
      </c>
      <c r="G9" s="0" t="s">
        <v>113</v>
      </c>
    </row>
    <row customHeight="1" ht="11.25">
      <c r="A10" s="771" t="s">
        <v>16</v>
      </c>
      <c r="B10" s="0" t="s">
        <v>3196</v>
      </c>
      <c r="C10" s="0" t="s">
        <v>3197</v>
      </c>
      <c r="D10" s="0" t="s">
        <v>3196</v>
      </c>
      <c r="E10" s="0" t="s">
        <v>3197</v>
      </c>
      <c r="F10" s="0" t="s">
        <v>3201</v>
      </c>
      <c r="G10" s="0" t="s">
        <v>149</v>
      </c>
    </row>
    <row customHeight="1" ht="11.25">
      <c r="A11" s="771" t="s">
        <v>16</v>
      </c>
      <c r="B11" s="0" t="s">
        <v>3196</v>
      </c>
      <c r="C11" s="0" t="s">
        <v>3197</v>
      </c>
      <c r="D11" s="0" t="s">
        <v>3202</v>
      </c>
      <c r="E11" s="0" t="s">
        <v>3203</v>
      </c>
      <c r="F11" s="0" t="s">
        <v>3200</v>
      </c>
      <c r="G11" s="0" t="s">
        <v>150</v>
      </c>
    </row>
    <row customHeight="1" ht="11.25">
      <c r="A12" s="771" t="s">
        <v>16</v>
      </c>
      <c r="B12" s="0" t="s">
        <v>3196</v>
      </c>
      <c r="C12" s="0" t="s">
        <v>3197</v>
      </c>
      <c r="D12" s="0" t="s">
        <v>3204</v>
      </c>
      <c r="E12" s="0" t="s">
        <v>3205</v>
      </c>
      <c r="F12" s="0" t="s">
        <v>3206</v>
      </c>
      <c r="G12" s="0" t="s">
        <v>151</v>
      </c>
    </row>
    <row customHeight="1" ht="11.25">
      <c r="A13" s="771" t="s">
        <v>16</v>
      </c>
      <c r="B13" s="0" t="s">
        <v>3196</v>
      </c>
      <c r="C13" s="0" t="s">
        <v>3197</v>
      </c>
      <c r="D13" s="0" t="s">
        <v>3207</v>
      </c>
      <c r="E13" s="0" t="s">
        <v>3208</v>
      </c>
      <c r="F13" s="0" t="s">
        <v>3200</v>
      </c>
      <c r="G13" s="0" t="s">
        <v>152</v>
      </c>
    </row>
    <row customHeight="1" ht="11.25">
      <c r="A14" s="771" t="s">
        <v>16</v>
      </c>
      <c r="B14" s="0" t="s">
        <v>3196</v>
      </c>
      <c r="C14" s="0" t="s">
        <v>3197</v>
      </c>
      <c r="D14" s="0" t="s">
        <v>3209</v>
      </c>
      <c r="E14" s="0" t="s">
        <v>3210</v>
      </c>
      <c r="F14" s="0" t="s">
        <v>3200</v>
      </c>
      <c r="G14" s="0" t="s">
        <v>153</v>
      </c>
    </row>
    <row customHeight="1" ht="11.25">
      <c r="A15" s="771" t="s">
        <v>16</v>
      </c>
      <c r="B15" s="0" t="s">
        <v>3196</v>
      </c>
      <c r="C15" s="0" t="s">
        <v>3197</v>
      </c>
      <c r="D15" s="0" t="s">
        <v>3211</v>
      </c>
      <c r="E15" s="0" t="s">
        <v>3212</v>
      </c>
      <c r="F15" s="0" t="s">
        <v>3200</v>
      </c>
      <c r="G15" s="0" t="s">
        <v>154</v>
      </c>
    </row>
    <row customHeight="1" ht="11.25">
      <c r="A16" s="771" t="s">
        <v>16</v>
      </c>
      <c r="B16" s="0" t="s">
        <v>3196</v>
      </c>
      <c r="C16" s="0" t="s">
        <v>3197</v>
      </c>
      <c r="D16" s="0" t="s">
        <v>3213</v>
      </c>
      <c r="E16" s="0" t="s">
        <v>3214</v>
      </c>
      <c r="F16" s="0" t="s">
        <v>3200</v>
      </c>
      <c r="G16" s="0" t="s">
        <v>1465</v>
      </c>
    </row>
    <row customHeight="1" ht="11.25">
      <c r="A17" s="771" t="s">
        <v>16</v>
      </c>
      <c r="B17" s="0" t="s">
        <v>3215</v>
      </c>
      <c r="C17" s="0" t="s">
        <v>3216</v>
      </c>
      <c r="D17" s="0" t="s">
        <v>3215</v>
      </c>
      <c r="E17" s="0" t="s">
        <v>3216</v>
      </c>
      <c r="F17" s="0" t="s">
        <v>3182</v>
      </c>
      <c r="G17" s="0" t="s">
        <v>1471</v>
      </c>
    </row>
    <row customHeight="1" ht="11.25">
      <c r="A18" s="771" t="s">
        <v>16</v>
      </c>
      <c r="B18" s="0" t="s">
        <v>3217</v>
      </c>
      <c r="C18" s="0" t="s">
        <v>3218</v>
      </c>
      <c r="D18" s="0" t="s">
        <v>3219</v>
      </c>
      <c r="E18" s="0" t="s">
        <v>3220</v>
      </c>
      <c r="F18" s="0" t="s">
        <v>3200</v>
      </c>
      <c r="G18" s="0" t="s">
        <v>1483</v>
      </c>
    </row>
    <row customHeight="1" ht="11.25">
      <c r="A19" s="771" t="s">
        <v>16</v>
      </c>
      <c r="B19" s="0" t="s">
        <v>3217</v>
      </c>
      <c r="C19" s="0" t="s">
        <v>3218</v>
      </c>
      <c r="D19" s="0" t="s">
        <v>3221</v>
      </c>
      <c r="E19" s="0" t="s">
        <v>3222</v>
      </c>
      <c r="F19" s="0" t="s">
        <v>3223</v>
      </c>
      <c r="G19" s="0" t="s">
        <v>1497</v>
      </c>
    </row>
    <row customHeight="1" ht="11.25">
      <c r="A20" s="771" t="s">
        <v>16</v>
      </c>
      <c r="B20" s="0" t="s">
        <v>3217</v>
      </c>
      <c r="C20" s="0" t="s">
        <v>3218</v>
      </c>
      <c r="D20" s="0" t="s">
        <v>3217</v>
      </c>
      <c r="E20" s="0" t="s">
        <v>3218</v>
      </c>
      <c r="F20" s="0" t="s">
        <v>3201</v>
      </c>
      <c r="G20" s="0" t="s">
        <v>1509</v>
      </c>
    </row>
    <row customHeight="1" ht="11.25">
      <c r="A21" s="771" t="s">
        <v>16</v>
      </c>
      <c r="B21" s="0" t="s">
        <v>3217</v>
      </c>
      <c r="C21" s="0" t="s">
        <v>3218</v>
      </c>
      <c r="D21" s="0" t="s">
        <v>3224</v>
      </c>
      <c r="E21" s="0" t="s">
        <v>3225</v>
      </c>
      <c r="F21" s="0" t="s">
        <v>3223</v>
      </c>
      <c r="G21" s="0" t="s">
        <v>1518</v>
      </c>
    </row>
    <row customHeight="1" ht="11.25">
      <c r="A22" s="771" t="s">
        <v>16</v>
      </c>
      <c r="B22" s="0" t="s">
        <v>3217</v>
      </c>
      <c r="C22" s="0" t="s">
        <v>3218</v>
      </c>
      <c r="D22" s="0" t="s">
        <v>3226</v>
      </c>
      <c r="E22" s="0" t="s">
        <v>3227</v>
      </c>
      <c r="F22" s="0" t="s">
        <v>3200</v>
      </c>
      <c r="G22" s="0" t="s">
        <v>1534</v>
      </c>
    </row>
    <row customHeight="1" ht="11.25">
      <c r="A23" s="771" t="s">
        <v>16</v>
      </c>
      <c r="B23" s="0" t="s">
        <v>3217</v>
      </c>
      <c r="C23" s="0" t="s">
        <v>3218</v>
      </c>
      <c r="D23" s="0" t="s">
        <v>3228</v>
      </c>
      <c r="E23" s="0" t="s">
        <v>3229</v>
      </c>
      <c r="F23" s="0" t="s">
        <v>3206</v>
      </c>
      <c r="G23" s="0" t="s">
        <v>1541</v>
      </c>
    </row>
    <row customHeight="1" ht="11.25">
      <c r="A24" s="771" t="s">
        <v>16</v>
      </c>
      <c r="B24" s="0" t="s">
        <v>3217</v>
      </c>
      <c r="C24" s="0" t="s">
        <v>3218</v>
      </c>
      <c r="D24" s="0" t="s">
        <v>3230</v>
      </c>
      <c r="E24" s="0" t="s">
        <v>3231</v>
      </c>
      <c r="F24" s="0" t="s">
        <v>3200</v>
      </c>
      <c r="G24" s="0" t="s">
        <v>1549</v>
      </c>
    </row>
    <row customHeight="1" ht="11.25">
      <c r="A25" s="771" t="s">
        <v>16</v>
      </c>
      <c r="B25" s="0" t="s">
        <v>3217</v>
      </c>
      <c r="C25" s="0" t="s">
        <v>3218</v>
      </c>
      <c r="D25" s="0" t="s">
        <v>3232</v>
      </c>
      <c r="E25" s="0" t="s">
        <v>3233</v>
      </c>
      <c r="F25" s="0" t="s">
        <v>3200</v>
      </c>
      <c r="G25" s="0" t="s">
        <v>1556</v>
      </c>
    </row>
    <row customHeight="1" ht="11.25">
      <c r="A26" s="771" t="s">
        <v>16</v>
      </c>
      <c r="B26" s="0" t="s">
        <v>3234</v>
      </c>
      <c r="C26" s="0" t="s">
        <v>3235</v>
      </c>
      <c r="D26" s="0" t="s">
        <v>3234</v>
      </c>
      <c r="E26" s="0" t="s">
        <v>3235</v>
      </c>
      <c r="F26" s="0" t="s">
        <v>3182</v>
      </c>
      <c r="G26" s="0" t="s">
        <v>1560</v>
      </c>
    </row>
    <row customHeight="1" ht="11.25">
      <c r="A27" s="771" t="s">
        <v>16</v>
      </c>
      <c r="B27" s="0" t="s">
        <v>3236</v>
      </c>
      <c r="C27" s="0" t="s">
        <v>3237</v>
      </c>
      <c r="D27" s="0" t="s">
        <v>3238</v>
      </c>
      <c r="E27" s="0" t="s">
        <v>3239</v>
      </c>
      <c r="F27" s="0" t="s">
        <v>3223</v>
      </c>
      <c r="G27" s="0" t="s">
        <v>1565</v>
      </c>
    </row>
    <row customHeight="1" ht="11.25">
      <c r="A28" s="771" t="s">
        <v>16</v>
      </c>
      <c r="B28" s="0" t="s">
        <v>3236</v>
      </c>
      <c r="C28" s="0" t="s">
        <v>3237</v>
      </c>
      <c r="D28" s="0" t="s">
        <v>3240</v>
      </c>
      <c r="E28" s="0" t="s">
        <v>3241</v>
      </c>
      <c r="F28" s="0" t="s">
        <v>3200</v>
      </c>
      <c r="G28" s="0" t="s">
        <v>1573</v>
      </c>
    </row>
    <row customHeight="1" ht="11.25">
      <c r="A29" s="771" t="s">
        <v>16</v>
      </c>
      <c r="B29" s="0" t="s">
        <v>3236</v>
      </c>
      <c r="C29" s="0" t="s">
        <v>3237</v>
      </c>
      <c r="D29" s="0" t="s">
        <v>3242</v>
      </c>
      <c r="E29" s="0" t="s">
        <v>3243</v>
      </c>
      <c r="F29" s="0" t="s">
        <v>3200</v>
      </c>
      <c r="G29" s="0" t="s">
        <v>1575</v>
      </c>
    </row>
    <row customHeight="1" ht="11.25">
      <c r="A30" s="771" t="s">
        <v>16</v>
      </c>
      <c r="B30" s="0" t="s">
        <v>3236</v>
      </c>
      <c r="C30" s="0" t="s">
        <v>3237</v>
      </c>
      <c r="D30" s="0" t="s">
        <v>3244</v>
      </c>
      <c r="E30" s="0" t="s">
        <v>3245</v>
      </c>
      <c r="F30" s="0" t="s">
        <v>3200</v>
      </c>
      <c r="G30" s="0" t="s">
        <v>1578</v>
      </c>
    </row>
    <row customHeight="1" ht="11.25">
      <c r="A31" s="771" t="s">
        <v>16</v>
      </c>
      <c r="B31" s="0" t="s">
        <v>3236</v>
      </c>
      <c r="C31" s="0" t="s">
        <v>3237</v>
      </c>
      <c r="D31" s="0" t="s">
        <v>3246</v>
      </c>
      <c r="E31" s="0" t="s">
        <v>3247</v>
      </c>
      <c r="F31" s="0" t="s">
        <v>3200</v>
      </c>
      <c r="G31" s="0" t="s">
        <v>1583</v>
      </c>
    </row>
    <row customHeight="1" ht="11.25">
      <c r="A32" s="771" t="s">
        <v>16</v>
      </c>
      <c r="B32" s="0" t="s">
        <v>3236</v>
      </c>
      <c r="C32" s="0" t="s">
        <v>3237</v>
      </c>
      <c r="D32" s="0" t="s">
        <v>3236</v>
      </c>
      <c r="E32" s="0" t="s">
        <v>3237</v>
      </c>
      <c r="F32" s="0" t="s">
        <v>3201</v>
      </c>
      <c r="G32" s="0" t="s">
        <v>1585</v>
      </c>
    </row>
    <row customHeight="1" ht="11.25">
      <c r="A33" s="771" t="s">
        <v>16</v>
      </c>
      <c r="B33" s="0" t="s">
        <v>3236</v>
      </c>
      <c r="C33" s="0" t="s">
        <v>3237</v>
      </c>
      <c r="D33" s="0" t="s">
        <v>3248</v>
      </c>
      <c r="E33" s="0" t="s">
        <v>3249</v>
      </c>
      <c r="F33" s="0" t="s">
        <v>3200</v>
      </c>
      <c r="G33" s="0" t="s">
        <v>1587</v>
      </c>
    </row>
    <row customHeight="1" ht="11.25">
      <c r="A34" s="771" t="s">
        <v>16</v>
      </c>
      <c r="B34" s="0" t="s">
        <v>3236</v>
      </c>
      <c r="C34" s="0" t="s">
        <v>3237</v>
      </c>
      <c r="D34" s="0" t="s">
        <v>3250</v>
      </c>
      <c r="E34" s="0" t="s">
        <v>3251</v>
      </c>
      <c r="F34" s="0" t="s">
        <v>3200</v>
      </c>
      <c r="G34" s="0" t="s">
        <v>1589</v>
      </c>
    </row>
    <row customHeight="1" ht="11.25">
      <c r="A35" s="771" t="s">
        <v>16</v>
      </c>
      <c r="B35" s="0" t="s">
        <v>3236</v>
      </c>
      <c r="C35" s="0" t="s">
        <v>3237</v>
      </c>
      <c r="D35" s="0" t="s">
        <v>3252</v>
      </c>
      <c r="E35" s="0" t="s">
        <v>3253</v>
      </c>
      <c r="F35" s="0" t="s">
        <v>3200</v>
      </c>
      <c r="G35" s="0" t="s">
        <v>1594</v>
      </c>
    </row>
    <row customHeight="1" ht="11.25">
      <c r="A36" s="771" t="s">
        <v>16</v>
      </c>
      <c r="B36" s="0" t="s">
        <v>3236</v>
      </c>
      <c r="C36" s="0" t="s">
        <v>3237</v>
      </c>
      <c r="D36" s="0" t="s">
        <v>3254</v>
      </c>
      <c r="E36" s="0" t="s">
        <v>3255</v>
      </c>
      <c r="F36" s="0" t="s">
        <v>3200</v>
      </c>
      <c r="G36" s="0" t="s">
        <v>1599</v>
      </c>
    </row>
    <row customHeight="1" ht="11.25">
      <c r="A37" s="771" t="s">
        <v>16</v>
      </c>
      <c r="B37" s="0" t="s">
        <v>3236</v>
      </c>
      <c r="C37" s="0" t="s">
        <v>3237</v>
      </c>
      <c r="D37" s="0" t="s">
        <v>3256</v>
      </c>
      <c r="E37" s="0" t="s">
        <v>3257</v>
      </c>
      <c r="F37" s="0" t="s">
        <v>3200</v>
      </c>
      <c r="G37" s="0" t="s">
        <v>1603</v>
      </c>
    </row>
    <row customHeight="1" ht="11.25">
      <c r="A38" s="771" t="s">
        <v>16</v>
      </c>
      <c r="B38" s="0" t="s">
        <v>3258</v>
      </c>
      <c r="C38" s="0" t="s">
        <v>3259</v>
      </c>
      <c r="D38" s="0" t="s">
        <v>3258</v>
      </c>
      <c r="E38" s="0" t="s">
        <v>3259</v>
      </c>
      <c r="F38" s="0" t="s">
        <v>3182</v>
      </c>
      <c r="G38" s="0" t="s">
        <v>1611</v>
      </c>
    </row>
    <row customHeight="1" ht="11.25">
      <c r="A39" s="771" t="s">
        <v>16</v>
      </c>
      <c r="B39" s="0" t="s">
        <v>3260</v>
      </c>
      <c r="C39" s="0" t="s">
        <v>3261</v>
      </c>
      <c r="D39" s="0" t="s">
        <v>3260</v>
      </c>
      <c r="E39" s="0" t="s">
        <v>3261</v>
      </c>
      <c r="F39" s="0" t="s">
        <v>3185</v>
      </c>
      <c r="G39" s="0" t="s">
        <v>1617</v>
      </c>
    </row>
    <row customHeight="1" ht="11.25">
      <c r="A40" s="771" t="s">
        <v>16</v>
      </c>
      <c r="B40" s="0" t="s">
        <v>3262</v>
      </c>
      <c r="C40" s="0" t="s">
        <v>3263</v>
      </c>
      <c r="D40" s="0" t="s">
        <v>3264</v>
      </c>
      <c r="E40" s="0" t="s">
        <v>3265</v>
      </c>
      <c r="F40" s="0" t="s">
        <v>3200</v>
      </c>
      <c r="G40" s="0" t="s">
        <v>1622</v>
      </c>
    </row>
    <row customHeight="1" ht="11.25">
      <c r="A41" s="771" t="s">
        <v>16</v>
      </c>
      <c r="B41" s="0" t="s">
        <v>3262</v>
      </c>
      <c r="C41" s="0" t="s">
        <v>3263</v>
      </c>
      <c r="D41" s="0" t="s">
        <v>3266</v>
      </c>
      <c r="E41" s="0" t="s">
        <v>3267</v>
      </c>
      <c r="F41" s="0" t="s">
        <v>3200</v>
      </c>
      <c r="G41" s="0" t="s">
        <v>1626</v>
      </c>
    </row>
    <row customHeight="1" ht="11.25">
      <c r="A42" s="771" t="s">
        <v>16</v>
      </c>
      <c r="B42" s="0" t="s">
        <v>3262</v>
      </c>
      <c r="C42" s="0" t="s">
        <v>3263</v>
      </c>
      <c r="D42" s="0" t="s">
        <v>3268</v>
      </c>
      <c r="E42" s="0" t="s">
        <v>3269</v>
      </c>
      <c r="F42" s="0" t="s">
        <v>3200</v>
      </c>
      <c r="G42" s="0" t="s">
        <v>1629</v>
      </c>
    </row>
    <row customHeight="1" ht="11.25">
      <c r="A43" s="771" t="s">
        <v>16</v>
      </c>
      <c r="B43" s="0" t="s">
        <v>3262</v>
      </c>
      <c r="C43" s="0" t="s">
        <v>3263</v>
      </c>
      <c r="D43" s="0" t="s">
        <v>3262</v>
      </c>
      <c r="E43" s="0" t="s">
        <v>3263</v>
      </c>
      <c r="F43" s="0" t="s">
        <v>3201</v>
      </c>
      <c r="G43" s="0" t="s">
        <v>1636</v>
      </c>
    </row>
    <row customHeight="1" ht="11.25">
      <c r="A44" s="771" t="s">
        <v>16</v>
      </c>
      <c r="B44" s="0" t="s">
        <v>3262</v>
      </c>
      <c r="C44" s="0" t="s">
        <v>3263</v>
      </c>
      <c r="D44" s="0" t="s">
        <v>3270</v>
      </c>
      <c r="E44" s="0" t="s">
        <v>3271</v>
      </c>
      <c r="F44" s="0" t="s">
        <v>3200</v>
      </c>
      <c r="G44" s="0" t="s">
        <v>1645</v>
      </c>
    </row>
    <row customHeight="1" ht="11.25">
      <c r="A45" s="771" t="s">
        <v>16</v>
      </c>
      <c r="B45" s="0" t="s">
        <v>3262</v>
      </c>
      <c r="C45" s="0" t="s">
        <v>3263</v>
      </c>
      <c r="D45" s="0" t="s">
        <v>3272</v>
      </c>
      <c r="E45" s="0" t="s">
        <v>3273</v>
      </c>
      <c r="F45" s="0" t="s">
        <v>3223</v>
      </c>
      <c r="G45" s="0" t="s">
        <v>1650</v>
      </c>
    </row>
    <row customHeight="1" ht="11.25">
      <c r="A46" s="771" t="s">
        <v>16</v>
      </c>
      <c r="B46" s="0" t="s">
        <v>3262</v>
      </c>
      <c r="C46" s="0" t="s">
        <v>3263</v>
      </c>
      <c r="D46" s="0" t="s">
        <v>3274</v>
      </c>
      <c r="E46" s="0" t="s">
        <v>3275</v>
      </c>
      <c r="F46" s="0" t="s">
        <v>3200</v>
      </c>
      <c r="G46" s="0" t="s">
        <v>1654</v>
      </c>
    </row>
    <row customHeight="1" ht="11.25">
      <c r="A47" s="771" t="s">
        <v>16</v>
      </c>
      <c r="B47" s="0" t="s">
        <v>3262</v>
      </c>
      <c r="C47" s="0" t="s">
        <v>3263</v>
      </c>
      <c r="D47" s="0" t="s">
        <v>3276</v>
      </c>
      <c r="E47" s="0" t="s">
        <v>3277</v>
      </c>
      <c r="F47" s="0" t="s">
        <v>3200</v>
      </c>
      <c r="G47" s="0" t="s">
        <v>1660</v>
      </c>
    </row>
    <row customHeight="1" ht="11.25">
      <c r="A48" s="771" t="s">
        <v>16</v>
      </c>
      <c r="B48" s="0" t="s">
        <v>3278</v>
      </c>
      <c r="C48" s="0" t="s">
        <v>3279</v>
      </c>
      <c r="D48" s="0" t="s">
        <v>3278</v>
      </c>
      <c r="E48" s="0" t="s">
        <v>3279</v>
      </c>
      <c r="F48" s="0" t="s">
        <v>3201</v>
      </c>
      <c r="G48" s="0" t="s">
        <v>1664</v>
      </c>
    </row>
    <row customHeight="1" ht="11.25">
      <c r="A49" s="771" t="s">
        <v>16</v>
      </c>
      <c r="B49" s="0" t="s">
        <v>3278</v>
      </c>
      <c r="C49" s="0" t="s">
        <v>3279</v>
      </c>
      <c r="D49" s="0" t="s">
        <v>3280</v>
      </c>
      <c r="E49" s="0" t="s">
        <v>3281</v>
      </c>
      <c r="F49" s="0" t="s">
        <v>3200</v>
      </c>
      <c r="G49" s="0" t="s">
        <v>1667</v>
      </c>
    </row>
    <row customHeight="1" ht="11.25">
      <c r="A50" s="771" t="s">
        <v>16</v>
      </c>
      <c r="B50" s="0" t="s">
        <v>3278</v>
      </c>
      <c r="C50" s="0" t="s">
        <v>3279</v>
      </c>
      <c r="D50" s="0" t="s">
        <v>3282</v>
      </c>
      <c r="E50" s="0" t="s">
        <v>3283</v>
      </c>
      <c r="F50" s="0" t="s">
        <v>3200</v>
      </c>
      <c r="G50" s="0" t="s">
        <v>1670</v>
      </c>
    </row>
    <row customHeight="1" ht="11.25">
      <c r="A51" s="771" t="s">
        <v>16</v>
      </c>
      <c r="B51" s="0" t="s">
        <v>3278</v>
      </c>
      <c r="C51" s="0" t="s">
        <v>3279</v>
      </c>
      <c r="D51" s="0" t="s">
        <v>3284</v>
      </c>
      <c r="E51" s="0" t="s">
        <v>3285</v>
      </c>
      <c r="F51" s="0" t="s">
        <v>3200</v>
      </c>
      <c r="G51" s="0" t="s">
        <v>1675</v>
      </c>
    </row>
    <row customHeight="1" ht="11.25">
      <c r="A52" s="771" t="s">
        <v>16</v>
      </c>
      <c r="B52" s="0" t="s">
        <v>3286</v>
      </c>
      <c r="C52" s="0" t="s">
        <v>3287</v>
      </c>
      <c r="D52" s="0" t="s">
        <v>3286</v>
      </c>
      <c r="E52" s="0" t="s">
        <v>3287</v>
      </c>
      <c r="F52" s="0" t="s">
        <v>3185</v>
      </c>
      <c r="G52" s="0" t="s">
        <v>1679</v>
      </c>
    </row>
    <row customHeight="1" ht="11.25">
      <c r="A53" s="771" t="s">
        <v>16</v>
      </c>
      <c r="B53" s="0" t="s">
        <v>3288</v>
      </c>
      <c r="C53" s="0" t="s">
        <v>3289</v>
      </c>
      <c r="D53" s="0" t="s">
        <v>3288</v>
      </c>
      <c r="E53" s="0" t="s">
        <v>3289</v>
      </c>
      <c r="F53" s="0" t="s">
        <v>3182</v>
      </c>
      <c r="G53" s="0" t="s">
        <v>1681</v>
      </c>
    </row>
    <row customHeight="1" ht="11.25">
      <c r="A54" s="771" t="s">
        <v>16</v>
      </c>
      <c r="B54" s="0" t="s">
        <v>3290</v>
      </c>
      <c r="C54" s="0" t="s">
        <v>3291</v>
      </c>
      <c r="D54" s="0" t="s">
        <v>3290</v>
      </c>
      <c r="E54" s="0" t="s">
        <v>3291</v>
      </c>
      <c r="F54" s="0" t="s">
        <v>3182</v>
      </c>
      <c r="G54" s="0" t="s">
        <v>1684</v>
      </c>
    </row>
    <row customHeight="1" ht="11.25">
      <c r="A55" s="771" t="s">
        <v>16</v>
      </c>
      <c r="B55" s="0" t="s">
        <v>3292</v>
      </c>
      <c r="C55" s="0" t="s">
        <v>3293</v>
      </c>
      <c r="D55" s="0" t="s">
        <v>3292</v>
      </c>
      <c r="E55" s="0" t="s">
        <v>3293</v>
      </c>
      <c r="F55" s="0" t="s">
        <v>3185</v>
      </c>
      <c r="G55" s="0" t="s">
        <v>1688</v>
      </c>
    </row>
    <row customHeight="1" ht="11.25">
      <c r="A56" s="771" t="s">
        <v>16</v>
      </c>
      <c r="B56" s="0" t="s">
        <v>3294</v>
      </c>
      <c r="C56" s="0" t="s">
        <v>3295</v>
      </c>
      <c r="D56" s="0" t="s">
        <v>3294</v>
      </c>
      <c r="E56" s="0" t="s">
        <v>3295</v>
      </c>
      <c r="F56" s="0" t="s">
        <v>3182</v>
      </c>
      <c r="G56" s="0" t="s">
        <v>1691</v>
      </c>
    </row>
    <row customHeight="1" ht="11.25">
      <c r="A57" s="771" t="s">
        <v>16</v>
      </c>
      <c r="B57" s="0" t="s">
        <v>3296</v>
      </c>
      <c r="C57" s="0" t="s">
        <v>3297</v>
      </c>
      <c r="D57" s="0" t="s">
        <v>3298</v>
      </c>
      <c r="E57" s="0" t="s">
        <v>3299</v>
      </c>
      <c r="F57" s="0" t="s">
        <v>3200</v>
      </c>
      <c r="G57" s="0" t="s">
        <v>1694</v>
      </c>
    </row>
    <row customHeight="1" ht="11.25">
      <c r="A58" s="771" t="s">
        <v>16</v>
      </c>
      <c r="B58" s="0" t="s">
        <v>3296</v>
      </c>
      <c r="C58" s="0" t="s">
        <v>3297</v>
      </c>
      <c r="D58" s="0" t="s">
        <v>3300</v>
      </c>
      <c r="E58" s="0" t="s">
        <v>3301</v>
      </c>
      <c r="F58" s="0" t="s">
        <v>3200</v>
      </c>
      <c r="G58" s="0" t="s">
        <v>1697</v>
      </c>
    </row>
    <row customHeight="1" ht="11.25">
      <c r="A59" s="771" t="s">
        <v>16</v>
      </c>
      <c r="B59" s="0" t="s">
        <v>3296</v>
      </c>
      <c r="C59" s="0" t="s">
        <v>3297</v>
      </c>
      <c r="D59" s="0" t="s">
        <v>3302</v>
      </c>
      <c r="E59" s="0" t="s">
        <v>3303</v>
      </c>
      <c r="F59" s="0" t="s">
        <v>3200</v>
      </c>
      <c r="G59" s="0" t="s">
        <v>1701</v>
      </c>
    </row>
    <row customHeight="1" ht="11.25">
      <c r="A60" s="771" t="s">
        <v>16</v>
      </c>
      <c r="B60" s="0" t="s">
        <v>3296</v>
      </c>
      <c r="C60" s="0" t="s">
        <v>3297</v>
      </c>
      <c r="D60" s="0" t="s">
        <v>3304</v>
      </c>
      <c r="E60" s="0" t="s">
        <v>3305</v>
      </c>
      <c r="F60" s="0" t="s">
        <v>3206</v>
      </c>
      <c r="G60" s="0" t="s">
        <v>1704</v>
      </c>
    </row>
    <row customHeight="1" ht="11.25">
      <c r="A61" s="771" t="s">
        <v>16</v>
      </c>
      <c r="B61" s="0" t="s">
        <v>3296</v>
      </c>
      <c r="C61" s="0" t="s">
        <v>3297</v>
      </c>
      <c r="D61" s="0" t="s">
        <v>3306</v>
      </c>
      <c r="E61" s="0" t="s">
        <v>3307</v>
      </c>
      <c r="F61" s="0" t="s">
        <v>3200</v>
      </c>
      <c r="G61" s="0" t="s">
        <v>3308</v>
      </c>
    </row>
    <row customHeight="1" ht="11.25">
      <c r="A62" s="771" t="s">
        <v>16</v>
      </c>
      <c r="B62" s="0" t="s">
        <v>3296</v>
      </c>
      <c r="C62" s="0" t="s">
        <v>3297</v>
      </c>
      <c r="D62" s="0" t="s">
        <v>3309</v>
      </c>
      <c r="E62" s="0" t="s">
        <v>3310</v>
      </c>
      <c r="F62" s="0" t="s">
        <v>3200</v>
      </c>
      <c r="G62" s="0" t="s">
        <v>3311</v>
      </c>
    </row>
    <row customHeight="1" ht="11.25">
      <c r="A63" s="771" t="s">
        <v>16</v>
      </c>
      <c r="B63" s="0" t="s">
        <v>3296</v>
      </c>
      <c r="C63" s="0" t="s">
        <v>3297</v>
      </c>
      <c r="D63" s="0" t="s">
        <v>3296</v>
      </c>
      <c r="E63" s="0" t="s">
        <v>3297</v>
      </c>
      <c r="F63" s="0" t="s">
        <v>3201</v>
      </c>
      <c r="G63" s="0" t="s">
        <v>3312</v>
      </c>
    </row>
    <row customHeight="1" ht="11.25">
      <c r="A64" s="771" t="s">
        <v>16</v>
      </c>
      <c r="B64" s="0" t="s">
        <v>3296</v>
      </c>
      <c r="C64" s="0" t="s">
        <v>3297</v>
      </c>
      <c r="D64" s="0" t="s">
        <v>3313</v>
      </c>
      <c r="E64" s="0" t="s">
        <v>3314</v>
      </c>
      <c r="F64" s="0" t="s">
        <v>3200</v>
      </c>
      <c r="G64" s="0" t="s">
        <v>3315</v>
      </c>
    </row>
    <row customHeight="1" ht="11.25">
      <c r="A65" s="771" t="s">
        <v>16</v>
      </c>
      <c r="B65" s="0" t="s">
        <v>3316</v>
      </c>
      <c r="C65" s="0" t="s">
        <v>3317</v>
      </c>
      <c r="D65" s="0" t="s">
        <v>3316</v>
      </c>
      <c r="E65" s="0" t="s">
        <v>3317</v>
      </c>
      <c r="F65" s="0" t="s">
        <v>3182</v>
      </c>
      <c r="G65" s="0" t="s">
        <v>3318</v>
      </c>
    </row>
    <row customHeight="1" ht="11.25">
      <c r="A66" s="771" t="s">
        <v>16</v>
      </c>
      <c r="B66" s="0" t="s">
        <v>3319</v>
      </c>
      <c r="C66" s="0" t="s">
        <v>3320</v>
      </c>
      <c r="D66" s="0" t="s">
        <v>3319</v>
      </c>
      <c r="E66" s="0" t="s">
        <v>3320</v>
      </c>
      <c r="F66" s="0" t="s">
        <v>3182</v>
      </c>
      <c r="G66" s="0" t="s">
        <v>3321</v>
      </c>
    </row>
    <row customHeight="1" ht="11.25">
      <c r="A67" s="771" t="s">
        <v>16</v>
      </c>
      <c r="B67" s="0" t="s">
        <v>3322</v>
      </c>
      <c r="C67" s="0" t="s">
        <v>3323</v>
      </c>
      <c r="D67" s="0" t="s">
        <v>3324</v>
      </c>
      <c r="E67" s="0" t="s">
        <v>3325</v>
      </c>
      <c r="F67" s="0" t="s">
        <v>3200</v>
      </c>
      <c r="G67" s="0" t="s">
        <v>2023</v>
      </c>
    </row>
    <row customHeight="1" ht="11.25">
      <c r="A68" s="771" t="s">
        <v>16</v>
      </c>
      <c r="B68" s="0" t="s">
        <v>3322</v>
      </c>
      <c r="C68" s="0" t="s">
        <v>3323</v>
      </c>
      <c r="D68" s="0" t="s">
        <v>3326</v>
      </c>
      <c r="E68" s="0" t="s">
        <v>3327</v>
      </c>
      <c r="F68" s="0" t="s">
        <v>3200</v>
      </c>
      <c r="G68" s="0" t="s">
        <v>3328</v>
      </c>
    </row>
    <row customHeight="1" ht="11.25">
      <c r="A69" s="771" t="s">
        <v>16</v>
      </c>
      <c r="B69" s="0" t="s">
        <v>3322</v>
      </c>
      <c r="C69" s="0" t="s">
        <v>3323</v>
      </c>
      <c r="D69" s="0" t="s">
        <v>3329</v>
      </c>
      <c r="E69" s="0" t="s">
        <v>3330</v>
      </c>
      <c r="F69" s="0" t="s">
        <v>3200</v>
      </c>
      <c r="G69" s="0" t="s">
        <v>2226</v>
      </c>
    </row>
    <row customHeight="1" ht="11.25">
      <c r="A70" s="771" t="s">
        <v>16</v>
      </c>
      <c r="B70" s="0" t="s">
        <v>3322</v>
      </c>
      <c r="C70" s="0" t="s">
        <v>3323</v>
      </c>
      <c r="D70" s="0" t="s">
        <v>3331</v>
      </c>
      <c r="E70" s="0" t="s">
        <v>3332</v>
      </c>
      <c r="F70" s="0" t="s">
        <v>3200</v>
      </c>
      <c r="G70" s="0" t="s">
        <v>3333</v>
      </c>
    </row>
    <row customHeight="1" ht="11.25">
      <c r="A71" s="771" t="s">
        <v>16</v>
      </c>
      <c r="B71" s="0" t="s">
        <v>3322</v>
      </c>
      <c r="C71" s="0" t="s">
        <v>3323</v>
      </c>
      <c r="D71" s="0" t="s">
        <v>3334</v>
      </c>
      <c r="E71" s="0" t="s">
        <v>3335</v>
      </c>
      <c r="F71" s="0" t="s">
        <v>3200</v>
      </c>
      <c r="G71" s="0" t="s">
        <v>3336</v>
      </c>
    </row>
    <row customHeight="1" ht="11.25">
      <c r="A72" s="771" t="s">
        <v>16</v>
      </c>
      <c r="B72" s="0" t="s">
        <v>3322</v>
      </c>
      <c r="C72" s="0" t="s">
        <v>3323</v>
      </c>
      <c r="D72" s="0" t="s">
        <v>3322</v>
      </c>
      <c r="E72" s="0" t="s">
        <v>3323</v>
      </c>
      <c r="F72" s="0" t="s">
        <v>3201</v>
      </c>
      <c r="G72" s="0" t="s">
        <v>3337</v>
      </c>
    </row>
    <row customHeight="1" ht="11.25">
      <c r="A73" s="771" t="s">
        <v>16</v>
      </c>
      <c r="B73" s="0" t="s">
        <v>3322</v>
      </c>
      <c r="C73" s="0" t="s">
        <v>3323</v>
      </c>
      <c r="D73" s="0" t="s">
        <v>3338</v>
      </c>
      <c r="E73" s="0" t="s">
        <v>3339</v>
      </c>
      <c r="F73" s="0" t="s">
        <v>3200</v>
      </c>
      <c r="G73" s="0" t="s">
        <v>3340</v>
      </c>
    </row>
    <row customHeight="1" ht="11.25">
      <c r="A74" s="771" t="s">
        <v>16</v>
      </c>
      <c r="B74" s="0" t="s">
        <v>3322</v>
      </c>
      <c r="C74" s="0" t="s">
        <v>3323</v>
      </c>
      <c r="D74" s="0" t="s">
        <v>3341</v>
      </c>
      <c r="E74" s="0" t="s">
        <v>3342</v>
      </c>
      <c r="F74" s="0" t="s">
        <v>3200</v>
      </c>
      <c r="G74" s="0" t="s">
        <v>3343</v>
      </c>
    </row>
    <row customHeight="1" ht="11.25">
      <c r="A75" s="771" t="s">
        <v>16</v>
      </c>
      <c r="B75" s="0" t="s">
        <v>3322</v>
      </c>
      <c r="C75" s="0" t="s">
        <v>3323</v>
      </c>
      <c r="D75" s="0" t="s">
        <v>3344</v>
      </c>
      <c r="E75" s="0" t="s">
        <v>3345</v>
      </c>
      <c r="F75" s="0" t="s">
        <v>3200</v>
      </c>
      <c r="G75" s="0" t="s">
        <v>3346</v>
      </c>
    </row>
    <row customHeight="1" ht="11.25">
      <c r="A76" s="771" t="s">
        <v>16</v>
      </c>
      <c r="B76" s="0" t="s">
        <v>3347</v>
      </c>
      <c r="C76" s="0" t="s">
        <v>3348</v>
      </c>
      <c r="D76" s="0" t="s">
        <v>3347</v>
      </c>
      <c r="E76" s="0" t="s">
        <v>3348</v>
      </c>
      <c r="F76" s="0" t="s">
        <v>3182</v>
      </c>
      <c r="G76" s="0" t="s">
        <v>3349</v>
      </c>
    </row>
    <row customHeight="1" ht="11.25">
      <c r="A77" s="771" t="s">
        <v>16</v>
      </c>
      <c r="B77" s="0" t="s">
        <v>3350</v>
      </c>
      <c r="C77" s="0" t="s">
        <v>3351</v>
      </c>
      <c r="D77" s="0" t="s">
        <v>3350</v>
      </c>
      <c r="E77" s="0" t="s">
        <v>3351</v>
      </c>
      <c r="F77" s="0" t="s">
        <v>3185</v>
      </c>
      <c r="G77" s="0" t="s">
        <v>3352</v>
      </c>
    </row>
    <row customHeight="1" ht="11.25">
      <c r="A78" s="771" t="s">
        <v>16</v>
      </c>
      <c r="B78" s="0" t="s">
        <v>3353</v>
      </c>
      <c r="C78" s="0" t="s">
        <v>3354</v>
      </c>
      <c r="D78" s="0" t="s">
        <v>3353</v>
      </c>
      <c r="E78" s="0" t="s">
        <v>3354</v>
      </c>
      <c r="F78" s="0" t="s">
        <v>3182</v>
      </c>
      <c r="G78" s="0" t="s">
        <v>3355</v>
      </c>
    </row>
    <row customHeight="1" ht="11.25">
      <c r="A79" s="771" t="s">
        <v>16</v>
      </c>
      <c r="B79" s="0" t="s">
        <v>3356</v>
      </c>
      <c r="C79" s="0" t="s">
        <v>3357</v>
      </c>
      <c r="D79" s="0" t="s">
        <v>3356</v>
      </c>
      <c r="E79" s="0" t="s">
        <v>3357</v>
      </c>
      <c r="F79" s="0" t="s">
        <v>3182</v>
      </c>
      <c r="G79" s="0" t="s">
        <v>3358</v>
      </c>
    </row>
    <row customHeight="1" ht="11.25">
      <c r="A80" s="771" t="s">
        <v>16</v>
      </c>
      <c r="B80" s="0" t="s">
        <v>3359</v>
      </c>
      <c r="C80" s="0" t="s">
        <v>3360</v>
      </c>
      <c r="D80" s="0" t="s">
        <v>3359</v>
      </c>
      <c r="E80" s="0" t="s">
        <v>3360</v>
      </c>
      <c r="F80" s="0" t="s">
        <v>3182</v>
      </c>
      <c r="G80" s="0" t="s">
        <v>3361</v>
      </c>
    </row>
    <row customHeight="1" ht="11.25">
      <c r="A81" s="771" t="s">
        <v>16</v>
      </c>
      <c r="B81" s="0" t="s">
        <v>3362</v>
      </c>
      <c r="C81" s="0" t="s">
        <v>3363</v>
      </c>
      <c r="D81" s="0" t="s">
        <v>3362</v>
      </c>
      <c r="E81" s="0" t="s">
        <v>3363</v>
      </c>
      <c r="F81" s="0" t="s">
        <v>3182</v>
      </c>
      <c r="G81" s="0" t="s">
        <v>3364</v>
      </c>
    </row>
    <row customHeight="1" ht="11.25">
      <c r="A82" s="771" t="s">
        <v>16</v>
      </c>
      <c r="B82" s="0" t="s">
        <v>3365</v>
      </c>
      <c r="C82" s="0" t="s">
        <v>3366</v>
      </c>
      <c r="D82" s="0" t="s">
        <v>3367</v>
      </c>
      <c r="E82" s="0" t="s">
        <v>3368</v>
      </c>
      <c r="F82" s="0" t="s">
        <v>3200</v>
      </c>
      <c r="G82" s="0" t="s">
        <v>3369</v>
      </c>
    </row>
    <row customHeight="1" ht="11.25">
      <c r="A83" s="771" t="s">
        <v>16</v>
      </c>
      <c r="B83" s="0" t="s">
        <v>3365</v>
      </c>
      <c r="C83" s="0" t="s">
        <v>3366</v>
      </c>
      <c r="D83" s="0" t="s">
        <v>3370</v>
      </c>
      <c r="E83" s="0" t="s">
        <v>3371</v>
      </c>
      <c r="F83" s="0" t="s">
        <v>3206</v>
      </c>
      <c r="G83" s="0" t="s">
        <v>3372</v>
      </c>
    </row>
    <row customHeight="1" ht="11.25">
      <c r="A84" s="771" t="s">
        <v>16</v>
      </c>
      <c r="B84" s="0" t="s">
        <v>3365</v>
      </c>
      <c r="C84" s="0" t="s">
        <v>3366</v>
      </c>
      <c r="D84" s="0" t="s">
        <v>3373</v>
      </c>
      <c r="E84" s="0" t="s">
        <v>3374</v>
      </c>
      <c r="F84" s="0" t="s">
        <v>3200</v>
      </c>
      <c r="G84" s="0" t="s">
        <v>3375</v>
      </c>
    </row>
    <row customHeight="1" ht="11.25">
      <c r="A85" s="771" t="s">
        <v>16</v>
      </c>
      <c r="B85" s="0" t="s">
        <v>3365</v>
      </c>
      <c r="C85" s="0" t="s">
        <v>3366</v>
      </c>
      <c r="D85" s="0" t="s">
        <v>3376</v>
      </c>
      <c r="E85" s="0" t="s">
        <v>3377</v>
      </c>
      <c r="F85" s="0" t="s">
        <v>3223</v>
      </c>
      <c r="G85" s="0" t="s">
        <v>3378</v>
      </c>
    </row>
    <row customHeight="1" ht="11.25">
      <c r="A86" s="771" t="s">
        <v>16</v>
      </c>
      <c r="B86" s="0" t="s">
        <v>3365</v>
      </c>
      <c r="C86" s="0" t="s">
        <v>3366</v>
      </c>
      <c r="D86" s="0" t="s">
        <v>3379</v>
      </c>
      <c r="E86" s="0" t="s">
        <v>3380</v>
      </c>
      <c r="F86" s="0" t="s">
        <v>3200</v>
      </c>
      <c r="G86" s="0" t="s">
        <v>3381</v>
      </c>
    </row>
    <row customHeight="1" ht="11.25">
      <c r="A87" s="771" t="s">
        <v>16</v>
      </c>
      <c r="B87" s="0" t="s">
        <v>3365</v>
      </c>
      <c r="C87" s="0" t="s">
        <v>3366</v>
      </c>
      <c r="D87" s="0" t="s">
        <v>3365</v>
      </c>
      <c r="E87" s="0" t="s">
        <v>3366</v>
      </c>
      <c r="F87" s="0" t="s">
        <v>3201</v>
      </c>
      <c r="G87" s="0" t="s">
        <v>3382</v>
      </c>
    </row>
    <row customHeight="1" ht="11.25">
      <c r="A88" s="771" t="s">
        <v>16</v>
      </c>
      <c r="B88" s="0" t="s">
        <v>3365</v>
      </c>
      <c r="C88" s="0" t="s">
        <v>3366</v>
      </c>
      <c r="D88" s="0" t="s">
        <v>3383</v>
      </c>
      <c r="E88" s="0" t="s">
        <v>3384</v>
      </c>
      <c r="F88" s="0" t="s">
        <v>3200</v>
      </c>
      <c r="G88" s="0" t="s">
        <v>3385</v>
      </c>
    </row>
    <row customHeight="1" ht="11.25">
      <c r="A89" s="771" t="s">
        <v>16</v>
      </c>
      <c r="B89" s="0" t="s">
        <v>3386</v>
      </c>
      <c r="C89" s="0" t="s">
        <v>3387</v>
      </c>
      <c r="D89" s="0" t="s">
        <v>3386</v>
      </c>
      <c r="E89" s="0" t="s">
        <v>3387</v>
      </c>
      <c r="F89" s="0" t="s">
        <v>3182</v>
      </c>
      <c r="G89" s="0" t="s">
        <v>3388</v>
      </c>
    </row>
    <row customHeight="1" ht="11.25">
      <c r="A90" s="771" t="s">
        <v>16</v>
      </c>
      <c r="B90" s="0" t="s">
        <v>3389</v>
      </c>
      <c r="C90" s="0" t="s">
        <v>3390</v>
      </c>
      <c r="D90" s="0" t="s">
        <v>3389</v>
      </c>
      <c r="E90" s="0" t="s">
        <v>3390</v>
      </c>
      <c r="F90" s="0" t="s">
        <v>3182</v>
      </c>
      <c r="G90" s="0" t="s">
        <v>3391</v>
      </c>
    </row>
    <row customHeight="1" ht="11.25">
      <c r="A91" s="771" t="s">
        <v>16</v>
      </c>
      <c r="B91" s="0" t="s">
        <v>3392</v>
      </c>
      <c r="C91" s="0" t="s">
        <v>3393</v>
      </c>
      <c r="D91" s="0" t="s">
        <v>3394</v>
      </c>
      <c r="E91" s="0" t="s">
        <v>3395</v>
      </c>
      <c r="F91" s="0" t="s">
        <v>3200</v>
      </c>
      <c r="G91" s="0" t="s">
        <v>3396</v>
      </c>
    </row>
    <row customHeight="1" ht="11.25">
      <c r="A92" s="771" t="s">
        <v>16</v>
      </c>
      <c r="B92" s="0" t="s">
        <v>3392</v>
      </c>
      <c r="C92" s="0" t="s">
        <v>3393</v>
      </c>
      <c r="D92" s="0" t="s">
        <v>3397</v>
      </c>
      <c r="E92" s="0" t="s">
        <v>3398</v>
      </c>
      <c r="F92" s="0" t="s">
        <v>3200</v>
      </c>
      <c r="G92" s="0" t="s">
        <v>3399</v>
      </c>
    </row>
    <row customHeight="1" ht="11.25">
      <c r="A93" s="771" t="s">
        <v>16</v>
      </c>
      <c r="B93" s="0" t="s">
        <v>3392</v>
      </c>
      <c r="C93" s="0" t="s">
        <v>3393</v>
      </c>
      <c r="D93" s="0" t="s">
        <v>3400</v>
      </c>
      <c r="E93" s="0" t="s">
        <v>3401</v>
      </c>
      <c r="F93" s="0" t="s">
        <v>3200</v>
      </c>
      <c r="G93" s="0" t="s">
        <v>3402</v>
      </c>
    </row>
    <row customHeight="1" ht="11.25">
      <c r="A94" s="771" t="s">
        <v>16</v>
      </c>
      <c r="B94" s="0" t="s">
        <v>3392</v>
      </c>
      <c r="C94" s="0" t="s">
        <v>3393</v>
      </c>
      <c r="D94" s="0" t="s">
        <v>3403</v>
      </c>
      <c r="E94" s="0" t="s">
        <v>3404</v>
      </c>
      <c r="F94" s="0" t="s">
        <v>3223</v>
      </c>
      <c r="G94" s="0" t="s">
        <v>3405</v>
      </c>
    </row>
    <row customHeight="1" ht="11.25">
      <c r="A95" s="771" t="s">
        <v>16</v>
      </c>
      <c r="B95" s="0" t="s">
        <v>3392</v>
      </c>
      <c r="C95" s="0" t="s">
        <v>3393</v>
      </c>
      <c r="D95" s="0" t="s">
        <v>3406</v>
      </c>
      <c r="E95" s="0" t="s">
        <v>3407</v>
      </c>
      <c r="F95" s="0" t="s">
        <v>3200</v>
      </c>
      <c r="G95" s="0" t="s">
        <v>3408</v>
      </c>
    </row>
    <row customHeight="1" ht="11.25">
      <c r="A96" s="771" t="s">
        <v>16</v>
      </c>
      <c r="B96" s="0" t="s">
        <v>3392</v>
      </c>
      <c r="C96" s="0" t="s">
        <v>3393</v>
      </c>
      <c r="D96" s="0" t="s">
        <v>3392</v>
      </c>
      <c r="E96" s="0" t="s">
        <v>3393</v>
      </c>
      <c r="F96" s="0" t="s">
        <v>3201</v>
      </c>
      <c r="G96" s="0" t="s">
        <v>3409</v>
      </c>
    </row>
    <row customHeight="1" ht="11.25">
      <c r="A97" s="771" t="s">
        <v>16</v>
      </c>
      <c r="B97" s="0" t="s">
        <v>3392</v>
      </c>
      <c r="C97" s="0" t="s">
        <v>3393</v>
      </c>
      <c r="D97" s="0" t="s">
        <v>3410</v>
      </c>
      <c r="E97" s="0" t="s">
        <v>3411</v>
      </c>
      <c r="F97" s="0" t="s">
        <v>3223</v>
      </c>
      <c r="G97" s="0" t="s">
        <v>3412</v>
      </c>
    </row>
    <row customHeight="1" ht="11.25">
      <c r="A98" s="771" t="s">
        <v>16</v>
      </c>
      <c r="B98" s="0" t="s">
        <v>3392</v>
      </c>
      <c r="C98" s="0" t="s">
        <v>3393</v>
      </c>
      <c r="D98" s="0" t="s">
        <v>3413</v>
      </c>
      <c r="E98" s="0" t="s">
        <v>3414</v>
      </c>
      <c r="F98" s="0" t="s">
        <v>3200</v>
      </c>
      <c r="G98" s="0" t="s">
        <v>3415</v>
      </c>
    </row>
    <row customHeight="1" ht="11.25">
      <c r="A99" s="771" t="s">
        <v>16</v>
      </c>
      <c r="B99" s="0" t="s">
        <v>3416</v>
      </c>
      <c r="C99" s="0" t="s">
        <v>3417</v>
      </c>
      <c r="D99" s="0" t="s">
        <v>3416</v>
      </c>
      <c r="E99" s="0" t="s">
        <v>3417</v>
      </c>
      <c r="F99" s="0" t="s">
        <v>3182</v>
      </c>
      <c r="G99" s="0" t="s">
        <v>3418</v>
      </c>
    </row>
    <row customHeight="1" ht="11.25">
      <c r="A100" s="771" t="s">
        <v>16</v>
      </c>
      <c r="B100" s="0" t="s">
        <v>3419</v>
      </c>
      <c r="C100" s="0" t="s">
        <v>3420</v>
      </c>
      <c r="D100" s="0" t="s">
        <v>3421</v>
      </c>
      <c r="E100" s="0" t="s">
        <v>3422</v>
      </c>
      <c r="F100" s="0" t="s">
        <v>3200</v>
      </c>
      <c r="G100" s="0" t="s">
        <v>3423</v>
      </c>
    </row>
    <row customHeight="1" ht="11.25">
      <c r="A101" s="771" t="s">
        <v>16</v>
      </c>
      <c r="B101" s="0" t="s">
        <v>3419</v>
      </c>
      <c r="C101" s="0" t="s">
        <v>3420</v>
      </c>
      <c r="D101" s="0" t="s">
        <v>3424</v>
      </c>
      <c r="E101" s="0" t="s">
        <v>3425</v>
      </c>
      <c r="F101" s="0" t="s">
        <v>3200</v>
      </c>
      <c r="G101" s="0" t="s">
        <v>3426</v>
      </c>
    </row>
    <row customHeight="1" ht="11.25">
      <c r="A102" s="771" t="s">
        <v>16</v>
      </c>
      <c r="B102" s="0" t="s">
        <v>3419</v>
      </c>
      <c r="C102" s="0" t="s">
        <v>3420</v>
      </c>
      <c r="D102" s="0" t="s">
        <v>3427</v>
      </c>
      <c r="E102" s="0" t="s">
        <v>3428</v>
      </c>
      <c r="F102" s="0" t="s">
        <v>3200</v>
      </c>
      <c r="G102" s="0" t="s">
        <v>3429</v>
      </c>
    </row>
    <row customHeight="1" ht="11.25">
      <c r="A103" s="771" t="s">
        <v>16</v>
      </c>
      <c r="B103" s="0" t="s">
        <v>3419</v>
      </c>
      <c r="C103" s="0" t="s">
        <v>3420</v>
      </c>
      <c r="D103" s="0" t="s">
        <v>3430</v>
      </c>
      <c r="E103" s="0" t="s">
        <v>3431</v>
      </c>
      <c r="F103" s="0" t="s">
        <v>3200</v>
      </c>
      <c r="G103" s="0" t="s">
        <v>3432</v>
      </c>
    </row>
    <row customHeight="1" ht="11.25">
      <c r="A104" s="771" t="s">
        <v>16</v>
      </c>
      <c r="B104" s="0" t="s">
        <v>3419</v>
      </c>
      <c r="C104" s="0" t="s">
        <v>3420</v>
      </c>
      <c r="D104" s="0" t="s">
        <v>3419</v>
      </c>
      <c r="E104" s="0" t="s">
        <v>3420</v>
      </c>
      <c r="F104" s="0" t="s">
        <v>3201</v>
      </c>
      <c r="G104" s="0" t="s">
        <v>3433</v>
      </c>
    </row>
    <row customHeight="1" ht="11.25">
      <c r="A105" s="771" t="s">
        <v>16</v>
      </c>
      <c r="B105" s="0" t="s">
        <v>3419</v>
      </c>
      <c r="C105" s="0" t="s">
        <v>3420</v>
      </c>
      <c r="D105" s="0" t="s">
        <v>3434</v>
      </c>
      <c r="E105" s="0" t="s">
        <v>3435</v>
      </c>
      <c r="F105" s="0" t="s">
        <v>3200</v>
      </c>
      <c r="G105" s="0" t="s">
        <v>3436</v>
      </c>
    </row>
    <row customHeight="1" ht="11.25">
      <c r="A106" s="771" t="s">
        <v>16</v>
      </c>
      <c r="B106" s="0" t="s">
        <v>101</v>
      </c>
      <c r="C106" s="0" t="s">
        <v>102</v>
      </c>
      <c r="D106" s="0" t="s">
        <v>101</v>
      </c>
      <c r="E106" s="0" t="s">
        <v>102</v>
      </c>
      <c r="F106" s="0" t="s">
        <v>3185</v>
      </c>
      <c r="G106" s="0" t="s">
        <v>100</v>
      </c>
    </row>
    <row customHeight="1" ht="11.25">
      <c r="A107" s="771" t="s">
        <v>16</v>
      </c>
      <c r="B107" s="0" t="s">
        <v>3437</v>
      </c>
      <c r="C107" s="0" t="s">
        <v>3438</v>
      </c>
      <c r="D107" s="0" t="s">
        <v>3437</v>
      </c>
      <c r="E107" s="0" t="s">
        <v>3438</v>
      </c>
      <c r="F107" s="0" t="s">
        <v>3185</v>
      </c>
      <c r="G107" s="0" t="s">
        <v>3439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4718-8D36-BA41-2349-77EB2B3868B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898" width="13.8515625" customWidth="1"/>
    <col min="2" max="2" style="27898" width="10.421875" customWidth="1"/>
    <col min="3" max="3" style="27898" width="7.57421875" customWidth="1"/>
    <col min="4" max="4" style="27898" width="13.8515625" customWidth="1"/>
    <col min="5" max="5" style="27898" width="11.57421875" customWidth="1"/>
    <col min="6" max="6" style="27898" width="16.28125" customWidth="1"/>
    <col min="7" max="7" style="27898" width="16.00390625" customWidth="1"/>
    <col min="8" max="9" style="27898" width="16.140625" customWidth="1"/>
  </cols>
  <sheetData>
    <row customHeight="1" ht="11.25">
      <c r="A1" s="1233" t="s">
        <v>3440</v>
      </c>
      <c r="B1" s="1233" t="s">
        <v>3441</v>
      </c>
      <c r="C1" s="1557" t="s">
        <v>3442</v>
      </c>
      <c r="D1" s="1233" t="s">
        <v>3443</v>
      </c>
      <c r="E1" s="1233" t="s">
        <v>3444</v>
      </c>
      <c r="F1" s="1557" t="s">
        <v>3445</v>
      </c>
      <c r="G1" s="1557" t="s">
        <v>3446</v>
      </c>
      <c r="H1" s="1557" t="s">
        <v>3447</v>
      </c>
      <c r="I1" s="1557"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6C2DC-5242-74EE-B3B4-E6218564F2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02967-8339-54A9-2CE1-A68E2E96D0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900" width="9.140625"/>
  </cols>
  <sheetData>
    <row customHeight="1" ht="11.25">
      <c r="A1" s="581" t="s">
        <v>131</v>
      </c>
      <c r="B1" s="581" t="s">
        <v>3449</v>
      </c>
    </row>
    <row customHeight="1" ht="11.25">
      <c r="A2" s="460" t="s">
        <v>99</v>
      </c>
      <c r="B2" s="460"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963A-3894-2526-E9BD-F734AB0575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898" width="9.140625"/>
    <col min="2" max="2" style="27898" width="65.28125" customWidth="1"/>
  </cols>
  <sheetData>
    <row customHeight="1" ht="11.25">
      <c r="A1" s="1233" t="s">
        <v>3451</v>
      </c>
      <c r="B1" s="1233" t="s">
        <v>3452</v>
      </c>
    </row>
    <row customHeight="1" ht="11.25">
      <c r="A2" s="1233">
        <v>4213775</v>
      </c>
      <c r="B2" s="1233" t="s">
        <v>1225</v>
      </c>
    </row>
    <row customHeight="1" ht="11.25">
      <c r="A3" s="1233">
        <v>4213784</v>
      </c>
      <c r="B3" s="1233" t="s">
        <v>1258</v>
      </c>
    </row>
    <row customHeight="1" ht="11.25">
      <c r="A4" s="1233">
        <v>4213781</v>
      </c>
      <c r="B4" s="1233" t="s">
        <v>1251</v>
      </c>
    </row>
    <row customHeight="1" ht="11.25">
      <c r="A5" s="1233">
        <v>4213776</v>
      </c>
      <c r="B5" s="1233" t="s">
        <v>173</v>
      </c>
    </row>
    <row customHeight="1" ht="11.25">
      <c r="A6" s="1233">
        <v>4213777</v>
      </c>
      <c r="B6" s="1233" t="s">
        <v>179</v>
      </c>
    </row>
    <row customHeight="1" ht="11.25">
      <c r="A7" s="1233">
        <v>4213778</v>
      </c>
      <c r="B7" s="1233" t="s">
        <v>185</v>
      </c>
    </row>
    <row customHeight="1" ht="11.25">
      <c r="A8" s="1233">
        <v>4213780</v>
      </c>
      <c r="B8" s="1233" t="s">
        <v>191</v>
      </c>
    </row>
    <row customHeight="1" ht="11.25">
      <c r="A9" s="1233">
        <v>4213779</v>
      </c>
      <c r="B9" s="1233" t="s">
        <v>1390</v>
      </c>
    </row>
    <row customHeight="1" ht="11.25">
      <c r="A10" s="1233">
        <v>4213783</v>
      </c>
      <c r="B10" s="1233" t="s">
        <v>1405</v>
      </c>
    </row>
    <row customHeight="1" ht="11.25">
      <c r="A11" s="1233">
        <v>4213782</v>
      </c>
      <c r="B11" s="123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090D7-A8DF-6479-54E4-032821B126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898" width="9.140625"/>
    <col min="2" max="2" style="27898" width="65.28125" customWidth="1"/>
  </cols>
  <sheetData>
    <row customHeight="1" ht="11.25">
      <c r="A1" s="1233" t="s">
        <v>3451</v>
      </c>
      <c r="B1" s="1233" t="s">
        <v>3453</v>
      </c>
    </row>
    <row customHeight="1" ht="11.25">
      <c r="A2" s="1233" t="s">
        <v>3454</v>
      </c>
      <c r="B2" s="1233" t="s">
        <v>1503</v>
      </c>
    </row>
    <row customHeight="1" ht="11.25">
      <c r="A3" s="1233" t="s">
        <v>3455</v>
      </c>
      <c r="B3" s="1233" t="s">
        <v>1513</v>
      </c>
    </row>
    <row customHeight="1" ht="11.25">
      <c r="A4" s="1233" t="s">
        <v>3456</v>
      </c>
      <c r="B4" s="1233" t="s">
        <v>1522</v>
      </c>
    </row>
    <row customHeight="1" ht="11.25">
      <c r="A5" s="1233" t="s">
        <v>3457</v>
      </c>
      <c r="B5" s="1233" t="s">
        <v>1531</v>
      </c>
    </row>
    <row customHeight="1" ht="11.25">
      <c r="A6" s="1233" t="s">
        <v>3458</v>
      </c>
      <c r="B6" s="1233" t="s">
        <v>1537</v>
      </c>
    </row>
    <row customHeight="1" ht="11.25">
      <c r="A7" s="1233" t="s">
        <v>3459</v>
      </c>
      <c r="B7" s="1233" t="s">
        <v>1545</v>
      </c>
    </row>
    <row customHeight="1" ht="11.25">
      <c r="A8" s="1233" t="s">
        <v>3460</v>
      </c>
      <c r="B8" s="1233" t="s">
        <v>1552</v>
      </c>
    </row>
    <row customHeight="1" ht="11.25">
      <c r="A9" s="1233" t="s">
        <v>3461</v>
      </c>
      <c r="B9" s="1233" t="s">
        <v>1558</v>
      </c>
    </row>
    <row customHeight="1" ht="11.25">
      <c r="A10" s="1233" t="s">
        <v>3462</v>
      </c>
      <c r="B10" s="1233" t="s">
        <v>1562</v>
      </c>
    </row>
    <row customHeight="1" ht="11.25">
      <c r="A11" s="1233" t="s">
        <v>3463</v>
      </c>
      <c r="B11" s="1233"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4E9F3-0543-A65B-3F64-93CA9D12986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71" t="s">
        <v>3173</v>
      </c>
      <c r="B1" s="771" t="s">
        <v>3174</v>
      </c>
      <c r="C1" s="771" t="s">
        <v>3175</v>
      </c>
      <c r="D1" s="771" t="s">
        <v>3176</v>
      </c>
      <c r="E1" s="0" t="s">
        <v>3177</v>
      </c>
      <c r="F1" s="0" t="s">
        <v>3178</v>
      </c>
      <c r="G1" s="0" t="s">
        <v>3179</v>
      </c>
    </row>
    <row customHeight="1" ht="11.25">
      <c r="A2" s="0" t="s">
        <v>16</v>
      </c>
      <c r="B2" s="0" t="s">
        <v>3180</v>
      </c>
      <c r="C2" s="0" t="s">
        <v>3181</v>
      </c>
      <c r="D2" s="0" t="s">
        <v>3180</v>
      </c>
      <c r="E2" s="0" t="s">
        <v>3181</v>
      </c>
      <c r="F2" s="0" t="s">
        <v>3182</v>
      </c>
      <c r="G2" s="0" t="s">
        <v>110</v>
      </c>
    </row>
    <row customHeight="1" ht="11.25">
      <c r="A3" s="0" t="s">
        <v>16</v>
      </c>
      <c r="B3" s="0" t="s">
        <v>3183</v>
      </c>
      <c r="C3" s="0" t="s">
        <v>3184</v>
      </c>
      <c r="D3" s="0" t="s">
        <v>3183</v>
      </c>
      <c r="E3" s="0" t="s">
        <v>3184</v>
      </c>
      <c r="F3" s="0" t="s">
        <v>3185</v>
      </c>
      <c r="G3" s="0" t="s">
        <v>111</v>
      </c>
    </row>
    <row customHeight="1" ht="11.25">
      <c r="A4" s="0" t="s">
        <v>16</v>
      </c>
      <c r="B4" s="0" t="s">
        <v>3186</v>
      </c>
      <c r="C4" s="0" t="s">
        <v>3187</v>
      </c>
      <c r="D4" s="0" t="s">
        <v>3186</v>
      </c>
      <c r="E4" s="0" t="s">
        <v>3187</v>
      </c>
      <c r="F4" s="0" t="s">
        <v>3185</v>
      </c>
      <c r="G4" s="0" t="s">
        <v>91</v>
      </c>
    </row>
    <row customHeight="1" ht="11.25">
      <c r="A5" s="0" t="s">
        <v>16</v>
      </c>
      <c r="B5" s="0" t="s">
        <v>3188</v>
      </c>
      <c r="C5" s="0" t="s">
        <v>3189</v>
      </c>
      <c r="D5" s="0" t="s">
        <v>3188</v>
      </c>
      <c r="E5" s="0" t="s">
        <v>3189</v>
      </c>
      <c r="F5" s="0" t="s">
        <v>3185</v>
      </c>
      <c r="G5" s="0" t="s">
        <v>92</v>
      </c>
    </row>
    <row customHeight="1" ht="11.25">
      <c r="A6" s="0" t="s">
        <v>16</v>
      </c>
      <c r="B6" s="0" t="s">
        <v>3190</v>
      </c>
      <c r="C6" s="0" t="s">
        <v>3191</v>
      </c>
      <c r="D6" s="0" t="s">
        <v>3190</v>
      </c>
      <c r="E6" s="0" t="s">
        <v>3191</v>
      </c>
      <c r="F6" s="0" t="s">
        <v>3185</v>
      </c>
      <c r="G6" s="0" t="s">
        <v>112</v>
      </c>
    </row>
    <row customHeight="1" ht="11.25">
      <c r="A7" s="0" t="s">
        <v>16</v>
      </c>
      <c r="B7" s="0" t="s">
        <v>3192</v>
      </c>
      <c r="C7" s="0" t="s">
        <v>3193</v>
      </c>
      <c r="D7" s="0" t="s">
        <v>3192</v>
      </c>
      <c r="E7" s="0" t="s">
        <v>3193</v>
      </c>
      <c r="F7" s="0" t="s">
        <v>3185</v>
      </c>
      <c r="G7" s="0" t="s">
        <v>93</v>
      </c>
    </row>
    <row customHeight="1" ht="11.25">
      <c r="A8" s="0" t="s">
        <v>16</v>
      </c>
      <c r="B8" s="0" t="s">
        <v>3194</v>
      </c>
      <c r="C8" s="0" t="s">
        <v>3195</v>
      </c>
      <c r="D8" s="0" t="s">
        <v>3194</v>
      </c>
      <c r="E8" s="0" t="s">
        <v>3195</v>
      </c>
      <c r="F8" s="0" t="s">
        <v>3185</v>
      </c>
      <c r="G8" s="0" t="s">
        <v>94</v>
      </c>
    </row>
    <row customHeight="1" ht="11.25">
      <c r="A9" s="0" t="s">
        <v>16</v>
      </c>
      <c r="B9" s="0" t="s">
        <v>3196</v>
      </c>
      <c r="C9" s="0" t="s">
        <v>3197</v>
      </c>
      <c r="D9" s="0" t="s">
        <v>3198</v>
      </c>
      <c r="E9" s="0" t="s">
        <v>3199</v>
      </c>
      <c r="F9" s="0" t="s">
        <v>3200</v>
      </c>
      <c r="G9" s="0" t="s">
        <v>113</v>
      </c>
    </row>
    <row customHeight="1" ht="11.25">
      <c r="A10" s="0" t="s">
        <v>16</v>
      </c>
      <c r="B10" s="0" t="s">
        <v>3196</v>
      </c>
      <c r="C10" s="0" t="s">
        <v>3197</v>
      </c>
      <c r="D10" s="0" t="s">
        <v>3196</v>
      </c>
      <c r="E10" s="0" t="s">
        <v>3197</v>
      </c>
      <c r="F10" s="0" t="s">
        <v>3201</v>
      </c>
      <c r="G10" s="0" t="s">
        <v>149</v>
      </c>
    </row>
    <row customHeight="1" ht="11.25">
      <c r="A11" s="0" t="s">
        <v>16</v>
      </c>
      <c r="B11" s="0" t="s">
        <v>3196</v>
      </c>
      <c r="C11" s="0" t="s">
        <v>3197</v>
      </c>
      <c r="D11" s="0" t="s">
        <v>3202</v>
      </c>
      <c r="E11" s="0" t="s">
        <v>3203</v>
      </c>
      <c r="F11" s="0" t="s">
        <v>3200</v>
      </c>
      <c r="G11" s="0" t="s">
        <v>150</v>
      </c>
    </row>
    <row customHeight="1" ht="11.25">
      <c r="A12" s="0" t="s">
        <v>16</v>
      </c>
      <c r="B12" s="0" t="s">
        <v>3196</v>
      </c>
      <c r="C12" s="0" t="s">
        <v>3197</v>
      </c>
      <c r="D12" s="0" t="s">
        <v>3204</v>
      </c>
      <c r="E12" s="0" t="s">
        <v>3205</v>
      </c>
      <c r="F12" s="0" t="s">
        <v>3206</v>
      </c>
      <c r="G12" s="0" t="s">
        <v>151</v>
      </c>
    </row>
    <row customHeight="1" ht="11.25">
      <c r="A13" s="0" t="s">
        <v>16</v>
      </c>
      <c r="B13" s="0" t="s">
        <v>3196</v>
      </c>
      <c r="C13" s="0" t="s">
        <v>3197</v>
      </c>
      <c r="D13" s="0" t="s">
        <v>3207</v>
      </c>
      <c r="E13" s="0" t="s">
        <v>3208</v>
      </c>
      <c r="F13" s="0" t="s">
        <v>3200</v>
      </c>
      <c r="G13" s="0" t="s">
        <v>152</v>
      </c>
    </row>
    <row customHeight="1" ht="11.25">
      <c r="A14" s="0" t="s">
        <v>16</v>
      </c>
      <c r="B14" s="0" t="s">
        <v>3196</v>
      </c>
      <c r="C14" s="0" t="s">
        <v>3197</v>
      </c>
      <c r="D14" s="0" t="s">
        <v>3209</v>
      </c>
      <c r="E14" s="0" t="s">
        <v>3210</v>
      </c>
      <c r="F14" s="0" t="s">
        <v>3200</v>
      </c>
      <c r="G14" s="0" t="s">
        <v>153</v>
      </c>
    </row>
    <row customHeight="1" ht="11.25">
      <c r="A15" s="0" t="s">
        <v>16</v>
      </c>
      <c r="B15" s="0" t="s">
        <v>3196</v>
      </c>
      <c r="C15" s="0" t="s">
        <v>3197</v>
      </c>
      <c r="D15" s="0" t="s">
        <v>3211</v>
      </c>
      <c r="E15" s="0" t="s">
        <v>3212</v>
      </c>
      <c r="F15" s="0" t="s">
        <v>3200</v>
      </c>
      <c r="G15" s="0" t="s">
        <v>154</v>
      </c>
    </row>
    <row customHeight="1" ht="11.25">
      <c r="A16" s="0" t="s">
        <v>16</v>
      </c>
      <c r="B16" s="0" t="s">
        <v>3196</v>
      </c>
      <c r="C16" s="0" t="s">
        <v>3197</v>
      </c>
      <c r="D16" s="0" t="s">
        <v>3213</v>
      </c>
      <c r="E16" s="0" t="s">
        <v>3214</v>
      </c>
      <c r="F16" s="0" t="s">
        <v>3200</v>
      </c>
      <c r="G16" s="0" t="s">
        <v>1465</v>
      </c>
    </row>
    <row customHeight="1" ht="11.25">
      <c r="A17" s="0" t="s">
        <v>16</v>
      </c>
      <c r="B17" s="0" t="s">
        <v>3215</v>
      </c>
      <c r="C17" s="0" t="s">
        <v>3216</v>
      </c>
      <c r="D17" s="0" t="s">
        <v>3215</v>
      </c>
      <c r="E17" s="0" t="s">
        <v>3216</v>
      </c>
      <c r="F17" s="0" t="s">
        <v>3182</v>
      </c>
      <c r="G17" s="0" t="s">
        <v>1471</v>
      </c>
    </row>
    <row customHeight="1" ht="11.25">
      <c r="A18" s="0" t="s">
        <v>16</v>
      </c>
      <c r="B18" s="0" t="s">
        <v>3217</v>
      </c>
      <c r="C18" s="0" t="s">
        <v>3218</v>
      </c>
      <c r="D18" s="0" t="s">
        <v>3219</v>
      </c>
      <c r="E18" s="0" t="s">
        <v>3220</v>
      </c>
      <c r="F18" s="0" t="s">
        <v>3200</v>
      </c>
      <c r="G18" s="0" t="s">
        <v>1483</v>
      </c>
    </row>
    <row customHeight="1" ht="11.25">
      <c r="A19" s="0" t="s">
        <v>16</v>
      </c>
      <c r="B19" s="0" t="s">
        <v>3217</v>
      </c>
      <c r="C19" s="0" t="s">
        <v>3218</v>
      </c>
      <c r="D19" s="0" t="s">
        <v>3221</v>
      </c>
      <c r="E19" s="0" t="s">
        <v>3222</v>
      </c>
      <c r="F19" s="0" t="s">
        <v>3223</v>
      </c>
      <c r="G19" s="0" t="s">
        <v>1497</v>
      </c>
    </row>
    <row customHeight="1" ht="11.25">
      <c r="A20" s="0" t="s">
        <v>16</v>
      </c>
      <c r="B20" s="0" t="s">
        <v>3217</v>
      </c>
      <c r="C20" s="0" t="s">
        <v>3218</v>
      </c>
      <c r="D20" s="0" t="s">
        <v>3217</v>
      </c>
      <c r="E20" s="0" t="s">
        <v>3218</v>
      </c>
      <c r="F20" s="0" t="s">
        <v>3201</v>
      </c>
      <c r="G20" s="0" t="s">
        <v>1509</v>
      </c>
    </row>
    <row customHeight="1" ht="11.25">
      <c r="A21" s="0" t="s">
        <v>16</v>
      </c>
      <c r="B21" s="0" t="s">
        <v>3217</v>
      </c>
      <c r="C21" s="0" t="s">
        <v>3218</v>
      </c>
      <c r="D21" s="0" t="s">
        <v>3224</v>
      </c>
      <c r="E21" s="0" t="s">
        <v>3225</v>
      </c>
      <c r="F21" s="0" t="s">
        <v>3223</v>
      </c>
      <c r="G21" s="0" t="s">
        <v>1518</v>
      </c>
    </row>
    <row customHeight="1" ht="11.25">
      <c r="A22" s="0" t="s">
        <v>16</v>
      </c>
      <c r="B22" s="0" t="s">
        <v>3217</v>
      </c>
      <c r="C22" s="0" t="s">
        <v>3218</v>
      </c>
      <c r="D22" s="0" t="s">
        <v>3226</v>
      </c>
      <c r="E22" s="0" t="s">
        <v>3227</v>
      </c>
      <c r="F22" s="0" t="s">
        <v>3200</v>
      </c>
      <c r="G22" s="0" t="s">
        <v>1534</v>
      </c>
    </row>
    <row customHeight="1" ht="11.25">
      <c r="A23" s="0" t="s">
        <v>16</v>
      </c>
      <c r="B23" s="0" t="s">
        <v>3217</v>
      </c>
      <c r="C23" s="0" t="s">
        <v>3218</v>
      </c>
      <c r="D23" s="0" t="s">
        <v>3228</v>
      </c>
      <c r="E23" s="0" t="s">
        <v>3229</v>
      </c>
      <c r="F23" s="0" t="s">
        <v>3206</v>
      </c>
      <c r="G23" s="0" t="s">
        <v>1541</v>
      </c>
    </row>
    <row customHeight="1" ht="11.25">
      <c r="A24" s="0" t="s">
        <v>16</v>
      </c>
      <c r="B24" s="0" t="s">
        <v>3217</v>
      </c>
      <c r="C24" s="0" t="s">
        <v>3218</v>
      </c>
      <c r="D24" s="0" t="s">
        <v>3230</v>
      </c>
      <c r="E24" s="0" t="s">
        <v>3231</v>
      </c>
      <c r="F24" s="0" t="s">
        <v>3200</v>
      </c>
      <c r="G24" s="0" t="s">
        <v>1549</v>
      </c>
    </row>
    <row customHeight="1" ht="11.25">
      <c r="A25" s="0" t="s">
        <v>16</v>
      </c>
      <c r="B25" s="0" t="s">
        <v>3217</v>
      </c>
      <c r="C25" s="0" t="s">
        <v>3218</v>
      </c>
      <c r="D25" s="0" t="s">
        <v>3232</v>
      </c>
      <c r="E25" s="0" t="s">
        <v>3233</v>
      </c>
      <c r="F25" s="0" t="s">
        <v>3200</v>
      </c>
      <c r="G25" s="0" t="s">
        <v>1556</v>
      </c>
    </row>
    <row customHeight="1" ht="11.25">
      <c r="A26" s="0" t="s">
        <v>16</v>
      </c>
      <c r="B26" s="0" t="s">
        <v>3234</v>
      </c>
      <c r="C26" s="0" t="s">
        <v>3235</v>
      </c>
      <c r="D26" s="0" t="s">
        <v>3234</v>
      </c>
      <c r="E26" s="0" t="s">
        <v>3235</v>
      </c>
      <c r="F26" s="0" t="s">
        <v>3182</v>
      </c>
      <c r="G26" s="0" t="s">
        <v>1560</v>
      </c>
    </row>
    <row customHeight="1" ht="11.25">
      <c r="A27" s="0" t="s">
        <v>16</v>
      </c>
      <c r="B27" s="0" t="s">
        <v>3236</v>
      </c>
      <c r="C27" s="0" t="s">
        <v>3237</v>
      </c>
      <c r="D27" s="0" t="s">
        <v>3238</v>
      </c>
      <c r="E27" s="0" t="s">
        <v>3239</v>
      </c>
      <c r="F27" s="0" t="s">
        <v>3223</v>
      </c>
      <c r="G27" s="0" t="s">
        <v>1565</v>
      </c>
    </row>
    <row customHeight="1" ht="11.25">
      <c r="A28" s="0" t="s">
        <v>16</v>
      </c>
      <c r="B28" s="0" t="s">
        <v>3236</v>
      </c>
      <c r="C28" s="0" t="s">
        <v>3237</v>
      </c>
      <c r="D28" s="0" t="s">
        <v>3240</v>
      </c>
      <c r="E28" s="0" t="s">
        <v>3241</v>
      </c>
      <c r="F28" s="0" t="s">
        <v>3200</v>
      </c>
      <c r="G28" s="0" t="s">
        <v>1573</v>
      </c>
    </row>
    <row customHeight="1" ht="11.25">
      <c r="A29" s="0" t="s">
        <v>16</v>
      </c>
      <c r="B29" s="0" t="s">
        <v>3236</v>
      </c>
      <c r="C29" s="0" t="s">
        <v>3237</v>
      </c>
      <c r="D29" s="0" t="s">
        <v>3242</v>
      </c>
      <c r="E29" s="0" t="s">
        <v>3243</v>
      </c>
      <c r="F29" s="0" t="s">
        <v>3200</v>
      </c>
      <c r="G29" s="0" t="s">
        <v>1575</v>
      </c>
    </row>
    <row customHeight="1" ht="11.25">
      <c r="A30" s="0" t="s">
        <v>16</v>
      </c>
      <c r="B30" s="0" t="s">
        <v>3236</v>
      </c>
      <c r="C30" s="0" t="s">
        <v>3237</v>
      </c>
      <c r="D30" s="0" t="s">
        <v>3244</v>
      </c>
      <c r="E30" s="0" t="s">
        <v>3245</v>
      </c>
      <c r="F30" s="0" t="s">
        <v>3200</v>
      </c>
      <c r="G30" s="0" t="s">
        <v>1578</v>
      </c>
    </row>
    <row customHeight="1" ht="11.25">
      <c r="A31" s="0" t="s">
        <v>16</v>
      </c>
      <c r="B31" s="0" t="s">
        <v>3236</v>
      </c>
      <c r="C31" s="0" t="s">
        <v>3237</v>
      </c>
      <c r="D31" s="0" t="s">
        <v>3246</v>
      </c>
      <c r="E31" s="0" t="s">
        <v>3247</v>
      </c>
      <c r="F31" s="0" t="s">
        <v>3200</v>
      </c>
      <c r="G31" s="0" t="s">
        <v>1583</v>
      </c>
    </row>
    <row customHeight="1" ht="11.25">
      <c r="A32" s="0" t="s">
        <v>16</v>
      </c>
      <c r="B32" s="0" t="s">
        <v>3236</v>
      </c>
      <c r="C32" s="0" t="s">
        <v>3237</v>
      </c>
      <c r="D32" s="0" t="s">
        <v>3236</v>
      </c>
      <c r="E32" s="0" t="s">
        <v>3237</v>
      </c>
      <c r="F32" s="0" t="s">
        <v>3201</v>
      </c>
      <c r="G32" s="0" t="s">
        <v>1585</v>
      </c>
    </row>
    <row customHeight="1" ht="11.25">
      <c r="A33" s="0" t="s">
        <v>16</v>
      </c>
      <c r="B33" s="0" t="s">
        <v>3236</v>
      </c>
      <c r="C33" s="0" t="s">
        <v>3237</v>
      </c>
      <c r="D33" s="0" t="s">
        <v>3248</v>
      </c>
      <c r="E33" s="0" t="s">
        <v>3249</v>
      </c>
      <c r="F33" s="0" t="s">
        <v>3200</v>
      </c>
      <c r="G33" s="0" t="s">
        <v>1587</v>
      </c>
    </row>
    <row customHeight="1" ht="11.25">
      <c r="A34" s="0" t="s">
        <v>16</v>
      </c>
      <c r="B34" s="0" t="s">
        <v>3236</v>
      </c>
      <c r="C34" s="0" t="s">
        <v>3237</v>
      </c>
      <c r="D34" s="0" t="s">
        <v>3250</v>
      </c>
      <c r="E34" s="0" t="s">
        <v>3251</v>
      </c>
      <c r="F34" s="0" t="s">
        <v>3200</v>
      </c>
      <c r="G34" s="0" t="s">
        <v>1589</v>
      </c>
    </row>
    <row customHeight="1" ht="11.25">
      <c r="A35" s="0" t="s">
        <v>16</v>
      </c>
      <c r="B35" s="0" t="s">
        <v>3236</v>
      </c>
      <c r="C35" s="0" t="s">
        <v>3237</v>
      </c>
      <c r="D35" s="0" t="s">
        <v>3252</v>
      </c>
      <c r="E35" s="0" t="s">
        <v>3253</v>
      </c>
      <c r="F35" s="0" t="s">
        <v>3200</v>
      </c>
      <c r="G35" s="0" t="s">
        <v>1594</v>
      </c>
    </row>
    <row customHeight="1" ht="11.25">
      <c r="A36" s="0" t="s">
        <v>16</v>
      </c>
      <c r="B36" s="0" t="s">
        <v>3236</v>
      </c>
      <c r="C36" s="0" t="s">
        <v>3237</v>
      </c>
      <c r="D36" s="0" t="s">
        <v>3254</v>
      </c>
      <c r="E36" s="0" t="s">
        <v>3255</v>
      </c>
      <c r="F36" s="0" t="s">
        <v>3200</v>
      </c>
      <c r="G36" s="0" t="s">
        <v>1599</v>
      </c>
    </row>
    <row customHeight="1" ht="11.25">
      <c r="A37" s="0" t="s">
        <v>16</v>
      </c>
      <c r="B37" s="0" t="s">
        <v>3236</v>
      </c>
      <c r="C37" s="0" t="s">
        <v>3237</v>
      </c>
      <c r="D37" s="0" t="s">
        <v>3256</v>
      </c>
      <c r="E37" s="0" t="s">
        <v>3257</v>
      </c>
      <c r="F37" s="0" t="s">
        <v>3200</v>
      </c>
      <c r="G37" s="0" t="s">
        <v>1603</v>
      </c>
    </row>
    <row customHeight="1" ht="11.25">
      <c r="A38" s="0" t="s">
        <v>16</v>
      </c>
      <c r="B38" s="0" t="s">
        <v>3258</v>
      </c>
      <c r="C38" s="0" t="s">
        <v>3259</v>
      </c>
      <c r="D38" s="0" t="s">
        <v>3258</v>
      </c>
      <c r="E38" s="0" t="s">
        <v>3259</v>
      </c>
      <c r="F38" s="0" t="s">
        <v>3182</v>
      </c>
      <c r="G38" s="0" t="s">
        <v>1611</v>
      </c>
    </row>
    <row customHeight="1" ht="11.25">
      <c r="A39" s="0" t="s">
        <v>16</v>
      </c>
      <c r="B39" s="0" t="s">
        <v>3260</v>
      </c>
      <c r="C39" s="0" t="s">
        <v>3261</v>
      </c>
      <c r="D39" s="0" t="s">
        <v>3260</v>
      </c>
      <c r="E39" s="0" t="s">
        <v>3261</v>
      </c>
      <c r="F39" s="0" t="s">
        <v>3185</v>
      </c>
      <c r="G39" s="0" t="s">
        <v>1617</v>
      </c>
    </row>
    <row customHeight="1" ht="11.25">
      <c r="A40" s="0" t="s">
        <v>16</v>
      </c>
      <c r="B40" s="0" t="s">
        <v>3262</v>
      </c>
      <c r="C40" s="0" t="s">
        <v>3263</v>
      </c>
      <c r="D40" s="0" t="s">
        <v>3264</v>
      </c>
      <c r="E40" s="0" t="s">
        <v>3265</v>
      </c>
      <c r="F40" s="0" t="s">
        <v>3200</v>
      </c>
      <c r="G40" s="0" t="s">
        <v>1622</v>
      </c>
    </row>
    <row customHeight="1" ht="11.25">
      <c r="A41" s="0" t="s">
        <v>16</v>
      </c>
      <c r="B41" s="0" t="s">
        <v>3262</v>
      </c>
      <c r="C41" s="0" t="s">
        <v>3263</v>
      </c>
      <c r="D41" s="0" t="s">
        <v>3266</v>
      </c>
      <c r="E41" s="0" t="s">
        <v>3267</v>
      </c>
      <c r="F41" s="0" t="s">
        <v>3200</v>
      </c>
      <c r="G41" s="0" t="s">
        <v>1626</v>
      </c>
    </row>
    <row customHeight="1" ht="11.25">
      <c r="A42" s="0" t="s">
        <v>16</v>
      </c>
      <c r="B42" s="0" t="s">
        <v>3262</v>
      </c>
      <c r="C42" s="0" t="s">
        <v>3263</v>
      </c>
      <c r="D42" s="0" t="s">
        <v>3268</v>
      </c>
      <c r="E42" s="0" t="s">
        <v>3269</v>
      </c>
      <c r="F42" s="0" t="s">
        <v>3200</v>
      </c>
      <c r="G42" s="0" t="s">
        <v>1629</v>
      </c>
    </row>
    <row customHeight="1" ht="11.25">
      <c r="A43" s="0" t="s">
        <v>16</v>
      </c>
      <c r="B43" s="0" t="s">
        <v>3262</v>
      </c>
      <c r="C43" s="0" t="s">
        <v>3263</v>
      </c>
      <c r="D43" s="0" t="s">
        <v>3262</v>
      </c>
      <c r="E43" s="0" t="s">
        <v>3263</v>
      </c>
      <c r="F43" s="0" t="s">
        <v>3201</v>
      </c>
      <c r="G43" s="0" t="s">
        <v>1636</v>
      </c>
    </row>
    <row customHeight="1" ht="11.25">
      <c r="A44" s="0" t="s">
        <v>16</v>
      </c>
      <c r="B44" s="0" t="s">
        <v>3262</v>
      </c>
      <c r="C44" s="0" t="s">
        <v>3263</v>
      </c>
      <c r="D44" s="0" t="s">
        <v>3270</v>
      </c>
      <c r="E44" s="0" t="s">
        <v>3271</v>
      </c>
      <c r="F44" s="0" t="s">
        <v>3200</v>
      </c>
      <c r="G44" s="0" t="s">
        <v>1645</v>
      </c>
    </row>
    <row customHeight="1" ht="11.25">
      <c r="A45" s="0" t="s">
        <v>16</v>
      </c>
      <c r="B45" s="0" t="s">
        <v>3262</v>
      </c>
      <c r="C45" s="0" t="s">
        <v>3263</v>
      </c>
      <c r="D45" s="0" t="s">
        <v>3272</v>
      </c>
      <c r="E45" s="0" t="s">
        <v>3273</v>
      </c>
      <c r="F45" s="0" t="s">
        <v>3223</v>
      </c>
      <c r="G45" s="0" t="s">
        <v>1650</v>
      </c>
    </row>
    <row customHeight="1" ht="11.25">
      <c r="A46" s="0" t="s">
        <v>16</v>
      </c>
      <c r="B46" s="0" t="s">
        <v>3262</v>
      </c>
      <c r="C46" s="0" t="s">
        <v>3263</v>
      </c>
      <c r="D46" s="0" t="s">
        <v>3274</v>
      </c>
      <c r="E46" s="0" t="s">
        <v>3275</v>
      </c>
      <c r="F46" s="0" t="s">
        <v>3200</v>
      </c>
      <c r="G46" s="0" t="s">
        <v>1654</v>
      </c>
    </row>
    <row customHeight="1" ht="11.25">
      <c r="A47" s="0" t="s">
        <v>16</v>
      </c>
      <c r="B47" s="0" t="s">
        <v>3262</v>
      </c>
      <c r="C47" s="0" t="s">
        <v>3263</v>
      </c>
      <c r="D47" s="0" t="s">
        <v>3276</v>
      </c>
      <c r="E47" s="0" t="s">
        <v>3277</v>
      </c>
      <c r="F47" s="0" t="s">
        <v>3200</v>
      </c>
      <c r="G47" s="0" t="s">
        <v>1660</v>
      </c>
    </row>
    <row customHeight="1" ht="11.25">
      <c r="A48" s="0" t="s">
        <v>16</v>
      </c>
      <c r="B48" s="0" t="s">
        <v>3278</v>
      </c>
      <c r="C48" s="0" t="s">
        <v>3279</v>
      </c>
      <c r="D48" s="0" t="s">
        <v>3278</v>
      </c>
      <c r="E48" s="0" t="s">
        <v>3279</v>
      </c>
      <c r="F48" s="0" t="s">
        <v>3201</v>
      </c>
      <c r="G48" s="0" t="s">
        <v>1664</v>
      </c>
    </row>
    <row customHeight="1" ht="11.25">
      <c r="A49" s="0" t="s">
        <v>16</v>
      </c>
      <c r="B49" s="0" t="s">
        <v>3278</v>
      </c>
      <c r="C49" s="0" t="s">
        <v>3279</v>
      </c>
      <c r="D49" s="0" t="s">
        <v>3280</v>
      </c>
      <c r="E49" s="0" t="s">
        <v>3281</v>
      </c>
      <c r="F49" s="0" t="s">
        <v>3200</v>
      </c>
      <c r="G49" s="0" t="s">
        <v>1667</v>
      </c>
    </row>
    <row customHeight="1" ht="11.25">
      <c r="A50" s="0" t="s">
        <v>16</v>
      </c>
      <c r="B50" s="0" t="s">
        <v>3278</v>
      </c>
      <c r="C50" s="0" t="s">
        <v>3279</v>
      </c>
      <c r="D50" s="0" t="s">
        <v>3282</v>
      </c>
      <c r="E50" s="0" t="s">
        <v>3283</v>
      </c>
      <c r="F50" s="0" t="s">
        <v>3200</v>
      </c>
      <c r="G50" s="0" t="s">
        <v>1670</v>
      </c>
    </row>
    <row customHeight="1" ht="11.25">
      <c r="A51" s="0" t="s">
        <v>16</v>
      </c>
      <c r="B51" s="0" t="s">
        <v>3278</v>
      </c>
      <c r="C51" s="0" t="s">
        <v>3279</v>
      </c>
      <c r="D51" s="0" t="s">
        <v>3284</v>
      </c>
      <c r="E51" s="0" t="s">
        <v>3285</v>
      </c>
      <c r="F51" s="0" t="s">
        <v>3200</v>
      </c>
      <c r="G51" s="0" t="s">
        <v>1675</v>
      </c>
    </row>
    <row customHeight="1" ht="11.25">
      <c r="A52" s="0" t="s">
        <v>16</v>
      </c>
      <c r="B52" s="0" t="s">
        <v>3286</v>
      </c>
      <c r="C52" s="0" t="s">
        <v>3287</v>
      </c>
      <c r="D52" s="0" t="s">
        <v>3286</v>
      </c>
      <c r="E52" s="0" t="s">
        <v>3287</v>
      </c>
      <c r="F52" s="0" t="s">
        <v>3185</v>
      </c>
      <c r="G52" s="0" t="s">
        <v>1679</v>
      </c>
    </row>
    <row customHeight="1" ht="11.25">
      <c r="A53" s="0" t="s">
        <v>16</v>
      </c>
      <c r="B53" s="0" t="s">
        <v>3288</v>
      </c>
      <c r="C53" s="0" t="s">
        <v>3289</v>
      </c>
      <c r="D53" s="0" t="s">
        <v>3288</v>
      </c>
      <c r="E53" s="0" t="s">
        <v>3289</v>
      </c>
      <c r="F53" s="0" t="s">
        <v>3182</v>
      </c>
      <c r="G53" s="0" t="s">
        <v>1681</v>
      </c>
    </row>
    <row customHeight="1" ht="11.25">
      <c r="A54" s="0" t="s">
        <v>16</v>
      </c>
      <c r="B54" s="0" t="s">
        <v>3290</v>
      </c>
      <c r="C54" s="0" t="s">
        <v>3291</v>
      </c>
      <c r="D54" s="0" t="s">
        <v>3290</v>
      </c>
      <c r="E54" s="0" t="s">
        <v>3291</v>
      </c>
      <c r="F54" s="0" t="s">
        <v>3182</v>
      </c>
      <c r="G54" s="0" t="s">
        <v>1684</v>
      </c>
    </row>
    <row customHeight="1" ht="11.25">
      <c r="A55" s="0" t="s">
        <v>16</v>
      </c>
      <c r="B55" s="0" t="s">
        <v>3292</v>
      </c>
      <c r="C55" s="0" t="s">
        <v>3293</v>
      </c>
      <c r="D55" s="0" t="s">
        <v>3292</v>
      </c>
      <c r="E55" s="0" t="s">
        <v>3293</v>
      </c>
      <c r="F55" s="0" t="s">
        <v>3185</v>
      </c>
      <c r="G55" s="0" t="s">
        <v>1688</v>
      </c>
    </row>
    <row customHeight="1" ht="11.25">
      <c r="A56" s="0" t="s">
        <v>16</v>
      </c>
      <c r="B56" s="0" t="s">
        <v>3294</v>
      </c>
      <c r="C56" s="0" t="s">
        <v>3295</v>
      </c>
      <c r="D56" s="0" t="s">
        <v>3294</v>
      </c>
      <c r="E56" s="0" t="s">
        <v>3295</v>
      </c>
      <c r="F56" s="0" t="s">
        <v>3182</v>
      </c>
      <c r="G56" s="0" t="s">
        <v>1691</v>
      </c>
    </row>
    <row customHeight="1" ht="11.25">
      <c r="A57" s="0" t="s">
        <v>16</v>
      </c>
      <c r="B57" s="0" t="s">
        <v>3296</v>
      </c>
      <c r="C57" s="0" t="s">
        <v>3297</v>
      </c>
      <c r="D57" s="0" t="s">
        <v>3298</v>
      </c>
      <c r="E57" s="0" t="s">
        <v>3299</v>
      </c>
      <c r="F57" s="0" t="s">
        <v>3200</v>
      </c>
      <c r="G57" s="0" t="s">
        <v>1694</v>
      </c>
    </row>
    <row customHeight="1" ht="11.25">
      <c r="A58" s="0" t="s">
        <v>16</v>
      </c>
      <c r="B58" s="0" t="s">
        <v>3296</v>
      </c>
      <c r="C58" s="0" t="s">
        <v>3297</v>
      </c>
      <c r="D58" s="0" t="s">
        <v>3300</v>
      </c>
      <c r="E58" s="0" t="s">
        <v>3301</v>
      </c>
      <c r="F58" s="0" t="s">
        <v>3200</v>
      </c>
      <c r="G58" s="0" t="s">
        <v>1697</v>
      </c>
    </row>
    <row customHeight="1" ht="11.25">
      <c r="A59" s="0" t="s">
        <v>16</v>
      </c>
      <c r="B59" s="0" t="s">
        <v>3296</v>
      </c>
      <c r="C59" s="0" t="s">
        <v>3297</v>
      </c>
      <c r="D59" s="0" t="s">
        <v>3302</v>
      </c>
      <c r="E59" s="0" t="s">
        <v>3303</v>
      </c>
      <c r="F59" s="0" t="s">
        <v>3200</v>
      </c>
      <c r="G59" s="0" t="s">
        <v>1701</v>
      </c>
    </row>
    <row customHeight="1" ht="11.25">
      <c r="A60" s="0" t="s">
        <v>16</v>
      </c>
      <c r="B60" s="0" t="s">
        <v>3296</v>
      </c>
      <c r="C60" s="0" t="s">
        <v>3297</v>
      </c>
      <c r="D60" s="0" t="s">
        <v>3304</v>
      </c>
      <c r="E60" s="0" t="s">
        <v>3305</v>
      </c>
      <c r="F60" s="0" t="s">
        <v>3206</v>
      </c>
      <c r="G60" s="0" t="s">
        <v>1704</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3182</v>
      </c>
      <c r="G65" s="0" t="s">
        <v>3318</v>
      </c>
    </row>
    <row customHeight="1" ht="11.25">
      <c r="A66" s="0" t="s">
        <v>16</v>
      </c>
      <c r="B66" s="0" t="s">
        <v>3319</v>
      </c>
      <c r="C66" s="0" t="s">
        <v>3320</v>
      </c>
      <c r="D66" s="0" t="s">
        <v>3319</v>
      </c>
      <c r="E66" s="0" t="s">
        <v>3320</v>
      </c>
      <c r="F66" s="0" t="s">
        <v>3182</v>
      </c>
      <c r="G66" s="0" t="s">
        <v>3321</v>
      </c>
    </row>
    <row customHeight="1" ht="11.25">
      <c r="A67" s="0" t="s">
        <v>16</v>
      </c>
      <c r="B67" s="0" t="s">
        <v>3322</v>
      </c>
      <c r="C67" s="0" t="s">
        <v>3323</v>
      </c>
      <c r="D67" s="0" t="s">
        <v>3324</v>
      </c>
      <c r="E67" s="0" t="s">
        <v>3325</v>
      </c>
      <c r="F67" s="0" t="s">
        <v>3200</v>
      </c>
      <c r="G67" s="0" t="s">
        <v>2023</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2226</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3182</v>
      </c>
      <c r="G76" s="0" t="s">
        <v>3349</v>
      </c>
    </row>
    <row customHeight="1" ht="11.25">
      <c r="A77" s="0" t="s">
        <v>16</v>
      </c>
      <c r="B77" s="0" t="s">
        <v>3350</v>
      </c>
      <c r="C77" s="0" t="s">
        <v>3351</v>
      </c>
      <c r="D77" s="0" t="s">
        <v>3350</v>
      </c>
      <c r="E77" s="0" t="s">
        <v>3351</v>
      </c>
      <c r="F77" s="0" t="s">
        <v>3185</v>
      </c>
      <c r="G77" s="0" t="s">
        <v>3352</v>
      </c>
    </row>
    <row customHeight="1" ht="11.25">
      <c r="A78" s="0" t="s">
        <v>16</v>
      </c>
      <c r="B78" s="0" t="s">
        <v>3353</v>
      </c>
      <c r="C78" s="0" t="s">
        <v>3354</v>
      </c>
      <c r="D78" s="0" t="s">
        <v>3353</v>
      </c>
      <c r="E78" s="0" t="s">
        <v>3354</v>
      </c>
      <c r="F78" s="0" t="s">
        <v>3182</v>
      </c>
      <c r="G78" s="0" t="s">
        <v>3355</v>
      </c>
    </row>
    <row customHeight="1" ht="11.25">
      <c r="A79" s="0" t="s">
        <v>16</v>
      </c>
      <c r="B79" s="0" t="s">
        <v>3356</v>
      </c>
      <c r="C79" s="0" t="s">
        <v>3357</v>
      </c>
      <c r="D79" s="0" t="s">
        <v>3356</v>
      </c>
      <c r="E79" s="0" t="s">
        <v>3357</v>
      </c>
      <c r="F79" s="0" t="s">
        <v>3182</v>
      </c>
      <c r="G79" s="0" t="s">
        <v>3358</v>
      </c>
    </row>
    <row customHeight="1" ht="11.25">
      <c r="A80" s="0" t="s">
        <v>16</v>
      </c>
      <c r="B80" s="0" t="s">
        <v>3359</v>
      </c>
      <c r="C80" s="0" t="s">
        <v>3360</v>
      </c>
      <c r="D80" s="0" t="s">
        <v>3359</v>
      </c>
      <c r="E80" s="0" t="s">
        <v>3360</v>
      </c>
      <c r="F80" s="0" t="s">
        <v>3182</v>
      </c>
      <c r="G80" s="0" t="s">
        <v>3361</v>
      </c>
    </row>
    <row customHeight="1" ht="11.25">
      <c r="A81" s="0" t="s">
        <v>16</v>
      </c>
      <c r="B81" s="0" t="s">
        <v>3362</v>
      </c>
      <c r="C81" s="0" t="s">
        <v>3363</v>
      </c>
      <c r="D81" s="0" t="s">
        <v>3362</v>
      </c>
      <c r="E81" s="0" t="s">
        <v>3363</v>
      </c>
      <c r="F81" s="0" t="s">
        <v>3182</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3182</v>
      </c>
      <c r="G89" s="0" t="s">
        <v>3388</v>
      </c>
    </row>
    <row customHeight="1" ht="11.25">
      <c r="A90" s="0" t="s">
        <v>16</v>
      </c>
      <c r="B90" s="0" t="s">
        <v>3389</v>
      </c>
      <c r="C90" s="0" t="s">
        <v>3390</v>
      </c>
      <c r="D90" s="0" t="s">
        <v>3389</v>
      </c>
      <c r="E90" s="0" t="s">
        <v>3390</v>
      </c>
      <c r="F90" s="0" t="s">
        <v>3182</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3182</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101</v>
      </c>
      <c r="C106" s="0" t="s">
        <v>102</v>
      </c>
      <c r="D106" s="0" t="s">
        <v>101</v>
      </c>
      <c r="E106" s="0" t="s">
        <v>102</v>
      </c>
      <c r="F106" s="0" t="s">
        <v>3185</v>
      </c>
      <c r="G106" s="0" t="s">
        <v>100</v>
      </c>
    </row>
    <row customHeight="1" ht="11.25">
      <c r="A107" s="0" t="s">
        <v>16</v>
      </c>
      <c r="B107" s="0" t="s">
        <v>3437</v>
      </c>
      <c r="C107" s="0" t="s">
        <v>3438</v>
      </c>
      <c r="D107" s="0" t="s">
        <v>3437</v>
      </c>
      <c r="E107" s="0" t="s">
        <v>3438</v>
      </c>
      <c r="F107" s="0" t="s">
        <v>3185</v>
      </c>
      <c r="G107" s="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6501F-6976-1FE1-EDA5-DA46D640A4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898" width="9.140625"/>
    <col min="2" max="2" style="27898" width="84.28125" customWidth="1"/>
    <col min="3" max="3" style="27898" width="9.140625"/>
  </cols>
  <sheetData>
    <row customHeight="1" ht="11.25">
      <c r="A1" s="1233" t="s">
        <v>3464</v>
      </c>
      <c r="B1" s="1233" t="s">
        <v>3465</v>
      </c>
      <c r="C1" s="1233" t="s">
        <v>1171</v>
      </c>
    </row>
    <row customHeight="1" ht="11.25">
      <c r="A2" s="1233">
        <v>4189678</v>
      </c>
      <c r="B2" s="1233" t="s">
        <v>3466</v>
      </c>
      <c r="C2" s="1233" t="s">
        <v>3467</v>
      </c>
    </row>
    <row customHeight="1" ht="11.25">
      <c r="A3" s="1233">
        <v>4190415</v>
      </c>
      <c r="B3" s="1233" t="s">
        <v>3468</v>
      </c>
      <c r="C3" s="1233"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4FFAB-AB9E-B8E1-ADB7-3C7AF5FEC6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902" width="38.421875" customWidth="1"/>
    <col min="2" max="5" style="27902" width="9.140625"/>
  </cols>
  <sheetData>
    <row customHeight="1" ht="15">
      <c r="A1" s="561" t="s">
        <v>3469</v>
      </c>
      <c r="B1" s="561" t="s">
        <v>3470</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FEBE-9E43-5D2F-8D42-3DF6BAC9AE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3471</v>
      </c>
      <c r="B1" s="0" t="b">
        <v>1</v>
      </c>
    </row>
    <row customHeight="1" ht="11.25">
      <c r="A2" s="0" t="s">
        <v>3472</v>
      </c>
      <c r="B2" s="0" t="b">
        <v>0</v>
      </c>
    </row>
    <row customHeight="1" ht="11.25">
      <c r="A3" s="0" t="s">
        <v>3473</v>
      </c>
      <c r="B3" s="0" t="b">
        <v>1</v>
      </c>
    </row>
    <row customHeight="1" ht="11.25">
      <c r="A4" s="0" t="s">
        <v>3474</v>
      </c>
      <c r="B4" s="0" t="b">
        <v>0</v>
      </c>
    </row>
    <row customHeight="1" ht="11.25">
      <c r="A5" s="0" t="s">
        <v>3475</v>
      </c>
      <c r="B5" s="0" t="b">
        <v>0</v>
      </c>
    </row>
    <row customHeight="1" ht="11.25">
      <c r="A6" s="0" t="s">
        <v>3476</v>
      </c>
      <c r="B6" s="0" t="b">
        <v>0</v>
      </c>
    </row>
    <row customHeight="1" ht="11.25">
      <c r="A7" s="0" t="s">
        <v>3477</v>
      </c>
      <c r="B7" s="0" t="b">
        <v>0</v>
      </c>
    </row>
    <row customHeight="1" ht="11.25">
      <c r="A8" s="0" t="s">
        <v>3478</v>
      </c>
      <c r="B8" s="0" t="b">
        <v>0</v>
      </c>
    </row>
    <row customHeight="1" ht="11.25">
      <c r="A9" s="0" t="s">
        <v>3479</v>
      </c>
      <c r="B9" s="0" t="b">
        <v>0</v>
      </c>
    </row>
    <row customHeight="1" ht="11.25">
      <c r="A10" s="0" t="s">
        <v>3480</v>
      </c>
      <c r="B10" s="0" t="b">
        <v>0</v>
      </c>
    </row>
    <row customHeight="1" ht="11.25">
      <c r="A11" s="0" t="s">
        <v>3481</v>
      </c>
      <c r="B11" s="0" t="b">
        <v>0</v>
      </c>
    </row>
    <row customHeight="1" ht="11.25">
      <c r="A12" s="0" t="s">
        <v>3482</v>
      </c>
      <c r="B12" s="0" t="b">
        <v>0</v>
      </c>
    </row>
    <row customHeight="1" ht="11.25">
      <c r="A13" s="0" t="s">
        <v>3483</v>
      </c>
      <c r="B13" s="0" t="b">
        <v>0</v>
      </c>
    </row>
    <row customHeight="1" ht="11.25">
      <c r="A14" s="0" t="s">
        <v>3484</v>
      </c>
      <c r="B14" s="0" t="b">
        <v>1</v>
      </c>
    </row>
    <row customHeight="1" ht="11.25">
      <c r="A15" s="0" t="s">
        <v>3485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AE93-46CC-8A6D-A1FC-03ECBEE2E8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310"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57D4-F96B-3385-40DF-24AD1789F4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495" width="36.28125" customWidth="1"/>
    <col min="2" max="2" style="24495" width="21.140625" customWidth="1"/>
  </cols>
  <sheetData>
    <row customHeight="1" ht="11.25">
      <c r="A1" s="465" t="s">
        <v>3486</v>
      </c>
      <c r="B1" s="465" t="s">
        <v>3487</v>
      </c>
    </row>
    <row customHeight="1" ht="11.25">
      <c r="A2" s="460" t="s">
        <v>3488</v>
      </c>
      <c r="B2" s="460" t="s">
        <v>3489</v>
      </c>
    </row>
    <row customHeight="1" ht="11.25">
      <c r="A3" s="460" t="s">
        <v>3490</v>
      </c>
      <c r="B3" s="460" t="s">
        <v>3491</v>
      </c>
    </row>
    <row customHeight="1" ht="11.25">
      <c r="A4" s="460" t="s">
        <v>3492</v>
      </c>
      <c r="B4" s="460" t="s">
        <v>3493</v>
      </c>
    </row>
    <row customHeight="1" ht="11.25">
      <c r="A5" s="460" t="s">
        <v>3494</v>
      </c>
      <c r="B5" s="460" t="s">
        <v>3495</v>
      </c>
    </row>
    <row customHeight="1" ht="11.25">
      <c r="A6" s="460" t="s">
        <v>3496</v>
      </c>
      <c r="B6" s="460" t="s">
        <v>3497</v>
      </c>
    </row>
    <row customHeight="1" ht="11.25">
      <c r="A7" s="460" t="s">
        <v>3498</v>
      </c>
      <c r="B7" s="460" t="s">
        <v>3499</v>
      </c>
    </row>
    <row customHeight="1" ht="11.25">
      <c r="A8" s="460" t="s">
        <v>3500</v>
      </c>
      <c r="B8" s="460" t="s">
        <v>3501</v>
      </c>
    </row>
    <row customHeight="1" ht="11.25">
      <c r="A9" s="460" t="s">
        <v>3502</v>
      </c>
      <c r="B9" s="460" t="s">
        <v>3503</v>
      </c>
    </row>
    <row customHeight="1" ht="11.25">
      <c r="A10" s="460" t="s">
        <v>3504</v>
      </c>
      <c r="B10" s="460" t="s">
        <v>3505</v>
      </c>
    </row>
    <row customHeight="1" ht="11.25">
      <c r="A11" s="460" t="s">
        <v>3506</v>
      </c>
      <c r="B11" s="460" t="s">
        <v>3507</v>
      </c>
    </row>
    <row customHeight="1" ht="11.25">
      <c r="A12" s="460" t="s">
        <v>3508</v>
      </c>
      <c r="B12" s="460" t="s">
        <v>3509</v>
      </c>
    </row>
    <row customHeight="1" ht="11.25">
      <c r="A13" s="460" t="s">
        <v>3510</v>
      </c>
      <c r="B13" s="460" t="s">
        <v>3511</v>
      </c>
    </row>
    <row customHeight="1" ht="11.25">
      <c r="A14" s="460" t="s">
        <v>3512</v>
      </c>
      <c r="B14" s="460" t="s">
        <v>3513</v>
      </c>
    </row>
    <row customHeight="1" ht="11.25">
      <c r="A15" s="460" t="s">
        <v>3514</v>
      </c>
      <c r="B15" s="460" t="s">
        <v>3515</v>
      </c>
    </row>
    <row customHeight="1" ht="11.25">
      <c r="A16" s="460" t="s">
        <v>3516</v>
      </c>
      <c r="B16" s="460" t="s">
        <v>3517</v>
      </c>
    </row>
    <row customHeight="1" ht="11.25">
      <c r="A17" s="460" t="s">
        <v>3518</v>
      </c>
      <c r="B17" s="460" t="s">
        <v>3519</v>
      </c>
    </row>
    <row customHeight="1" ht="11.25">
      <c r="A18" s="460" t="s">
        <v>3520</v>
      </c>
      <c r="B18" s="460" t="s">
        <v>3521</v>
      </c>
    </row>
    <row customHeight="1" ht="11.25">
      <c r="A19" s="460" t="s">
        <v>3522</v>
      </c>
      <c r="B19" s="460" t="s">
        <v>3523</v>
      </c>
    </row>
    <row customHeight="1" ht="11.25">
      <c r="A20" s="460" t="s">
        <v>3524</v>
      </c>
      <c r="B20" s="460" t="s">
        <v>3525</v>
      </c>
    </row>
    <row customHeight="1" ht="11.25">
      <c r="A21" s="460" t="s">
        <v>3526</v>
      </c>
      <c r="B21" s="460" t="s">
        <v>3527</v>
      </c>
    </row>
    <row customHeight="1" ht="11.25">
      <c r="A22" s="460" t="s">
        <v>3528</v>
      </c>
      <c r="B22" s="460" t="s">
        <v>3529</v>
      </c>
    </row>
    <row customHeight="1" ht="11.25">
      <c r="A23" s="460" t="s">
        <v>3530</v>
      </c>
      <c r="B23" s="460" t="s">
        <v>3531</v>
      </c>
    </row>
    <row customHeight="1" ht="11.25">
      <c r="A24" s="460" t="s">
        <v>3532</v>
      </c>
      <c r="B24" s="460" t="s">
        <v>3533</v>
      </c>
    </row>
    <row customHeight="1" ht="11.25">
      <c r="A25" s="460" t="s">
        <v>3534</v>
      </c>
      <c r="B25" s="460" t="s">
        <v>3535</v>
      </c>
    </row>
    <row customHeight="1" ht="11.25">
      <c r="A26" s="460" t="s">
        <v>3536</v>
      </c>
      <c r="B26" s="460" t="s">
        <v>3537</v>
      </c>
    </row>
    <row customHeight="1" ht="11.25">
      <c r="A27" s="460" t="s">
        <v>3538</v>
      </c>
      <c r="B27" s="460" t="s">
        <v>3539</v>
      </c>
    </row>
    <row customHeight="1" ht="11.25">
      <c r="A28" s="460" t="s">
        <v>3540</v>
      </c>
      <c r="B28" s="460" t="s">
        <v>3541</v>
      </c>
    </row>
    <row customHeight="1" ht="11.25">
      <c r="A29" s="460" t="s">
        <v>3542</v>
      </c>
      <c r="B29" s="460" t="s">
        <v>3543</v>
      </c>
    </row>
    <row customHeight="1" ht="11.25">
      <c r="A30" s="460" t="s">
        <v>3544</v>
      </c>
      <c r="B30" s="460" t="s">
        <v>3545</v>
      </c>
    </row>
    <row customHeight="1" ht="11.25">
      <c r="A31" s="460" t="s">
        <v>3546</v>
      </c>
      <c r="B31" s="460" t="s">
        <v>3547</v>
      </c>
    </row>
    <row customHeight="1" ht="11.25">
      <c r="A32" s="460" t="s">
        <v>3548</v>
      </c>
      <c r="B32" s="460" t="s">
        <v>3549</v>
      </c>
    </row>
    <row customHeight="1" ht="11.25">
      <c r="A33" s="460" t="s">
        <v>3550</v>
      </c>
      <c r="B33" s="460" t="s">
        <v>3551</v>
      </c>
    </row>
    <row customHeight="1" ht="11.25">
      <c r="A34" s="460" t="s">
        <v>3552</v>
      </c>
      <c r="B34" s="460" t="s">
        <v>3553</v>
      </c>
    </row>
    <row customHeight="1" ht="11.25">
      <c r="A35" s="460" t="s">
        <v>3554</v>
      </c>
      <c r="B35" s="460" t="s">
        <v>3555</v>
      </c>
    </row>
    <row customHeight="1" ht="11.25">
      <c r="A36" s="460" t="s">
        <v>3556</v>
      </c>
      <c r="B36" s="460" t="s">
        <v>3557</v>
      </c>
    </row>
    <row customHeight="1" ht="11.25">
      <c r="A37" s="460" t="s">
        <v>3558</v>
      </c>
      <c r="B37" s="460" t="s">
        <v>3559</v>
      </c>
    </row>
    <row customHeight="1" ht="11.25">
      <c r="A38" s="460" t="s">
        <v>3560</v>
      </c>
      <c r="B38" s="460" t="s">
        <v>3561</v>
      </c>
    </row>
    <row customHeight="1" ht="11.25">
      <c r="A39" s="460" t="s">
        <v>3562</v>
      </c>
      <c r="B39" s="460" t="s">
        <v>3563</v>
      </c>
    </row>
    <row customHeight="1" ht="11.25">
      <c r="A40" s="460" t="s">
        <v>3564</v>
      </c>
      <c r="B40" s="460" t="s">
        <v>3565</v>
      </c>
    </row>
    <row customHeight="1" ht="11.25">
      <c r="A41" s="460" t="s">
        <v>3566</v>
      </c>
      <c r="B41" s="460" t="s">
        <v>3567</v>
      </c>
    </row>
    <row customHeight="1" ht="11.25">
      <c r="A42" s="460" t="s">
        <v>3568</v>
      </c>
      <c r="B42" s="460" t="s">
        <v>3569</v>
      </c>
    </row>
    <row customHeight="1" ht="11.25">
      <c r="A43" s="460" t="s">
        <v>3570</v>
      </c>
      <c r="B43" s="460" t="s">
        <v>3571</v>
      </c>
    </row>
    <row customHeight="1" ht="11.25">
      <c r="A44" s="460" t="s">
        <v>3572</v>
      </c>
      <c r="B44" s="460" t="s">
        <v>3573</v>
      </c>
    </row>
    <row customHeight="1" ht="11.25">
      <c r="A45" s="460" t="s">
        <v>3574</v>
      </c>
      <c r="B45" s="460" t="s">
        <v>3575</v>
      </c>
    </row>
    <row customHeight="1" ht="11.25">
      <c r="A46" s="460" t="s">
        <v>3576</v>
      </c>
      <c r="B46" s="460" t="s">
        <v>3577</v>
      </c>
    </row>
    <row customHeight="1" ht="11.25">
      <c r="A47" s="460" t="s">
        <v>3578</v>
      </c>
      <c r="B47" s="460" t="s">
        <v>3579</v>
      </c>
    </row>
    <row customHeight="1" ht="11.25">
      <c r="A48" s="460" t="s">
        <v>3580</v>
      </c>
      <c r="B48" s="460" t="s">
        <v>3581</v>
      </c>
    </row>
    <row customHeight="1" ht="11.25">
      <c r="A49" s="460" t="s">
        <v>3582</v>
      </c>
      <c r="B49" s="460" t="s">
        <v>3583</v>
      </c>
    </row>
    <row customHeight="1" ht="11.25">
      <c r="A50" s="460" t="s">
        <v>3584</v>
      </c>
      <c r="B50" s="460" t="s">
        <v>3585</v>
      </c>
    </row>
    <row customHeight="1" ht="11.25">
      <c r="A51" s="460" t="s">
        <v>3586</v>
      </c>
      <c r="B51" s="460" t="s">
        <v>3587</v>
      </c>
    </row>
    <row customHeight="1" ht="11.25">
      <c r="A52" s="460" t="s">
        <v>3588</v>
      </c>
      <c r="B52" s="460" t="s">
        <v>3589</v>
      </c>
    </row>
    <row customHeight="1" ht="11.25">
      <c r="A53" s="460" t="s">
        <v>3590</v>
      </c>
      <c r="B53" s="460" t="s">
        <v>3591</v>
      </c>
    </row>
    <row customHeight="1" ht="11.25">
      <c r="A54" s="460" t="s">
        <v>3592</v>
      </c>
      <c r="B54" s="460" t="s">
        <v>3593</v>
      </c>
    </row>
    <row customHeight="1" ht="11.25">
      <c r="A55" s="460" t="s">
        <v>3594</v>
      </c>
      <c r="B55" s="460" t="s">
        <v>3595</v>
      </c>
    </row>
    <row customHeight="1" ht="11.25">
      <c r="A56" s="460" t="s">
        <v>3596</v>
      </c>
      <c r="B56" s="460" t="s">
        <v>3597</v>
      </c>
    </row>
    <row customHeight="1" ht="11.25">
      <c r="A57" s="460" t="s">
        <v>3598</v>
      </c>
      <c r="B57" s="460" t="s">
        <v>3599</v>
      </c>
    </row>
    <row customHeight="1" ht="11.25">
      <c r="A58" s="460" t="s">
        <v>3600</v>
      </c>
      <c r="B58" s="460" t="s">
        <v>3601</v>
      </c>
    </row>
    <row customHeight="1" ht="11.25">
      <c r="A59" s="460" t="s">
        <v>3602</v>
      </c>
      <c r="B59" s="460" t="s">
        <v>3603</v>
      </c>
    </row>
    <row customHeight="1" ht="11.25">
      <c r="A60" s="460" t="s">
        <v>3604</v>
      </c>
      <c r="B60" s="460" t="s">
        <v>3605</v>
      </c>
    </row>
    <row customHeight="1" ht="11.25">
      <c r="A61" s="460"/>
      <c r="B61" s="460" t="s">
        <v>3606</v>
      </c>
    </row>
    <row customHeight="1" ht="11.25">
      <c r="A62" s="460"/>
      <c r="B62" s="460" t="s">
        <v>3607</v>
      </c>
    </row>
    <row customHeight="1" ht="11.25">
      <c r="A63" s="460"/>
      <c r="B63" s="460" t="s">
        <v>3608</v>
      </c>
    </row>
    <row customHeight="1" ht="11.25">
      <c r="A64" s="460"/>
      <c r="B64" s="460" t="s">
        <v>3609</v>
      </c>
    </row>
    <row customHeight="1" ht="11.25">
      <c r="A65" s="460"/>
      <c r="B65" s="460" t="s">
        <v>3610</v>
      </c>
    </row>
    <row customHeight="1" ht="11.25">
      <c r="A66" s="460"/>
      <c r="B66" s="460" t="s">
        <v>3611</v>
      </c>
    </row>
    <row customHeight="1" ht="11.25">
      <c r="A67" s="460"/>
      <c r="B67" s="460" t="s">
        <v>3612</v>
      </c>
    </row>
    <row customHeight="1" ht="11.25">
      <c r="A68" s="460"/>
      <c r="B68" s="460" t="s">
        <v>3613</v>
      </c>
    </row>
    <row customHeight="1" ht="11.25">
      <c r="A69" s="460"/>
      <c r="B69" s="460" t="s">
        <v>3614</v>
      </c>
    </row>
    <row customHeight="1" ht="11.25">
      <c r="A70" s="460"/>
      <c r="B70" s="460" t="s">
        <v>3615</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B7EA8-603A-5748-0101-C1C048EBF6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495" width="3.7109375" customWidth="1"/>
    <col min="2" max="2" style="24495" width="90.7109375" customWidth="1"/>
    <col min="3" max="4" style="24495" width="9.140625"/>
  </cols>
  <sheetData>
    <row customHeight="1" ht="11.25">
      <c r="B1" s="491" t="s">
        <v>3616</v>
      </c>
    </row>
    <row customHeight="1" ht="90">
      <c r="B2" s="492" t="s">
        <v>3617</v>
      </c>
    </row>
    <row customHeight="1" ht="67.5">
      <c r="B3" s="492" t="s">
        <v>3618</v>
      </c>
    </row>
    <row customHeight="1" ht="33.75">
      <c r="B4" s="492" t="s">
        <v>3619</v>
      </c>
    </row>
    <row customHeight="1" ht="11.25">
      <c r="B5" s="492" t="s">
        <v>3620</v>
      </c>
    </row>
    <row customHeight="1" ht="22.5">
      <c r="B6" s="492" t="s">
        <v>3621</v>
      </c>
    </row>
    <row customHeight="1" ht="22.5">
      <c r="B7" s="492" t="s">
        <v>3622</v>
      </c>
    </row>
    <row customHeight="1" ht="22.5">
      <c r="B8" s="492" t="s">
        <v>3623</v>
      </c>
    </row>
    <row customHeight="1" ht="22.5">
      <c r="B9" s="492" t="s">
        <v>3624</v>
      </c>
    </row>
    <row customHeight="1" ht="56.25">
      <c r="B10" s="492" t="s">
        <v>3625</v>
      </c>
    </row>
    <row customHeight="1" ht="12.75">
      <c r="B11" s="557" t="s">
        <v>3626</v>
      </c>
    </row>
    <row customHeight="1" ht="11.25">
      <c r="B12" s="491" t="s">
        <v>3627</v>
      </c>
    </row>
    <row customHeight="1" ht="22.5">
      <c r="B13" s="492" t="s">
        <v>3628</v>
      </c>
    </row>
    <row customHeight="1" ht="67.5">
      <c r="B14" s="492" t="s">
        <v>3629</v>
      </c>
    </row>
    <row customHeight="1" ht="22.5">
      <c r="B15" s="492" t="s">
        <v>3630</v>
      </c>
    </row>
    <row customHeight="1" ht="11.25">
      <c r="B16" s="491" t="s">
        <v>3631</v>
      </c>
      <c r="D16" s="498"/>
    </row>
    <row customHeight="1" ht="33.75">
      <c r="B17" s="492" t="s">
        <v>3632</v>
      </c>
    </row>
    <row customHeight="1" ht="33.75">
      <c r="B18" s="492" t="s">
        <v>3633</v>
      </c>
    </row>
    <row customHeight="1" ht="11.25">
      <c r="B19" s="492" t="s">
        <v>3634</v>
      </c>
    </row>
    <row customHeight="1" ht="33.75">
      <c r="B20" s="492" t="s">
        <v>3635</v>
      </c>
    </row>
    <row customHeight="1" ht="11.25">
      <c r="B21" s="491" t="s">
        <v>3636</v>
      </c>
    </row>
    <row customHeight="1" ht="11.25">
      <c r="B22" s="492" t="s">
        <v>3637</v>
      </c>
    </row>
    <row r="24" customHeight="1" ht="22.5">
      <c r="B24" s="559" t="s">
        <v>3638</v>
      </c>
    </row>
    <row r="26" customHeight="1" ht="11.25">
      <c r="B26" s="491" t="s">
        <v>3639</v>
      </c>
    </row>
    <row customHeight="1" ht="22.5">
      <c r="B27" s="558" t="s">
        <v>401</v>
      </c>
    </row>
    <row customHeight="1" ht="56.25">
      <c r="B28" s="558" t="s">
        <v>3640</v>
      </c>
    </row>
    <row customHeight="1" ht="11.25">
      <c r="B29" s="608" t="s">
        <v>3641</v>
      </c>
    </row>
    <row customHeight="1" ht="22.5">
      <c r="B30" s="558" t="s">
        <v>3642</v>
      </c>
    </row>
    <row r="32" customHeight="1" ht="11.25">
      <c r="A32" s="586"/>
      <c r="B32" s="587" t="s">
        <v>3643</v>
      </c>
    </row>
    <row customHeight="1" ht="14.25">
      <c r="A33" s="588">
        <v>1</v>
      </c>
      <c r="B33" s="589" t="s">
        <v>3644</v>
      </c>
    </row>
    <row customHeight="1" ht="14.25">
      <c r="A34" s="588">
        <v>2</v>
      </c>
      <c r="B34" s="589" t="s">
        <v>3645</v>
      </c>
    </row>
    <row customHeight="1" ht="11.25">
      <c r="B35" s="587" t="s">
        <v>3646</v>
      </c>
    </row>
    <row customHeight="1" ht="11.25">
      <c r="B36" s="589" t="s">
        <v>3647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